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omments7.xml" ContentType="application/vnd.openxmlformats-officedocument.spreadsheetml.comments+xml"/>
  <Override PartName="/xl/drawings/drawing7.xml" ContentType="application/vnd.openxmlformats-officedocument.drawing+xml"/>
  <Override PartName="/xl/ctrlProps/ctrlProp5.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trlProps/ctrlProp6.xml" ContentType="application/vnd.ms-excel.controlproperties+xml"/>
  <Override PartName="/xl/comments9.xml" ContentType="application/vnd.openxmlformats-officedocument.spreadsheetml.comments+xml"/>
  <Override PartName="/xl/drawings/drawing9.xml" ContentType="application/vnd.openxmlformats-officedocument.drawing+xml"/>
  <Override PartName="/xl/ctrlProps/ctrlProp7.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11.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12.xml" ContentType="application/vnd.ms-excel.controlproperties+xml"/>
  <Override PartName="/xl/drawings/drawing15.xml" ContentType="application/vnd.openxmlformats-officedocument.drawing+xml"/>
  <Override PartName="/xl/ctrlProps/ctrlProp13.xml" ContentType="application/vnd.ms-excel.controlproperties+xml"/>
  <Override PartName="/xl/drawings/drawing16.xml" ContentType="application/vnd.openxmlformats-officedocument.drawing+xml"/>
  <Override PartName="/xl/ctrlProps/ctrlProp14.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15.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6.xml" ContentType="application/vnd.ms-excel.controlproperties+xml"/>
  <Override PartName="/xl/drawings/drawing19.xml" ContentType="application/vnd.openxmlformats-officedocument.drawing+xml"/>
  <Override PartName="/xl/ctrlProps/ctrlProp17.xml" ContentType="application/vnd.ms-excel.controlproperties+xml"/>
  <Override PartName="/xl/comments16.xml" ContentType="application/vnd.openxmlformats-officedocument.spreadsheetml.comments+xml"/>
  <Override PartName="/xl/drawings/drawing20.xml" ContentType="application/vnd.openxmlformats-officedocument.drawing+xml"/>
  <Override PartName="/xl/ctrlProps/ctrlProp18.xml" ContentType="application/vnd.ms-excel.controlproperties+xml"/>
  <Override PartName="/xl/comments17.xml" ContentType="application/vnd.openxmlformats-officedocument.spreadsheetml.comments+xml"/>
  <Override PartName="/xl/drawings/drawing21.xml" ContentType="application/vnd.openxmlformats-officedocument.drawing+xml"/>
  <Override PartName="/xl/ctrlProps/ctrlProp19.xml" ContentType="application/vnd.ms-excel.controlproperties+xml"/>
  <Override PartName="/xl/comments18.xml" ContentType="application/vnd.openxmlformats-officedocument.spreadsheetml.comments+xml"/>
  <Override PartName="/xl/drawings/drawing22.xml" ContentType="application/vnd.openxmlformats-officedocument.drawing+xml"/>
  <Override PartName="/xl/ctrlProps/ctrlProp20.xml" ContentType="application/vnd.ms-excel.controlproperties+xml"/>
  <Override PartName="/xl/comments19.xml" ContentType="application/vnd.openxmlformats-officedocument.spreadsheetml.comments+xml"/>
  <Override PartName="/xl/drawings/drawing23.xml" ContentType="application/vnd.openxmlformats-officedocument.drawing+xml"/>
  <Override PartName="/xl/ctrlProps/ctrlProp21.xml" ContentType="application/vnd.ms-excel.controlproperties+xml"/>
  <Override PartName="/xl/comments20.xml" ContentType="application/vnd.openxmlformats-officedocument.spreadsheetml.comments+xml"/>
  <Override PartName="/xl/drawings/drawing24.xml" ContentType="application/vnd.openxmlformats-officedocument.drawing+xml"/>
  <Override PartName="/xl/ctrlProps/ctrlProp22.xml" ContentType="application/vnd.ms-excel.controlproperties+xml"/>
  <Override PartName="/xl/comments21.xml" ContentType="application/vnd.openxmlformats-officedocument.spreadsheetml.comments+xml"/>
  <Override PartName="/xl/drawings/drawing25.xml" ContentType="application/vnd.openxmlformats-officedocument.drawing+xml"/>
  <Override PartName="/xl/ctrlProps/ctrlProp23.xml" ContentType="application/vnd.ms-excel.controlproperties+xml"/>
  <Override PartName="/xl/comments22.xml" ContentType="application/vnd.openxmlformats-officedocument.spreadsheetml.comments+xml"/>
  <Override PartName="/xl/drawings/drawing26.xml" ContentType="application/vnd.openxmlformats-officedocument.drawing+xml"/>
  <Override PartName="/xl/ctrlProps/ctrlProp24.xml" ContentType="application/vnd.ms-excel.controlproperties+xml"/>
  <Override PartName="/xl/drawings/drawing27.xml" ContentType="application/vnd.openxmlformats-officedocument.drawing+xml"/>
  <Override PartName="/xl/ctrlProps/ctrlProp25.xml" ContentType="application/vnd.ms-excel.controlproperties+xml"/>
  <Override PartName="/xl/drawings/drawing28.xml" ContentType="application/vnd.openxmlformats-officedocument.drawing+xml"/>
  <Override PartName="/xl/ctrlProps/ctrlProp26.xml" ContentType="application/vnd.ms-excel.controlproperties+xml"/>
  <Override PartName="/xl/comments23.xml" ContentType="application/vnd.openxmlformats-officedocument.spreadsheetml.comments+xml"/>
  <Override PartName="/xl/drawings/drawing29.xml" ContentType="application/vnd.openxmlformats-officedocument.drawing+xml"/>
  <Override PartName="/xl/ctrlProps/ctrlProp27.xml" ContentType="application/vnd.ms-excel.controlproperties+xml"/>
  <Override PartName="/xl/comments24.xml" ContentType="application/vnd.openxmlformats-officedocument.spreadsheetml.comments+xml"/>
  <Override PartName="/xl/drawings/drawing30.xml" ContentType="application/vnd.openxmlformats-officedocument.drawing+xml"/>
  <Override PartName="/xl/ctrlProps/ctrlProp28.xml" ContentType="application/vnd.ms-excel.controlproperties+xml"/>
  <Override PartName="/xl/comments25.xml" ContentType="application/vnd.openxmlformats-officedocument.spreadsheetml.comments+xml"/>
  <Override PartName="/xl/drawings/drawing31.xml" ContentType="application/vnd.openxmlformats-officedocument.drawing+xml"/>
  <Override PartName="/xl/ctrlProps/ctrlProp29.xml" ContentType="application/vnd.ms-excel.controlproperties+xml"/>
  <Override PartName="/xl/comments26.xml" ContentType="application/vnd.openxmlformats-officedocument.spreadsheetml.comments+xml"/>
  <Override PartName="/xl/drawings/drawing32.xml" ContentType="application/vnd.openxmlformats-officedocument.drawing+xml"/>
  <Override PartName="/xl/ctrlProps/ctrlProp30.xml" ContentType="application/vnd.ms-excel.controlpropertie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mc:AlternateContent xmlns:mc="http://schemas.openxmlformats.org/markup-compatibility/2006">
    <mc:Choice Requires="x15">
      <x15ac:absPath xmlns:x15ac="http://schemas.microsoft.com/office/spreadsheetml/2010/11/ac" url="R:\Planning_Policy_Public_Affairs\Policies\CEQA\Alameda CTC VMT Tool development\02-Project\05-Develop Strategies for Tool\Final Tool\"/>
    </mc:Choice>
  </mc:AlternateContent>
  <xr:revisionPtr revIDLastSave="0" documentId="8_{ADEC95B3-AA4E-445A-AE2C-A6084972C8CD}" xr6:coauthVersionLast="36" xr6:coauthVersionMax="36" xr10:uidLastSave="{00000000-0000-0000-0000-000000000000}"/>
  <workbookProtection workbookAlgorithmName="SHA-512" workbookHashValue="IFJiHQwQr5mq07qp05q4lbuDSZzhor69V17fEpuB7AUtgTZyK8gBlsHuAFx+3Z723nnA42Ha3Zkj5unv9ht3dA==" workbookSaltValue="b/YkZE74nuJQM7c6NLm1Hw==" workbookSpinCount="100000" lockStructure="1"/>
  <bookViews>
    <workbookView xWindow="0" yWindow="0" windowWidth="21930" windowHeight="8835" tabRatio="842" xr2:uid="{44845E6C-4277-4026-AB35-1DABD4D9EEA0}"/>
  </bookViews>
  <sheets>
    <sheet name="Main" sheetId="37" r:id="rId1"/>
    <sheet name="FAQs" sheetId="54" r:id="rId2"/>
    <sheet name="Results" sheetId="77" r:id="rId3"/>
    <sheet name="Conflict Info" sheetId="80" r:id="rId4"/>
    <sheet name="VL_TDM" sheetId="63" state="hidden" r:id="rId5"/>
    <sheet name="VL_REF" sheetId="74" state="hidden" r:id="rId6"/>
    <sheet name="VL_TAZ" sheetId="61" state="hidden" r:id="rId7"/>
    <sheet name="To do list" sheetId="73" state="hidden" r:id="rId8"/>
    <sheet name="Calc" sheetId="78" state="hidden" r:id="rId9"/>
    <sheet name="Conflict_Calc" sheetId="75" state="hidden" r:id="rId10"/>
    <sheet name="1A VCTR program" sheetId="55" r:id="rId11"/>
    <sheet name="1B CTR program" sheetId="27" r:id="rId12"/>
    <sheet name="1C carpool" sheetId="26" r:id="rId13"/>
    <sheet name="1D1 transit subsidy (employees)" sheetId="68" r:id="rId14"/>
    <sheet name="1D2 transit subsidy (residents)" sheetId="79" r:id="rId15"/>
    <sheet name="1E vanpool" sheetId="30" r:id="rId16"/>
    <sheet name="1F telecommute" sheetId="24" r:id="rId17"/>
    <sheet name="2A TOD" sheetId="23" r:id="rId18"/>
    <sheet name="2B1 Inc Res Dens" sheetId="64" r:id="rId19"/>
    <sheet name="2B2 Inc Emp Dens" sheetId="65" r:id="rId20"/>
    <sheet name="2C affordable housing" sheetId="67" r:id="rId21"/>
    <sheet name="3A1 price emp parking" sheetId="39" r:id="rId22"/>
    <sheet name="3A2 price res parking" sheetId="82" r:id="rId23"/>
    <sheet name="3B parking cash-out" sheetId="40" r:id="rId24"/>
    <sheet name="3C limit parking" sheetId="70" r:id="rId25"/>
    <sheet name="3D bike parking" sheetId="72" r:id="rId26"/>
    <sheet name="4A street connect" sheetId="3" r:id="rId27"/>
    <sheet name="4B sidewalks" sheetId="16" r:id="rId28"/>
    <sheet name="4C bike network" sheetId="59" r:id="rId29"/>
    <sheet name="4D bike project" sheetId="14" r:id="rId30"/>
    <sheet name="4E bikeshare" sheetId="46" r:id="rId31"/>
    <sheet name="4F carshare" sheetId="48" r:id="rId32"/>
    <sheet name="4G CBTP" sheetId="49" r:id="rId33"/>
    <sheet name="4H traffic calming" sheetId="71" r:id="rId34"/>
    <sheet name="5A T network exp" sheetId="44" r:id="rId35"/>
    <sheet name="5B T freq" sheetId="42" r:id="rId36"/>
    <sheet name="5C T treatments" sheetId="43" r:id="rId37"/>
    <sheet name="5D T fare reduction" sheetId="45" r:id="rId38"/>
    <sheet name="5E microtransit" sheetId="50" r:id="rId39"/>
  </sheets>
  <definedNames>
    <definedName name="_xlnm._FilterDatabase" localSheetId="6" hidden="1">VL_TAZ!$A$10:$AN$1590</definedName>
    <definedName name="_xlnm._FilterDatabase" localSheetId="4" hidden="1">VL_TDM!$A$10:$AW$41</definedName>
    <definedName name="Change_In_VMT_1B_CTR_Program">'1B CTR program'!$E$24</definedName>
    <definedName name="Change_in_VMT_1C_Carpool">'1C carpool'!$F$17</definedName>
    <definedName name="Change_in_VMT_1E_Vanpool">'1E vanpool'!$E$35</definedName>
    <definedName name="Change_in_VMT_1F_Telecommute">'1F telecommute'!$E$17</definedName>
    <definedName name="Change_in_VMT_2A_TOD">'2A TOD'!$E$30</definedName>
    <definedName name="Change_in_VMT_3A_Parking_Price" localSheetId="22">'3A2 price res parking'!$E$28</definedName>
    <definedName name="Change_in_VMT_3A_Parking_Price">'3A1 price emp parking'!$E$26</definedName>
    <definedName name="Change_in_VMT_3B_Parking_Cashout">'3B parking cash-out'!$E$14</definedName>
    <definedName name="Change_in_VMT_4A_Street_Connect">'4A street connect'!$E$22</definedName>
    <definedName name="Change_in_VMT_4B_Sidewalks">'4B sidewalks'!$E$26</definedName>
    <definedName name="Change_in_VMT_4C_Bike_Networks">'4C bike network'!$F$55</definedName>
    <definedName name="Change_in_VMT_4D_Bike_Project">'4D bike project'!$F$55</definedName>
    <definedName name="Change_in_VMT_4E_Bikeshare">'4E bikeshare'!$F$34</definedName>
    <definedName name="Change_in_VMT_4F_Carshare">'4F carshare'!$F$23</definedName>
    <definedName name="Change_in_VMT_4G_CBTP">'4G CBTP'!$E$22</definedName>
    <definedName name="Change_in_VMT_5A_T_Network_Exp">'5A T network exp'!$E$30</definedName>
    <definedName name="Change_in_VMT_5B_T_Freq">'5B T freq'!$E$37</definedName>
    <definedName name="Change_in_VMT_5C_T_treatments">'5C T treatments'!$E$37</definedName>
    <definedName name="Change_in_VMT_5D_Fare_Reduction">'5D T fare reduction'!$E$38</definedName>
    <definedName name="Change_in_VMT_5E_Microtransit">'5E microtransit'!$E$34</definedName>
    <definedName name="_xlnm.Database">VL_TAZ!$A$10:$M$1590</definedName>
    <definedName name="jurisdiction">Main!$F$58</definedName>
    <definedName name="Location">Main!$F$56</definedName>
    <definedName name="_xlnm.Print_Area" localSheetId="1">FAQs!$A$1:$F$36</definedName>
    <definedName name="_xlnm.Print_Titles" localSheetId="2">Results!$1:$3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1" i="77" l="1"/>
  <c r="C10" i="55"/>
  <c r="C30" i="82"/>
  <c r="E28" i="82"/>
  <c r="G14" i="82"/>
  <c r="E18" i="82"/>
  <c r="G12" i="3"/>
  <c r="G38" i="77"/>
  <c r="F38" i="77"/>
  <c r="E38" i="77"/>
  <c r="H23" i="78"/>
  <c r="J23" i="78" s="1"/>
  <c r="D103" i="77"/>
  <c r="C34" i="82"/>
  <c r="C104" i="77" s="1"/>
  <c r="E15" i="82"/>
  <c r="C10" i="82"/>
  <c r="D8" i="82"/>
  <c r="D7" i="82"/>
  <c r="D6" i="82"/>
  <c r="B4" i="82"/>
  <c r="H28" i="82" l="1"/>
  <c r="D23" i="78" s="1"/>
  <c r="AH23" i="75" s="1"/>
  <c r="F23" i="78"/>
  <c r="L23" i="78"/>
  <c r="I23" i="78"/>
  <c r="G28" i="45"/>
  <c r="G22" i="45"/>
  <c r="G27" i="43"/>
  <c r="G21" i="43"/>
  <c r="G27" i="42"/>
  <c r="G21" i="42"/>
  <c r="G18" i="44"/>
  <c r="C55" i="37"/>
  <c r="BH41" i="63" a="1"/>
  <c r="BH41" i="63" s="1"/>
  <c r="BG41" i="63" a="1"/>
  <c r="BG41" i="63" s="1"/>
  <c r="BF41" i="63" a="1"/>
  <c r="BF41" i="63" s="1"/>
  <c r="BE41" i="63" a="1"/>
  <c r="BE41" i="63" s="1"/>
  <c r="BD41" i="63" a="1"/>
  <c r="BD41" i="63" s="1"/>
  <c r="BC41" i="63" a="1"/>
  <c r="BC41" i="63" s="1"/>
  <c r="BB41" i="63" a="1"/>
  <c r="BB41" i="63" s="1"/>
  <c r="BA41" i="63" a="1"/>
  <c r="BA41" i="63" s="1"/>
  <c r="BH40" i="63" a="1"/>
  <c r="BH40" i="63" s="1"/>
  <c r="BG40" i="63" a="1"/>
  <c r="BG40" i="63" s="1"/>
  <c r="BF40" i="63" a="1"/>
  <c r="BF40" i="63" s="1"/>
  <c r="BE40" i="63" a="1"/>
  <c r="BE40" i="63" s="1"/>
  <c r="BD40" i="63" a="1"/>
  <c r="BD40" i="63" s="1"/>
  <c r="BC40" i="63" a="1"/>
  <c r="BC40" i="63" s="1"/>
  <c r="BB40" i="63" a="1"/>
  <c r="BB40" i="63" s="1"/>
  <c r="BA40" i="63" a="1"/>
  <c r="BA40" i="63" s="1"/>
  <c r="BH39" i="63" a="1"/>
  <c r="BH39" i="63" s="1"/>
  <c r="BG39" i="63" a="1"/>
  <c r="BG39" i="63" s="1"/>
  <c r="BF39" i="63" a="1"/>
  <c r="BF39" i="63" s="1"/>
  <c r="BE39" i="63" a="1"/>
  <c r="BE39" i="63" s="1"/>
  <c r="BD39" i="63" a="1"/>
  <c r="BD39" i="63" s="1"/>
  <c r="BC39" i="63" a="1"/>
  <c r="BC39" i="63" s="1"/>
  <c r="BB39" i="63" a="1"/>
  <c r="BB39" i="63" s="1"/>
  <c r="BA39" i="63" a="1"/>
  <c r="BA39" i="63" s="1"/>
  <c r="BH38" i="63" a="1"/>
  <c r="BH38" i="63" s="1"/>
  <c r="BG38" i="63" a="1"/>
  <c r="BG38" i="63" s="1"/>
  <c r="BF38" i="63" a="1"/>
  <c r="BF38" i="63" s="1"/>
  <c r="BE38" i="63" a="1"/>
  <c r="BE38" i="63" s="1"/>
  <c r="BD38" i="63" a="1"/>
  <c r="BD38" i="63" s="1"/>
  <c r="BC38" i="63" a="1"/>
  <c r="BC38" i="63" s="1"/>
  <c r="BB38" i="63" a="1"/>
  <c r="BB38" i="63" s="1"/>
  <c r="BA38" i="63" a="1"/>
  <c r="BA38" i="63" s="1"/>
  <c r="BH37" i="63" a="1"/>
  <c r="BH37" i="63" s="1"/>
  <c r="BG37" i="63" a="1"/>
  <c r="BG37" i="63" s="1"/>
  <c r="BF37" i="63" a="1"/>
  <c r="BF37" i="63" s="1"/>
  <c r="BE37" i="63" a="1"/>
  <c r="BE37" i="63" s="1"/>
  <c r="BD37" i="63" a="1"/>
  <c r="BD37" i="63" s="1"/>
  <c r="BC37" i="63" a="1"/>
  <c r="BC37" i="63" s="1"/>
  <c r="BB37" i="63" a="1"/>
  <c r="BB37" i="63" s="1"/>
  <c r="BA37" i="63" a="1"/>
  <c r="BA37" i="63" s="1"/>
  <c r="BH36" i="63" a="1"/>
  <c r="BH36" i="63" s="1"/>
  <c r="BG36" i="63" a="1"/>
  <c r="BG36" i="63" s="1"/>
  <c r="BF36" i="63" a="1"/>
  <c r="BF36" i="63" s="1"/>
  <c r="BE36" i="63" a="1"/>
  <c r="BE36" i="63" s="1"/>
  <c r="BD36" i="63" a="1"/>
  <c r="BD36" i="63" s="1"/>
  <c r="BC36" i="63" a="1"/>
  <c r="BC36" i="63" s="1"/>
  <c r="BB36" i="63" a="1"/>
  <c r="BB36" i="63" s="1"/>
  <c r="BA36" i="63" a="1"/>
  <c r="BA36" i="63" s="1"/>
  <c r="BH35" i="63" a="1"/>
  <c r="BH35" i="63" s="1"/>
  <c r="BG35" i="63" a="1"/>
  <c r="BG35" i="63" s="1"/>
  <c r="BF35" i="63" a="1"/>
  <c r="BF35" i="63" s="1"/>
  <c r="BE35" i="63" a="1"/>
  <c r="BE35" i="63" s="1"/>
  <c r="BD35" i="63" a="1"/>
  <c r="BD35" i="63" s="1"/>
  <c r="BC35" i="63" a="1"/>
  <c r="BC35" i="63" s="1"/>
  <c r="BB35" i="63" a="1"/>
  <c r="BB35" i="63" s="1"/>
  <c r="BA35" i="63" a="1"/>
  <c r="BA35" i="63" s="1"/>
  <c r="BH34" i="63" a="1"/>
  <c r="BH34" i="63" s="1"/>
  <c r="BG34" i="63" a="1"/>
  <c r="BG34" i="63" s="1"/>
  <c r="BF34" i="63" a="1"/>
  <c r="BF34" i="63" s="1"/>
  <c r="BE34" i="63" a="1"/>
  <c r="BE34" i="63" s="1"/>
  <c r="BD34" i="63" a="1"/>
  <c r="BD34" i="63" s="1"/>
  <c r="BC34" i="63" a="1"/>
  <c r="BC34" i="63" s="1"/>
  <c r="BB34" i="63" a="1"/>
  <c r="BB34" i="63" s="1"/>
  <c r="BA34" i="63" a="1"/>
  <c r="BA34" i="63" s="1"/>
  <c r="BH33" i="63" a="1"/>
  <c r="BH33" i="63" s="1"/>
  <c r="BG33" i="63" a="1"/>
  <c r="BG33" i="63" s="1"/>
  <c r="BF33" i="63" a="1"/>
  <c r="BF33" i="63" s="1"/>
  <c r="BE33" i="63" a="1"/>
  <c r="BE33" i="63" s="1"/>
  <c r="BD33" i="63" a="1"/>
  <c r="BD33" i="63" s="1"/>
  <c r="BC33" i="63" a="1"/>
  <c r="BC33" i="63" s="1"/>
  <c r="BB33" i="63" a="1"/>
  <c r="BB33" i="63" s="1"/>
  <c r="BA33" i="63" a="1"/>
  <c r="BA33" i="63" s="1"/>
  <c r="BH32" i="63" a="1"/>
  <c r="BH32" i="63" s="1"/>
  <c r="BG32" i="63" a="1"/>
  <c r="BG32" i="63" s="1"/>
  <c r="BF32" i="63" a="1"/>
  <c r="BF32" i="63" s="1"/>
  <c r="BE32" i="63" a="1"/>
  <c r="BE32" i="63" s="1"/>
  <c r="BD32" i="63" a="1"/>
  <c r="BD32" i="63" s="1"/>
  <c r="BC32" i="63" a="1"/>
  <c r="BC32" i="63" s="1"/>
  <c r="BB32" i="63" a="1"/>
  <c r="BB32" i="63" s="1"/>
  <c r="BA32" i="63" a="1"/>
  <c r="BA32" i="63" s="1"/>
  <c r="BH31" i="63" a="1"/>
  <c r="BH31" i="63" s="1"/>
  <c r="BG31" i="63" a="1"/>
  <c r="BG31" i="63" s="1"/>
  <c r="BF31" i="63" a="1"/>
  <c r="BF31" i="63" s="1"/>
  <c r="BE31" i="63" a="1"/>
  <c r="BE31" i="63" s="1"/>
  <c r="BD31" i="63" a="1"/>
  <c r="BD31" i="63" s="1"/>
  <c r="BC31" i="63" a="1"/>
  <c r="BC31" i="63" s="1"/>
  <c r="BB31" i="63" a="1"/>
  <c r="BB31" i="63" s="1"/>
  <c r="BA31" i="63" a="1"/>
  <c r="BA31" i="63" s="1"/>
  <c r="BH30" i="63" a="1"/>
  <c r="BH30" i="63" s="1"/>
  <c r="BG30" i="63" a="1"/>
  <c r="BG30" i="63" s="1"/>
  <c r="BF30" i="63" a="1"/>
  <c r="BF30" i="63" s="1"/>
  <c r="BE30" i="63" a="1"/>
  <c r="BE30" i="63" s="1"/>
  <c r="BD30" i="63" a="1"/>
  <c r="BD30" i="63" s="1"/>
  <c r="BC30" i="63" a="1"/>
  <c r="BC30" i="63" s="1"/>
  <c r="BB30" i="63" a="1"/>
  <c r="BB30" i="63" s="1"/>
  <c r="BA30" i="63" a="1"/>
  <c r="BA30" i="63" s="1"/>
  <c r="BH29" i="63" a="1"/>
  <c r="BH29" i="63" s="1"/>
  <c r="BG29" i="63" a="1"/>
  <c r="BG29" i="63" s="1"/>
  <c r="BF29" i="63" a="1"/>
  <c r="BF29" i="63" s="1"/>
  <c r="BE29" i="63" a="1"/>
  <c r="BE29" i="63" s="1"/>
  <c r="BD29" i="63" a="1"/>
  <c r="BD29" i="63" s="1"/>
  <c r="BC29" i="63" a="1"/>
  <c r="BC29" i="63" s="1"/>
  <c r="BB29" i="63" a="1"/>
  <c r="BB29" i="63" s="1"/>
  <c r="BA29" i="63" a="1"/>
  <c r="BA29" i="63" s="1"/>
  <c r="BH28" i="63" a="1"/>
  <c r="BH28" i="63" s="1"/>
  <c r="BG28" i="63" a="1"/>
  <c r="BG28" i="63" s="1"/>
  <c r="BF28" i="63" a="1"/>
  <c r="BF28" i="63" s="1"/>
  <c r="BE28" i="63" a="1"/>
  <c r="BE28" i="63" s="1"/>
  <c r="BD28" i="63" a="1"/>
  <c r="BD28" i="63" s="1"/>
  <c r="BC28" i="63" a="1"/>
  <c r="BC28" i="63" s="1"/>
  <c r="BB28" i="63" a="1"/>
  <c r="BB28" i="63" s="1"/>
  <c r="BA28" i="63" a="1"/>
  <c r="BA28" i="63" s="1"/>
  <c r="BH27" i="63" a="1"/>
  <c r="BH27" i="63" s="1"/>
  <c r="BG27" i="63" a="1"/>
  <c r="BG27" i="63" s="1"/>
  <c r="BF27" i="63" a="1"/>
  <c r="BF27" i="63" s="1"/>
  <c r="BE27" i="63" a="1"/>
  <c r="BE27" i="63" s="1"/>
  <c r="BD27" i="63" a="1"/>
  <c r="BD27" i="63" s="1"/>
  <c r="BC27" i="63" a="1"/>
  <c r="BC27" i="63" s="1"/>
  <c r="BB27" i="63" a="1"/>
  <c r="BB27" i="63" s="1"/>
  <c r="BA27" i="63" a="1"/>
  <c r="BA27" i="63" s="1"/>
  <c r="BH26" i="63" a="1"/>
  <c r="BH26" i="63" s="1"/>
  <c r="BG26" i="63" a="1"/>
  <c r="BG26" i="63" s="1"/>
  <c r="BF26" i="63" a="1"/>
  <c r="BF26" i="63" s="1"/>
  <c r="BE26" i="63" a="1"/>
  <c r="BE26" i="63" s="1"/>
  <c r="BD26" i="63" a="1"/>
  <c r="BD26" i="63" s="1"/>
  <c r="BC26" i="63" a="1"/>
  <c r="BC26" i="63" s="1"/>
  <c r="BB26" i="63" a="1"/>
  <c r="BB26" i="63" s="1"/>
  <c r="BA26" i="63" a="1"/>
  <c r="BA26" i="63" s="1"/>
  <c r="BH24" i="63" a="1"/>
  <c r="BH24" i="63" s="1"/>
  <c r="BG24" i="63" a="1"/>
  <c r="BG24" i="63" s="1"/>
  <c r="BF24" i="63" a="1"/>
  <c r="BF24" i="63" s="1"/>
  <c r="BE24" i="63" a="1"/>
  <c r="BE24" i="63" s="1"/>
  <c r="BD24" i="63" a="1"/>
  <c r="BD24" i="63" s="1"/>
  <c r="BC24" i="63" a="1"/>
  <c r="BC24" i="63" s="1"/>
  <c r="BB24" i="63" a="1"/>
  <c r="BB24" i="63" s="1"/>
  <c r="BA24" i="63" a="1"/>
  <c r="BA24" i="63" s="1"/>
  <c r="BH23" i="63" a="1"/>
  <c r="BH23" i="63" s="1"/>
  <c r="BG23" i="63" a="1"/>
  <c r="BG23" i="63" s="1"/>
  <c r="BF23" i="63" a="1"/>
  <c r="BF23" i="63" s="1"/>
  <c r="BE23" i="63" a="1"/>
  <c r="BE23" i="63" s="1"/>
  <c r="BD23" i="63" a="1"/>
  <c r="BD23" i="63" s="1"/>
  <c r="BC23" i="63" a="1"/>
  <c r="BC23" i="63" s="1"/>
  <c r="BB23" i="63" a="1"/>
  <c r="BB23" i="63" s="1"/>
  <c r="BA23" i="63" a="1"/>
  <c r="BA23" i="63" s="1"/>
  <c r="BH22" i="63" a="1"/>
  <c r="BH22" i="63" s="1"/>
  <c r="BG22" i="63" a="1"/>
  <c r="BG22" i="63" s="1"/>
  <c r="BF22" i="63" a="1"/>
  <c r="BF22" i="63" s="1"/>
  <c r="BE22" i="63" a="1"/>
  <c r="BE22" i="63" s="1"/>
  <c r="BD22" i="63" a="1"/>
  <c r="BD22" i="63" s="1"/>
  <c r="BC22" i="63" a="1"/>
  <c r="BC22" i="63" s="1"/>
  <c r="BB22" i="63" a="1"/>
  <c r="BB22" i="63" s="1"/>
  <c r="BA22" i="63" a="1"/>
  <c r="BA22" i="63" s="1"/>
  <c r="BH21" i="63" a="1"/>
  <c r="BH21" i="63" s="1"/>
  <c r="BG21" i="63" a="1"/>
  <c r="BG21" i="63" s="1"/>
  <c r="BF21" i="63" a="1"/>
  <c r="BF21" i="63" s="1"/>
  <c r="BE21" i="63" a="1"/>
  <c r="BE21" i="63" s="1"/>
  <c r="BD21" i="63" a="1"/>
  <c r="BD21" i="63" s="1"/>
  <c r="BC21" i="63" a="1"/>
  <c r="BC21" i="63" s="1"/>
  <c r="BB21" i="63" a="1"/>
  <c r="BB21" i="63" s="1"/>
  <c r="BA21" i="63" a="1"/>
  <c r="BA21" i="63" s="1"/>
  <c r="BH20" i="63" a="1"/>
  <c r="BH20" i="63" s="1"/>
  <c r="BG20" i="63" a="1"/>
  <c r="BG20" i="63" s="1"/>
  <c r="BF20" i="63" a="1"/>
  <c r="BF20" i="63" s="1"/>
  <c r="BE20" i="63" a="1"/>
  <c r="BE20" i="63" s="1"/>
  <c r="BD20" i="63" a="1"/>
  <c r="BD20" i="63" s="1"/>
  <c r="BC20" i="63" a="1"/>
  <c r="BC20" i="63" s="1"/>
  <c r="BB20" i="63" a="1"/>
  <c r="BB20" i="63" s="1"/>
  <c r="BA20" i="63" a="1"/>
  <c r="BA20" i="63" s="1"/>
  <c r="BH19" i="63" a="1"/>
  <c r="BH19" i="63" s="1"/>
  <c r="BG19" i="63" a="1"/>
  <c r="BG19" i="63" s="1"/>
  <c r="BF19" i="63" a="1"/>
  <c r="BF19" i="63" s="1"/>
  <c r="BE19" i="63" a="1"/>
  <c r="BE19" i="63" s="1"/>
  <c r="BD19" i="63" a="1"/>
  <c r="BD19" i="63" s="1"/>
  <c r="BC19" i="63" a="1"/>
  <c r="BC19" i="63" s="1"/>
  <c r="BB19" i="63" a="1"/>
  <c r="BB19" i="63" s="1"/>
  <c r="BA19" i="63" a="1"/>
  <c r="BA19" i="63" s="1"/>
  <c r="BH18" i="63" a="1"/>
  <c r="BH18" i="63" s="1"/>
  <c r="BG18" i="63" a="1"/>
  <c r="BG18" i="63" s="1"/>
  <c r="BF18" i="63" a="1"/>
  <c r="BF18" i="63" s="1"/>
  <c r="BE18" i="63" a="1"/>
  <c r="BE18" i="63" s="1"/>
  <c r="BD18" i="63" a="1"/>
  <c r="BD18" i="63" s="1"/>
  <c r="BC18" i="63" a="1"/>
  <c r="BC18" i="63" s="1"/>
  <c r="BB18" i="63" a="1"/>
  <c r="BB18" i="63" s="1"/>
  <c r="BA18" i="63" a="1"/>
  <c r="BA18" i="63" s="1"/>
  <c r="BH17" i="63" a="1"/>
  <c r="BH17" i="63" s="1"/>
  <c r="BG17" i="63" a="1"/>
  <c r="BG17" i="63" s="1"/>
  <c r="BF17" i="63" a="1"/>
  <c r="BF17" i="63" s="1"/>
  <c r="BE17" i="63" a="1"/>
  <c r="BE17" i="63" s="1"/>
  <c r="BD17" i="63" a="1"/>
  <c r="BD17" i="63" s="1"/>
  <c r="BC17" i="63" a="1"/>
  <c r="BC17" i="63" s="1"/>
  <c r="BB17" i="63" a="1"/>
  <c r="BB17" i="63" s="1"/>
  <c r="BA17" i="63" a="1"/>
  <c r="BA17" i="63" s="1"/>
  <c r="BH16" i="63" a="1"/>
  <c r="BH16" i="63" s="1"/>
  <c r="BG16" i="63" a="1"/>
  <c r="BG16" i="63" s="1"/>
  <c r="BF16" i="63" a="1"/>
  <c r="BF16" i="63" s="1"/>
  <c r="BE16" i="63" a="1"/>
  <c r="BE16" i="63" s="1"/>
  <c r="BD16" i="63" a="1"/>
  <c r="BD16" i="63" s="1"/>
  <c r="BC16" i="63" a="1"/>
  <c r="BC16" i="63" s="1"/>
  <c r="BB16" i="63" a="1"/>
  <c r="BB16" i="63" s="1"/>
  <c r="BA16" i="63" a="1"/>
  <c r="BA16" i="63" s="1"/>
  <c r="BH14" i="63" a="1"/>
  <c r="BH14" i="63" s="1"/>
  <c r="BG14" i="63" a="1"/>
  <c r="BG14" i="63" s="1"/>
  <c r="BF14" i="63" a="1"/>
  <c r="BF14" i="63" s="1"/>
  <c r="BE14" i="63" a="1"/>
  <c r="BE14" i="63" s="1"/>
  <c r="BD14" i="63" a="1"/>
  <c r="BD14" i="63" s="1"/>
  <c r="BC14" i="63" a="1"/>
  <c r="BC14" i="63" s="1"/>
  <c r="BB14" i="63" a="1"/>
  <c r="BB14" i="63" s="1"/>
  <c r="BA14" i="63" a="1"/>
  <c r="BA14" i="63" s="1"/>
  <c r="BH13" i="63" a="1"/>
  <c r="BH13" i="63" s="1"/>
  <c r="BG13" i="63" a="1"/>
  <c r="BG13" i="63" s="1"/>
  <c r="BF13" i="63" a="1"/>
  <c r="BF13" i="63" s="1"/>
  <c r="BE13" i="63" a="1"/>
  <c r="BE13" i="63" s="1"/>
  <c r="BD13" i="63" a="1"/>
  <c r="BD13" i="63" s="1"/>
  <c r="BC13" i="63" a="1"/>
  <c r="BC13" i="63" s="1"/>
  <c r="BB13" i="63" a="1"/>
  <c r="BB13" i="63" s="1"/>
  <c r="BA13" i="63" a="1"/>
  <c r="BA13" i="63" s="1"/>
  <c r="BH12" i="63" a="1"/>
  <c r="BH12" i="63" s="1"/>
  <c r="BG12" i="63" a="1"/>
  <c r="BG12" i="63" s="1"/>
  <c r="BF12" i="63" a="1"/>
  <c r="BF12" i="63" s="1"/>
  <c r="BE12" i="63" a="1"/>
  <c r="BE12" i="63" s="1"/>
  <c r="BD12" i="63" a="1"/>
  <c r="BD12" i="63" s="1"/>
  <c r="BC12" i="63" a="1"/>
  <c r="BC12" i="63" s="1"/>
  <c r="BB12" i="63" a="1"/>
  <c r="BB12" i="63" s="1"/>
  <c r="BA12" i="63" a="1"/>
  <c r="BA12" i="63" s="1"/>
  <c r="BH11" i="63" a="1"/>
  <c r="BH11" i="63" s="1"/>
  <c r="BG11" i="63" a="1"/>
  <c r="BG11" i="63" s="1"/>
  <c r="BF11" i="63" a="1"/>
  <c r="BF11" i="63" s="1"/>
  <c r="BE11" i="63" a="1"/>
  <c r="BE11" i="63" s="1"/>
  <c r="BD11" i="63" a="1"/>
  <c r="BD11" i="63" s="1"/>
  <c r="BC11" i="63" a="1"/>
  <c r="BC11" i="63" s="1"/>
  <c r="BB11" i="63" a="1"/>
  <c r="BB11" i="63" s="1"/>
  <c r="BA11" i="63" a="1"/>
  <c r="BA11" i="63" s="1"/>
  <c r="AV23" i="75" l="1"/>
  <c r="G28" i="50"/>
  <c r="G22" i="50"/>
  <c r="H26" i="46"/>
  <c r="H20" i="46"/>
  <c r="H22" i="14"/>
  <c r="H16" i="14"/>
  <c r="H46" i="59"/>
  <c r="H40" i="59"/>
  <c r="H23" i="59"/>
  <c r="H17" i="59"/>
  <c r="H13" i="72"/>
  <c r="H31" i="72"/>
  <c r="H25" i="72"/>
  <c r="H19" i="72"/>
  <c r="G14" i="65"/>
  <c r="G24" i="23"/>
  <c r="G15" i="23"/>
  <c r="G21" i="30"/>
  <c r="G22" i="79"/>
  <c r="G20" i="68"/>
  <c r="C37" i="23"/>
  <c r="G14" i="43" l="1"/>
  <c r="G14" i="64" l="1"/>
  <c r="F58" i="37" l="1"/>
  <c r="F38" i="59" l="1"/>
  <c r="E20" i="50"/>
  <c r="F14" i="77"/>
  <c r="C40" i="45" l="1"/>
  <c r="E18" i="45"/>
  <c r="E18" i="39"/>
  <c r="E26" i="39" s="1"/>
  <c r="C20" i="67"/>
  <c r="CI6" i="74"/>
  <c r="CH12" i="74" s="1"/>
  <c r="CJ13" i="74"/>
  <c r="CJ14" i="74"/>
  <c r="CJ12" i="74"/>
  <c r="G13" i="30"/>
  <c r="H15" i="55"/>
  <c r="G15" i="27"/>
  <c r="H30" i="59"/>
  <c r="H14" i="14"/>
  <c r="H13" i="14"/>
  <c r="H14" i="59"/>
  <c r="H13" i="59"/>
  <c r="C19" i="40"/>
  <c r="C8" i="40"/>
  <c r="C9" i="26"/>
  <c r="F12" i="77"/>
  <c r="F10" i="77"/>
  <c r="F8" i="77"/>
  <c r="W12" i="61"/>
  <c r="W13" i="61"/>
  <c r="W14" i="61"/>
  <c r="W16" i="61"/>
  <c r="W17" i="61"/>
  <c r="W18" i="61"/>
  <c r="W19" i="61"/>
  <c r="W20" i="61"/>
  <c r="W21" i="61"/>
  <c r="W22" i="61"/>
  <c r="W23" i="61"/>
  <c r="W24" i="61"/>
  <c r="W25" i="61"/>
  <c r="W26" i="61"/>
  <c r="W27" i="61"/>
  <c r="W28" i="61"/>
  <c r="W29" i="61"/>
  <c r="W30" i="61"/>
  <c r="W31" i="61"/>
  <c r="W32" i="61"/>
  <c r="W33" i="61"/>
  <c r="W34" i="61"/>
  <c r="W35" i="61"/>
  <c r="W36" i="61"/>
  <c r="W37" i="61"/>
  <c r="W38" i="61"/>
  <c r="W39" i="61"/>
  <c r="W40" i="61"/>
  <c r="W41" i="61"/>
  <c r="W42" i="61"/>
  <c r="W43" i="61"/>
  <c r="W44" i="61"/>
  <c r="W45" i="61"/>
  <c r="W46" i="61"/>
  <c r="W47" i="61"/>
  <c r="W48" i="61"/>
  <c r="W49" i="61"/>
  <c r="W50" i="61"/>
  <c r="W51" i="61"/>
  <c r="W52" i="61"/>
  <c r="W53" i="61"/>
  <c r="W54" i="61"/>
  <c r="W55" i="61"/>
  <c r="W56" i="61"/>
  <c r="W57" i="61"/>
  <c r="W58" i="61"/>
  <c r="W59" i="61"/>
  <c r="W60" i="61"/>
  <c r="W61" i="61"/>
  <c r="W62" i="61"/>
  <c r="W63" i="61"/>
  <c r="W64" i="61"/>
  <c r="W65" i="61"/>
  <c r="W66" i="61"/>
  <c r="W67" i="61"/>
  <c r="W68" i="61"/>
  <c r="W69" i="61"/>
  <c r="W70" i="61"/>
  <c r="W71" i="61"/>
  <c r="W72" i="61"/>
  <c r="W73" i="61"/>
  <c r="W74" i="61"/>
  <c r="W75" i="61"/>
  <c r="W76" i="61"/>
  <c r="W77" i="61"/>
  <c r="W78" i="61"/>
  <c r="W79" i="61"/>
  <c r="W80" i="61"/>
  <c r="W81" i="61"/>
  <c r="W82" i="61"/>
  <c r="W83" i="61"/>
  <c r="W84" i="61"/>
  <c r="W85" i="61"/>
  <c r="W86" i="61"/>
  <c r="W87" i="61"/>
  <c r="W88" i="61"/>
  <c r="W89" i="61"/>
  <c r="W90" i="61"/>
  <c r="W91" i="61"/>
  <c r="W92" i="61"/>
  <c r="W93" i="61"/>
  <c r="W94" i="61"/>
  <c r="W95" i="61"/>
  <c r="W96" i="61"/>
  <c r="W97" i="61"/>
  <c r="W98" i="61"/>
  <c r="W99" i="61"/>
  <c r="W100" i="61"/>
  <c r="W101" i="61"/>
  <c r="W102" i="61"/>
  <c r="W103" i="61"/>
  <c r="W104" i="61"/>
  <c r="W105" i="61"/>
  <c r="W106" i="61"/>
  <c r="W107" i="61"/>
  <c r="W108" i="61"/>
  <c r="W109" i="61"/>
  <c r="W110" i="61"/>
  <c r="W111" i="61"/>
  <c r="W112" i="61"/>
  <c r="W113" i="61"/>
  <c r="W114" i="61"/>
  <c r="W115" i="61"/>
  <c r="W116" i="61"/>
  <c r="W117" i="61"/>
  <c r="W118" i="61"/>
  <c r="W119" i="61"/>
  <c r="W120" i="61"/>
  <c r="W121" i="61"/>
  <c r="W122" i="61"/>
  <c r="W123" i="61"/>
  <c r="W124" i="61"/>
  <c r="W125" i="61"/>
  <c r="W126" i="61"/>
  <c r="W127" i="61"/>
  <c r="W128" i="61"/>
  <c r="W129" i="61"/>
  <c r="W130" i="61"/>
  <c r="W131" i="61"/>
  <c r="W132" i="61"/>
  <c r="W133" i="61"/>
  <c r="W134" i="61"/>
  <c r="W135" i="61"/>
  <c r="W136" i="61"/>
  <c r="W137" i="61"/>
  <c r="W138" i="61"/>
  <c r="W139" i="61"/>
  <c r="W140" i="61"/>
  <c r="W141" i="61"/>
  <c r="W142" i="61"/>
  <c r="W143" i="61"/>
  <c r="W144" i="61"/>
  <c r="W145" i="61"/>
  <c r="W146" i="61"/>
  <c r="W147" i="61"/>
  <c r="W148" i="61"/>
  <c r="W149" i="61"/>
  <c r="W150" i="61"/>
  <c r="W151" i="61"/>
  <c r="W152" i="61"/>
  <c r="W153" i="61"/>
  <c r="W154" i="61"/>
  <c r="W155" i="61"/>
  <c r="W156" i="61"/>
  <c r="W157" i="61"/>
  <c r="W158" i="61"/>
  <c r="W159" i="61"/>
  <c r="W160" i="61"/>
  <c r="W161" i="61"/>
  <c r="W162" i="61"/>
  <c r="W163" i="61"/>
  <c r="W164" i="61"/>
  <c r="W167" i="61"/>
  <c r="W168" i="61"/>
  <c r="W169" i="61"/>
  <c r="W170" i="61"/>
  <c r="W171" i="61"/>
  <c r="W174" i="61"/>
  <c r="W176" i="61"/>
  <c r="W177" i="61"/>
  <c r="W182" i="61"/>
  <c r="W183" i="61"/>
  <c r="W184" i="61"/>
  <c r="W185" i="61"/>
  <c r="W186" i="61"/>
  <c r="W187" i="61"/>
  <c r="W188" i="61"/>
  <c r="W189" i="61"/>
  <c r="W190" i="61"/>
  <c r="W191" i="61"/>
  <c r="W192" i="61"/>
  <c r="W193" i="61"/>
  <c r="W194" i="61"/>
  <c r="W195" i="61"/>
  <c r="W196" i="61"/>
  <c r="W197" i="61"/>
  <c r="W198" i="61"/>
  <c r="W199" i="61"/>
  <c r="W200" i="61"/>
  <c r="W201" i="61"/>
  <c r="W202" i="61"/>
  <c r="W203" i="61"/>
  <c r="W204" i="61"/>
  <c r="W205" i="61"/>
  <c r="W206" i="61"/>
  <c r="W207" i="61"/>
  <c r="W208" i="61"/>
  <c r="W209" i="61"/>
  <c r="W210" i="61"/>
  <c r="W211" i="61"/>
  <c r="W212" i="61"/>
  <c r="W213" i="61"/>
  <c r="W214" i="61"/>
  <c r="W215" i="61"/>
  <c r="W216" i="61"/>
  <c r="W217" i="61"/>
  <c r="W218" i="61"/>
  <c r="W219" i="61"/>
  <c r="W220" i="61"/>
  <c r="W221" i="61"/>
  <c r="W222" i="61"/>
  <c r="W223" i="61"/>
  <c r="W224" i="61"/>
  <c r="W225" i="61"/>
  <c r="W226" i="61"/>
  <c r="W227" i="61"/>
  <c r="W228" i="61"/>
  <c r="W229" i="61"/>
  <c r="W230" i="61"/>
  <c r="W231" i="61"/>
  <c r="W232" i="61"/>
  <c r="W233" i="61"/>
  <c r="W234" i="61"/>
  <c r="W235" i="61"/>
  <c r="W236" i="61"/>
  <c r="W237" i="61"/>
  <c r="W238" i="61"/>
  <c r="W239" i="61"/>
  <c r="W240" i="61"/>
  <c r="W241" i="61"/>
  <c r="W242" i="61"/>
  <c r="W243" i="61"/>
  <c r="W244" i="61"/>
  <c r="W245" i="61"/>
  <c r="W246" i="61"/>
  <c r="W247" i="61"/>
  <c r="W248" i="61"/>
  <c r="W249" i="61"/>
  <c r="W250" i="61"/>
  <c r="W251" i="61"/>
  <c r="W252" i="61"/>
  <c r="W253" i="61"/>
  <c r="W254" i="61"/>
  <c r="W255" i="61"/>
  <c r="W256" i="61"/>
  <c r="W257" i="61"/>
  <c r="W258" i="61"/>
  <c r="W259" i="61"/>
  <c r="W260" i="61"/>
  <c r="W261" i="61"/>
  <c r="W262" i="61"/>
  <c r="W263" i="61"/>
  <c r="W265" i="61"/>
  <c r="W266" i="61"/>
  <c r="W267" i="61"/>
  <c r="W270" i="61"/>
  <c r="W271" i="61"/>
  <c r="W272" i="61"/>
  <c r="W273" i="61"/>
  <c r="W274" i="61"/>
  <c r="W275" i="61"/>
  <c r="W276" i="61"/>
  <c r="W277" i="61"/>
  <c r="W278" i="61"/>
  <c r="W279" i="61"/>
  <c r="W280" i="61"/>
  <c r="W281" i="61"/>
  <c r="W282" i="61"/>
  <c r="W283" i="61"/>
  <c r="W284" i="61"/>
  <c r="W285" i="61"/>
  <c r="W286" i="61"/>
  <c r="W287" i="61"/>
  <c r="W288" i="61"/>
  <c r="W289" i="61"/>
  <c r="W290" i="61"/>
  <c r="W291" i="61"/>
  <c r="W292" i="61"/>
  <c r="W293" i="61"/>
  <c r="W294" i="61"/>
  <c r="W295" i="61"/>
  <c r="W296" i="61"/>
  <c r="W297" i="61"/>
  <c r="W298" i="61"/>
  <c r="W299" i="61"/>
  <c r="W300" i="61"/>
  <c r="W301" i="61"/>
  <c r="W302" i="61"/>
  <c r="W303" i="61"/>
  <c r="W304" i="61"/>
  <c r="W305" i="61"/>
  <c r="W306" i="61"/>
  <c r="W307" i="61"/>
  <c r="W308" i="61"/>
  <c r="W309" i="61"/>
  <c r="W310" i="61"/>
  <c r="W311" i="61"/>
  <c r="W312" i="61"/>
  <c r="W313" i="61"/>
  <c r="W314" i="61"/>
  <c r="W315" i="61"/>
  <c r="W316" i="61"/>
  <c r="W317" i="61"/>
  <c r="W318" i="61"/>
  <c r="W319" i="61"/>
  <c r="W320" i="61"/>
  <c r="W321" i="61"/>
  <c r="W322" i="61"/>
  <c r="W323" i="61"/>
  <c r="W324" i="61"/>
  <c r="W325" i="61"/>
  <c r="W326" i="61"/>
  <c r="W327" i="61"/>
  <c r="W328" i="61"/>
  <c r="W329" i="61"/>
  <c r="W330" i="61"/>
  <c r="W331" i="61"/>
  <c r="W332" i="61"/>
  <c r="W333" i="61"/>
  <c r="W334" i="61"/>
  <c r="W335" i="61"/>
  <c r="W336" i="61"/>
  <c r="W337" i="61"/>
  <c r="W338" i="61"/>
  <c r="W339" i="61"/>
  <c r="W340" i="61"/>
  <c r="W341" i="61"/>
  <c r="W342" i="61"/>
  <c r="W343" i="61"/>
  <c r="W344" i="61"/>
  <c r="W345" i="61"/>
  <c r="W346" i="61"/>
  <c r="W347" i="61"/>
  <c r="W348" i="61"/>
  <c r="W349" i="61"/>
  <c r="W350" i="61"/>
  <c r="W351" i="61"/>
  <c r="W352" i="61"/>
  <c r="W353" i="61"/>
  <c r="W354" i="61"/>
  <c r="W355" i="61"/>
  <c r="W356" i="61"/>
  <c r="W357" i="61"/>
  <c r="W358" i="61"/>
  <c r="W359" i="61"/>
  <c r="W360" i="61"/>
  <c r="W361" i="61"/>
  <c r="W362" i="61"/>
  <c r="W363" i="61"/>
  <c r="W364" i="61"/>
  <c r="W365" i="61"/>
  <c r="W366" i="61"/>
  <c r="W367" i="61"/>
  <c r="W368" i="61"/>
  <c r="W369" i="61"/>
  <c r="W370" i="61"/>
  <c r="W371" i="61"/>
  <c r="W372" i="61"/>
  <c r="W373" i="61"/>
  <c r="W374" i="61"/>
  <c r="W375" i="61"/>
  <c r="W376" i="61"/>
  <c r="W377" i="61"/>
  <c r="W378" i="61"/>
  <c r="W379" i="61"/>
  <c r="W380" i="61"/>
  <c r="W381" i="61"/>
  <c r="W382" i="61"/>
  <c r="W383" i="61"/>
  <c r="W384" i="61"/>
  <c r="W385" i="61"/>
  <c r="W386" i="61"/>
  <c r="W387" i="61"/>
  <c r="W388" i="61"/>
  <c r="W389" i="61"/>
  <c r="W390" i="61"/>
  <c r="W391" i="61"/>
  <c r="W392" i="61"/>
  <c r="W393" i="61"/>
  <c r="W394" i="61"/>
  <c r="W395" i="61"/>
  <c r="W396" i="61"/>
  <c r="W397" i="61"/>
  <c r="W398" i="61"/>
  <c r="W399" i="61"/>
  <c r="W400" i="61"/>
  <c r="W401" i="61"/>
  <c r="W402" i="61"/>
  <c r="W403" i="61"/>
  <c r="W404" i="61"/>
  <c r="W405" i="61"/>
  <c r="W406" i="61"/>
  <c r="W407" i="61"/>
  <c r="W408" i="61"/>
  <c r="W409" i="61"/>
  <c r="W410" i="61"/>
  <c r="W411" i="61"/>
  <c r="W412" i="61"/>
  <c r="W413" i="61"/>
  <c r="W414" i="61"/>
  <c r="W415" i="61"/>
  <c r="W416" i="61"/>
  <c r="W417" i="61"/>
  <c r="W418" i="61"/>
  <c r="W419" i="61"/>
  <c r="W420" i="61"/>
  <c r="W421" i="61"/>
  <c r="W422" i="61"/>
  <c r="W423" i="61"/>
  <c r="W424" i="61"/>
  <c r="W425" i="61"/>
  <c r="W426" i="61"/>
  <c r="W427" i="61"/>
  <c r="W428" i="61"/>
  <c r="W429" i="61"/>
  <c r="W430" i="61"/>
  <c r="W431" i="61"/>
  <c r="W432" i="61"/>
  <c r="W434" i="61"/>
  <c r="W435" i="61"/>
  <c r="W436" i="61"/>
  <c r="W437" i="61"/>
  <c r="W438" i="61"/>
  <c r="W439" i="61"/>
  <c r="W440" i="61"/>
  <c r="W441" i="61"/>
  <c r="W442" i="61"/>
  <c r="W443" i="61"/>
  <c r="W444" i="61"/>
  <c r="W445" i="61"/>
  <c r="W446" i="61"/>
  <c r="W447" i="61"/>
  <c r="W448" i="61"/>
  <c r="W449" i="61"/>
  <c r="W450" i="61"/>
  <c r="W451" i="61"/>
  <c r="W452" i="61"/>
  <c r="W453" i="61"/>
  <c r="W454" i="61"/>
  <c r="W455" i="61"/>
  <c r="W456" i="61"/>
  <c r="W457" i="61"/>
  <c r="W458" i="61"/>
  <c r="W459" i="61"/>
  <c r="W460" i="61"/>
  <c r="W461" i="61"/>
  <c r="W462" i="61"/>
  <c r="W463" i="61"/>
  <c r="W464" i="61"/>
  <c r="W465" i="61"/>
  <c r="W466" i="61"/>
  <c r="W467" i="61"/>
  <c r="W468" i="61"/>
  <c r="W469" i="61"/>
  <c r="W470" i="61"/>
  <c r="W471" i="61"/>
  <c r="W472" i="61"/>
  <c r="W473" i="61"/>
  <c r="W474" i="61"/>
  <c r="W475" i="61"/>
  <c r="W477" i="61"/>
  <c r="W478" i="61"/>
  <c r="W479" i="61"/>
  <c r="W480" i="61"/>
  <c r="W481" i="61"/>
  <c r="W482" i="61"/>
  <c r="W483" i="61"/>
  <c r="W484" i="61"/>
  <c r="W485" i="61"/>
  <c r="W486" i="61"/>
  <c r="W487" i="61"/>
  <c r="W488" i="61"/>
  <c r="W489" i="61"/>
  <c r="W490" i="61"/>
  <c r="W491" i="61"/>
  <c r="W492" i="61"/>
  <c r="W493" i="61"/>
  <c r="W494" i="61"/>
  <c r="W495" i="61"/>
  <c r="W496" i="61"/>
  <c r="W497" i="61"/>
  <c r="W498" i="61"/>
  <c r="W499" i="61"/>
  <c r="W500" i="61"/>
  <c r="W501" i="61"/>
  <c r="W502" i="61"/>
  <c r="W503" i="61"/>
  <c r="W504" i="61"/>
  <c r="W505" i="61"/>
  <c r="W506" i="61"/>
  <c r="W507" i="61"/>
  <c r="W508" i="61"/>
  <c r="W509" i="61"/>
  <c r="W510" i="61"/>
  <c r="W511" i="61"/>
  <c r="W512" i="61"/>
  <c r="W513" i="61"/>
  <c r="W514" i="61"/>
  <c r="W515" i="61"/>
  <c r="W516" i="61"/>
  <c r="W517" i="61"/>
  <c r="W518" i="61"/>
  <c r="W519" i="61"/>
  <c r="W520" i="61"/>
  <c r="W521" i="61"/>
  <c r="W522" i="61"/>
  <c r="W523" i="61"/>
  <c r="W524" i="61"/>
  <c r="W525" i="61"/>
  <c r="W526" i="61"/>
  <c r="W527" i="61"/>
  <c r="W528" i="61"/>
  <c r="W529" i="61"/>
  <c r="W530" i="61"/>
  <c r="W531" i="61"/>
  <c r="W532" i="61"/>
  <c r="W533" i="61"/>
  <c r="W534" i="61"/>
  <c r="W535" i="61"/>
  <c r="W536" i="61"/>
  <c r="W537" i="61"/>
  <c r="W538" i="61"/>
  <c r="W539" i="61"/>
  <c r="W540" i="61"/>
  <c r="W541" i="61"/>
  <c r="W542" i="61"/>
  <c r="W543" i="61"/>
  <c r="W544" i="61"/>
  <c r="W545" i="61"/>
  <c r="W546" i="61"/>
  <c r="W547" i="61"/>
  <c r="W548" i="61"/>
  <c r="W549" i="61"/>
  <c r="W550" i="61"/>
  <c r="W551" i="61"/>
  <c r="W552" i="61"/>
  <c r="W553" i="61"/>
  <c r="W554" i="61"/>
  <c r="W555" i="61"/>
  <c r="W556" i="61"/>
  <c r="W557" i="61"/>
  <c r="W558" i="61"/>
  <c r="W559" i="61"/>
  <c r="W560" i="61"/>
  <c r="W561" i="61"/>
  <c r="W562" i="61"/>
  <c r="W563" i="61"/>
  <c r="W564" i="61"/>
  <c r="W565" i="61"/>
  <c r="W566" i="61"/>
  <c r="W567" i="61"/>
  <c r="W568" i="61"/>
  <c r="W569" i="61"/>
  <c r="W570" i="61"/>
  <c r="W571" i="61"/>
  <c r="W572" i="61"/>
  <c r="W573" i="61"/>
  <c r="W574" i="61"/>
  <c r="W575" i="61"/>
  <c r="W576" i="61"/>
  <c r="W577" i="61"/>
  <c r="W578" i="61"/>
  <c r="W579" i="61"/>
  <c r="W580" i="61"/>
  <c r="W581" i="61"/>
  <c r="W582" i="61"/>
  <c r="W583" i="61"/>
  <c r="W584" i="61"/>
  <c r="W585" i="61"/>
  <c r="W586" i="61"/>
  <c r="W587" i="61"/>
  <c r="W588" i="61"/>
  <c r="W589" i="61"/>
  <c r="W590" i="61"/>
  <c r="W591" i="61"/>
  <c r="W592" i="61"/>
  <c r="W593" i="61"/>
  <c r="W594" i="61"/>
  <c r="W595" i="61"/>
  <c r="W596" i="61"/>
  <c r="W597" i="61"/>
  <c r="W598" i="61"/>
  <c r="W599" i="61"/>
  <c r="W600" i="61"/>
  <c r="W601" i="61"/>
  <c r="W602" i="61"/>
  <c r="W603" i="61"/>
  <c r="W604" i="61"/>
  <c r="W605" i="61"/>
  <c r="W606" i="61"/>
  <c r="W607" i="61"/>
  <c r="W608" i="61"/>
  <c r="W609" i="61"/>
  <c r="W610" i="61"/>
  <c r="W611" i="61"/>
  <c r="W612" i="61"/>
  <c r="W613" i="61"/>
  <c r="W614" i="61"/>
  <c r="W615" i="61"/>
  <c r="W616" i="61"/>
  <c r="W617" i="61"/>
  <c r="W618" i="61"/>
  <c r="W619" i="61"/>
  <c r="W620" i="61"/>
  <c r="W621" i="61"/>
  <c r="W622" i="61"/>
  <c r="W623" i="61"/>
  <c r="W624" i="61"/>
  <c r="W625" i="61"/>
  <c r="W626" i="61"/>
  <c r="W627" i="61"/>
  <c r="W628" i="61"/>
  <c r="W629" i="61"/>
  <c r="W630" i="61"/>
  <c r="W631" i="61"/>
  <c r="W632" i="61"/>
  <c r="W633" i="61"/>
  <c r="W634" i="61"/>
  <c r="W635" i="61"/>
  <c r="W636" i="61"/>
  <c r="W637" i="61"/>
  <c r="W638" i="61"/>
  <c r="W639" i="61"/>
  <c r="W640" i="61"/>
  <c r="W641" i="61"/>
  <c r="W642" i="61"/>
  <c r="W643" i="61"/>
  <c r="W644" i="61"/>
  <c r="W645" i="61"/>
  <c r="W646" i="61"/>
  <c r="W647" i="61"/>
  <c r="W648" i="61"/>
  <c r="W649" i="61"/>
  <c r="W650" i="61"/>
  <c r="W651" i="61"/>
  <c r="W652" i="61"/>
  <c r="W653" i="61"/>
  <c r="W654" i="61"/>
  <c r="W655" i="61"/>
  <c r="W656" i="61"/>
  <c r="W657" i="61"/>
  <c r="W658" i="61"/>
  <c r="W659" i="61"/>
  <c r="W660" i="61"/>
  <c r="W661" i="61"/>
  <c r="W662" i="61"/>
  <c r="W663" i="61"/>
  <c r="W664" i="61"/>
  <c r="W665" i="61"/>
  <c r="W666" i="61"/>
  <c r="W667" i="61"/>
  <c r="W668" i="61"/>
  <c r="W669" i="61"/>
  <c r="W670" i="61"/>
  <c r="W671" i="61"/>
  <c r="W672" i="61"/>
  <c r="W673" i="61"/>
  <c r="W674" i="61"/>
  <c r="W675" i="61"/>
  <c r="W676" i="61"/>
  <c r="W677" i="61"/>
  <c r="W678" i="61"/>
  <c r="W679" i="61"/>
  <c r="W680" i="61"/>
  <c r="W681" i="61"/>
  <c r="W682" i="61"/>
  <c r="W683" i="61"/>
  <c r="W684" i="61"/>
  <c r="W685" i="61"/>
  <c r="W686" i="61"/>
  <c r="W687" i="61"/>
  <c r="W688" i="61"/>
  <c r="W689" i="61"/>
  <c r="W690" i="61"/>
  <c r="W691" i="61"/>
  <c r="W692" i="61"/>
  <c r="W693" i="61"/>
  <c r="W694" i="61"/>
  <c r="W695" i="61"/>
  <c r="W696" i="61"/>
  <c r="W697" i="61"/>
  <c r="W698" i="61"/>
  <c r="W699" i="61"/>
  <c r="W700" i="61"/>
  <c r="W701" i="61"/>
  <c r="W702" i="61"/>
  <c r="W703" i="61"/>
  <c r="W704" i="61"/>
  <c r="W705" i="61"/>
  <c r="W706" i="61"/>
  <c r="W707" i="61"/>
  <c r="W708" i="61"/>
  <c r="W709" i="61"/>
  <c r="W710" i="61"/>
  <c r="W711" i="61"/>
  <c r="W712" i="61"/>
  <c r="W713" i="61"/>
  <c r="W714" i="61"/>
  <c r="W715" i="61"/>
  <c r="W716" i="61"/>
  <c r="W717" i="61"/>
  <c r="W718" i="61"/>
  <c r="W719" i="61"/>
  <c r="W720" i="61"/>
  <c r="W721" i="61"/>
  <c r="W722" i="61"/>
  <c r="W723" i="61"/>
  <c r="W724" i="61"/>
  <c r="W725" i="61"/>
  <c r="W726" i="61"/>
  <c r="W727" i="61"/>
  <c r="W728" i="61"/>
  <c r="W729" i="61"/>
  <c r="W730" i="61"/>
  <c r="W731" i="61"/>
  <c r="W732" i="61"/>
  <c r="W733" i="61"/>
  <c r="W734" i="61"/>
  <c r="W735" i="61"/>
  <c r="W736" i="61"/>
  <c r="W737" i="61"/>
  <c r="W738" i="61"/>
  <c r="W739" i="61"/>
  <c r="W740" i="61"/>
  <c r="W741" i="61"/>
  <c r="W742" i="61"/>
  <c r="W743" i="61"/>
  <c r="W744" i="61"/>
  <c r="W745" i="61"/>
  <c r="W746" i="61"/>
  <c r="W747" i="61"/>
  <c r="W748" i="61"/>
  <c r="W749" i="61"/>
  <c r="W750" i="61"/>
  <c r="W751" i="61"/>
  <c r="W752" i="61"/>
  <c r="W753" i="61"/>
  <c r="W754" i="61"/>
  <c r="W755" i="61"/>
  <c r="W756" i="61"/>
  <c r="W758" i="61"/>
  <c r="W759" i="61"/>
  <c r="W760" i="61"/>
  <c r="W761" i="61"/>
  <c r="W762" i="61"/>
  <c r="W763" i="61"/>
  <c r="W764" i="61"/>
  <c r="W765" i="61"/>
  <c r="W766" i="61"/>
  <c r="W767" i="61"/>
  <c r="W768" i="61"/>
  <c r="W769" i="61"/>
  <c r="W770" i="61"/>
  <c r="W771" i="61"/>
  <c r="W772" i="61"/>
  <c r="W773" i="61"/>
  <c r="W774" i="61"/>
  <c r="W775" i="61"/>
  <c r="W776" i="61"/>
  <c r="W777" i="61"/>
  <c r="W778" i="61"/>
  <c r="W779" i="61"/>
  <c r="W780" i="61"/>
  <c r="W781" i="61"/>
  <c r="W782" i="61"/>
  <c r="W783" i="61"/>
  <c r="W784" i="61"/>
  <c r="W785" i="61"/>
  <c r="W786" i="61"/>
  <c r="W787" i="61"/>
  <c r="W788" i="61"/>
  <c r="W789" i="61"/>
  <c r="W790" i="61"/>
  <c r="W791" i="61"/>
  <c r="W792" i="61"/>
  <c r="W793" i="61"/>
  <c r="W794" i="61"/>
  <c r="W795" i="61"/>
  <c r="W796" i="61"/>
  <c r="W797" i="61"/>
  <c r="W798" i="61"/>
  <c r="W799" i="61"/>
  <c r="W800" i="61"/>
  <c r="W801" i="61"/>
  <c r="W802" i="61"/>
  <c r="W803" i="61"/>
  <c r="W804" i="61"/>
  <c r="W805" i="61"/>
  <c r="W806" i="61"/>
  <c r="W807" i="61"/>
  <c r="W808" i="61"/>
  <c r="W809" i="61"/>
  <c r="W810" i="61"/>
  <c r="W811" i="61"/>
  <c r="W812" i="61"/>
  <c r="W813" i="61"/>
  <c r="W814" i="61"/>
  <c r="W815" i="61"/>
  <c r="W816" i="61"/>
  <c r="W817" i="61"/>
  <c r="W818" i="61"/>
  <c r="W819" i="61"/>
  <c r="W820" i="61"/>
  <c r="W821" i="61"/>
  <c r="W822" i="61"/>
  <c r="W823" i="61"/>
  <c r="W824" i="61"/>
  <c r="W825" i="61"/>
  <c r="W827" i="61"/>
  <c r="W828" i="61"/>
  <c r="W829" i="61"/>
  <c r="W830" i="61"/>
  <c r="W831" i="61"/>
  <c r="W832" i="61"/>
  <c r="W833" i="61"/>
  <c r="W834" i="61"/>
  <c r="W835" i="61"/>
  <c r="W836" i="61"/>
  <c r="W837" i="61"/>
  <c r="W838" i="61"/>
  <c r="W839" i="61"/>
  <c r="W840" i="61"/>
  <c r="W841" i="61"/>
  <c r="W842" i="61"/>
  <c r="W843" i="61"/>
  <c r="W844" i="61"/>
  <c r="W845" i="61"/>
  <c r="W846" i="61"/>
  <c r="W847" i="61"/>
  <c r="W848" i="61"/>
  <c r="W849" i="61"/>
  <c r="W850" i="61"/>
  <c r="W851" i="61"/>
  <c r="W852" i="61"/>
  <c r="W853" i="61"/>
  <c r="W854" i="61"/>
  <c r="W855" i="61"/>
  <c r="W856" i="61"/>
  <c r="W857" i="61"/>
  <c r="W858" i="61"/>
  <c r="W859" i="61"/>
  <c r="W860" i="61"/>
  <c r="W861" i="61"/>
  <c r="W862" i="61"/>
  <c r="W863" i="61"/>
  <c r="W864" i="61"/>
  <c r="W865" i="61"/>
  <c r="W866" i="61"/>
  <c r="W867" i="61"/>
  <c r="W868" i="61"/>
  <c r="W869" i="61"/>
  <c r="W871" i="61"/>
  <c r="W872" i="61"/>
  <c r="W873" i="61"/>
  <c r="W874" i="61"/>
  <c r="W875" i="61"/>
  <c r="W876" i="61"/>
  <c r="W877" i="61"/>
  <c r="W878" i="61"/>
  <c r="W879" i="61"/>
  <c r="W880" i="61"/>
  <c r="W881" i="61"/>
  <c r="W882" i="61"/>
  <c r="W883" i="61"/>
  <c r="W884" i="61"/>
  <c r="W885" i="61"/>
  <c r="W886" i="61"/>
  <c r="W887" i="61"/>
  <c r="W888" i="61"/>
  <c r="W889" i="61"/>
  <c r="W890" i="61"/>
  <c r="W891" i="61"/>
  <c r="W892" i="61"/>
  <c r="W893" i="61"/>
  <c r="W894" i="61"/>
  <c r="W895" i="61"/>
  <c r="W896" i="61"/>
  <c r="W897" i="61"/>
  <c r="W898" i="61"/>
  <c r="W899" i="61"/>
  <c r="W900" i="61"/>
  <c r="W901" i="61"/>
  <c r="W902" i="61"/>
  <c r="W903" i="61"/>
  <c r="W904" i="61"/>
  <c r="W905" i="61"/>
  <c r="W906" i="61"/>
  <c r="W907" i="61"/>
  <c r="W908" i="61"/>
  <c r="W910" i="61"/>
  <c r="W911" i="61"/>
  <c r="W913" i="61"/>
  <c r="W914" i="61"/>
  <c r="W915" i="61"/>
  <c r="W916" i="61"/>
  <c r="W917" i="61"/>
  <c r="W918" i="61"/>
  <c r="W919" i="61"/>
  <c r="W920" i="61"/>
  <c r="W921" i="61"/>
  <c r="W922" i="61"/>
  <c r="W923" i="61"/>
  <c r="W924" i="61"/>
  <c r="W925" i="61"/>
  <c r="W926" i="61"/>
  <c r="W927" i="61"/>
  <c r="W928" i="61"/>
  <c r="W929" i="61"/>
  <c r="W930" i="61"/>
  <c r="W931" i="61"/>
  <c r="W932" i="61"/>
  <c r="W933" i="61"/>
  <c r="W934" i="61"/>
  <c r="W935" i="61"/>
  <c r="W936" i="61"/>
  <c r="W937" i="61"/>
  <c r="W938" i="61"/>
  <c r="W939" i="61"/>
  <c r="W940" i="61"/>
  <c r="W941" i="61"/>
  <c r="W942" i="61"/>
  <c r="W943" i="61"/>
  <c r="W944" i="61"/>
  <c r="W945" i="61"/>
  <c r="W946" i="61"/>
  <c r="W947" i="61"/>
  <c r="W948" i="61"/>
  <c r="W949" i="61"/>
  <c r="W951" i="61"/>
  <c r="W952" i="61"/>
  <c r="W953" i="61"/>
  <c r="W954" i="61"/>
  <c r="W955" i="61"/>
  <c r="W956" i="61"/>
  <c r="W957" i="61"/>
  <c r="W958" i="61"/>
  <c r="W959" i="61"/>
  <c r="W960" i="61"/>
  <c r="W961" i="61"/>
  <c r="W962" i="61"/>
  <c r="W963" i="61"/>
  <c r="W964" i="61"/>
  <c r="W965" i="61"/>
  <c r="W966" i="61"/>
  <c r="W967" i="61"/>
  <c r="W968" i="61"/>
  <c r="W969" i="61"/>
  <c r="W970" i="61"/>
  <c r="W971" i="61"/>
  <c r="W972" i="61"/>
  <c r="W973" i="61"/>
  <c r="W974" i="61"/>
  <c r="W975" i="61"/>
  <c r="W976" i="61"/>
  <c r="W977" i="61"/>
  <c r="W978" i="61"/>
  <c r="W979" i="61"/>
  <c r="W980" i="61"/>
  <c r="W981" i="61"/>
  <c r="W982" i="61"/>
  <c r="W983" i="61"/>
  <c r="W984" i="61"/>
  <c r="W985" i="61"/>
  <c r="W986" i="61"/>
  <c r="W987" i="61"/>
  <c r="W988" i="61"/>
  <c r="W989" i="61"/>
  <c r="W990" i="61"/>
  <c r="W991" i="61"/>
  <c r="W992" i="61"/>
  <c r="W993" i="61"/>
  <c r="W994" i="61"/>
  <c r="W996" i="61"/>
  <c r="W997" i="61"/>
  <c r="W998" i="61"/>
  <c r="W999" i="61"/>
  <c r="W1000" i="61"/>
  <c r="W1003" i="61"/>
  <c r="W1007" i="61"/>
  <c r="W1009" i="61"/>
  <c r="W1010" i="61"/>
  <c r="W1012" i="61"/>
  <c r="W1013" i="61"/>
  <c r="W1014" i="61"/>
  <c r="W1015" i="61"/>
  <c r="W1016" i="61"/>
  <c r="W1017" i="61"/>
  <c r="W1018" i="61"/>
  <c r="W1019" i="61"/>
  <c r="W1020" i="61"/>
  <c r="W1021" i="61"/>
  <c r="W1022" i="61"/>
  <c r="W1026" i="61"/>
  <c r="W1027" i="61"/>
  <c r="W1028" i="61"/>
  <c r="W1029" i="61"/>
  <c r="W1030" i="61"/>
  <c r="W1032" i="61"/>
  <c r="W1033" i="61"/>
  <c r="W1034" i="61"/>
  <c r="W1035" i="61"/>
  <c r="W1036" i="61"/>
  <c r="W1038" i="61"/>
  <c r="W1039" i="61"/>
  <c r="W1040" i="61"/>
  <c r="W1041" i="61"/>
  <c r="W1042" i="61"/>
  <c r="W1043" i="61"/>
  <c r="W1044" i="61"/>
  <c r="W1045" i="61"/>
  <c r="W1046" i="61"/>
  <c r="W1047" i="61"/>
  <c r="W1048" i="61"/>
  <c r="W1049" i="61"/>
  <c r="W1050" i="61"/>
  <c r="W1052" i="61"/>
  <c r="W1056" i="61"/>
  <c r="W1058" i="61"/>
  <c r="W1059" i="61"/>
  <c r="W1060" i="61"/>
  <c r="W1061" i="61"/>
  <c r="W1063" i="61"/>
  <c r="W1064" i="61"/>
  <c r="W1065" i="61"/>
  <c r="W1066" i="61"/>
  <c r="W1067" i="61"/>
  <c r="W1069" i="61"/>
  <c r="W1070" i="61"/>
  <c r="W1071" i="61"/>
  <c r="W1073" i="61"/>
  <c r="W1074" i="61"/>
  <c r="W1075" i="61"/>
  <c r="W1076" i="61"/>
  <c r="W1077" i="61"/>
  <c r="W1078" i="61"/>
  <c r="W1081" i="61"/>
  <c r="W1083" i="61"/>
  <c r="W1084" i="61"/>
  <c r="W1085" i="61"/>
  <c r="W1086" i="61"/>
  <c r="W1087" i="61"/>
  <c r="W1088" i="61"/>
  <c r="W1089" i="61"/>
  <c r="W1091" i="61"/>
  <c r="W1092" i="61"/>
  <c r="W1093" i="61"/>
  <c r="W1094" i="61"/>
  <c r="W1095" i="61"/>
  <c r="W1096" i="61"/>
  <c r="W1097" i="61"/>
  <c r="W1098" i="61"/>
  <c r="W1099" i="61"/>
  <c r="W1100" i="61"/>
  <c r="W1101" i="61"/>
  <c r="W1102" i="61"/>
  <c r="W1103" i="61"/>
  <c r="W1104" i="61"/>
  <c r="W1105" i="61"/>
  <c r="W1106" i="61"/>
  <c r="W1107" i="61"/>
  <c r="W1108" i="61"/>
  <c r="W1109" i="61"/>
  <c r="W1111" i="61"/>
  <c r="W1112" i="61"/>
  <c r="W1113" i="61"/>
  <c r="W1114" i="61"/>
  <c r="W1115" i="61"/>
  <c r="W1116" i="61"/>
  <c r="W1117" i="61"/>
  <c r="W1118" i="61"/>
  <c r="W1119" i="61"/>
  <c r="W1120" i="61"/>
  <c r="W1121" i="61"/>
  <c r="W1122" i="61"/>
  <c r="W1123" i="61"/>
  <c r="W1124" i="61"/>
  <c r="W1125" i="61"/>
  <c r="W1126" i="61"/>
  <c r="W1127" i="61"/>
  <c r="W1128" i="61"/>
  <c r="W1129" i="61"/>
  <c r="W1130" i="61"/>
  <c r="W1131" i="61"/>
  <c r="W1132" i="61"/>
  <c r="W1133" i="61"/>
  <c r="W1134" i="61"/>
  <c r="W1135" i="61"/>
  <c r="W1136" i="61"/>
  <c r="W1137" i="61"/>
  <c r="W1138" i="61"/>
  <c r="W1139" i="61"/>
  <c r="W1140" i="61"/>
  <c r="W1141" i="61"/>
  <c r="W1142" i="61"/>
  <c r="W1143" i="61"/>
  <c r="W1144" i="61"/>
  <c r="W1145" i="61"/>
  <c r="W1146" i="61"/>
  <c r="W1147" i="61"/>
  <c r="W1148" i="61"/>
  <c r="W1149" i="61"/>
  <c r="W1150" i="61"/>
  <c r="W1151" i="61"/>
  <c r="W1152" i="61"/>
  <c r="W1153" i="61"/>
  <c r="W1154" i="61"/>
  <c r="W1155" i="61"/>
  <c r="W1156" i="61"/>
  <c r="W1157" i="61"/>
  <c r="W1158" i="61"/>
  <c r="W1159" i="61"/>
  <c r="W1160" i="61"/>
  <c r="W1161" i="61"/>
  <c r="W1162" i="61"/>
  <c r="W1163" i="61"/>
  <c r="W1164" i="61"/>
  <c r="W1165" i="61"/>
  <c r="W1166" i="61"/>
  <c r="W1167" i="61"/>
  <c r="W1168" i="61"/>
  <c r="W1169" i="61"/>
  <c r="W1170" i="61"/>
  <c r="W1171" i="61"/>
  <c r="W1172" i="61"/>
  <c r="W1174" i="61"/>
  <c r="W1176" i="61"/>
  <c r="W1177" i="61"/>
  <c r="W1178" i="61"/>
  <c r="W1179" i="61"/>
  <c r="W1180" i="61"/>
  <c r="W1181" i="61"/>
  <c r="W1182" i="61"/>
  <c r="W1183" i="61"/>
  <c r="W1184" i="61"/>
  <c r="W1185" i="61"/>
  <c r="W1186" i="61"/>
  <c r="W1188" i="61"/>
  <c r="W1189" i="61"/>
  <c r="W1190" i="61"/>
  <c r="W1191" i="61"/>
  <c r="W1192" i="61"/>
  <c r="W1193" i="61"/>
  <c r="W1195" i="61"/>
  <c r="W1196" i="61"/>
  <c r="W1197" i="61"/>
  <c r="W1198" i="61"/>
  <c r="W1199" i="61"/>
  <c r="W1200" i="61"/>
  <c r="W1201" i="61"/>
  <c r="W1203" i="61"/>
  <c r="W1204" i="61"/>
  <c r="W1205" i="61"/>
  <c r="W1206" i="61"/>
  <c r="W1207" i="61"/>
  <c r="W1208" i="61"/>
  <c r="W1209" i="61"/>
  <c r="W1211" i="61"/>
  <c r="W1213" i="61"/>
  <c r="W1214" i="61"/>
  <c r="W1215" i="61"/>
  <c r="W1216" i="61"/>
  <c r="W1217" i="61"/>
  <c r="W1218" i="61"/>
  <c r="W1219" i="61"/>
  <c r="W1220" i="61"/>
  <c r="W1221" i="61"/>
  <c r="W1226" i="61"/>
  <c r="W1227" i="61"/>
  <c r="W1229" i="61"/>
  <c r="W1230" i="61"/>
  <c r="W1231" i="61"/>
  <c r="W1232" i="61"/>
  <c r="W1233" i="61"/>
  <c r="W1234" i="61"/>
  <c r="W1235" i="61"/>
  <c r="W1236" i="61"/>
  <c r="W1237" i="61"/>
  <c r="W1238" i="61"/>
  <c r="W1239" i="61"/>
  <c r="W1240" i="61"/>
  <c r="W1241" i="61"/>
  <c r="W1242" i="61"/>
  <c r="W1243" i="61"/>
  <c r="W1244" i="61"/>
  <c r="W1246" i="61"/>
  <c r="W1247" i="61"/>
  <c r="W1248" i="61"/>
  <c r="W1249" i="61"/>
  <c r="W1250" i="61"/>
  <c r="W1251" i="61"/>
  <c r="W1252" i="61"/>
  <c r="W1253" i="61"/>
  <c r="W1254" i="61"/>
  <c r="W1255" i="61"/>
  <c r="W1256" i="61"/>
  <c r="W1257" i="61"/>
  <c r="W1258" i="61"/>
  <c r="W1259" i="61"/>
  <c r="W1260" i="61"/>
  <c r="W1261" i="61"/>
  <c r="W1262" i="61"/>
  <c r="W1263" i="61"/>
  <c r="W1264" i="61"/>
  <c r="W1265" i="61"/>
  <c r="W1266" i="61"/>
  <c r="W1267" i="61"/>
  <c r="W1268" i="61"/>
  <c r="W1269" i="61"/>
  <c r="W1270" i="61"/>
  <c r="W1271" i="61"/>
  <c r="W1272" i="61"/>
  <c r="W1273" i="61"/>
  <c r="W1274" i="61"/>
  <c r="W1275" i="61"/>
  <c r="W1276" i="61"/>
  <c r="W1277" i="61"/>
  <c r="W1278" i="61"/>
  <c r="W1279" i="61"/>
  <c r="W1280" i="61"/>
  <c r="W1281" i="61"/>
  <c r="W1282" i="61"/>
  <c r="W1283" i="61"/>
  <c r="W1284" i="61"/>
  <c r="W1285" i="61"/>
  <c r="W1286" i="61"/>
  <c r="W1287" i="61"/>
  <c r="W1288" i="61"/>
  <c r="W1289" i="61"/>
  <c r="W1290" i="61"/>
  <c r="W1291" i="61"/>
  <c r="W1292" i="61"/>
  <c r="W1293" i="61"/>
  <c r="W1294" i="61"/>
  <c r="W1295" i="61"/>
  <c r="W1296" i="61"/>
  <c r="W1297" i="61"/>
  <c r="W1298" i="61"/>
  <c r="W1299" i="61"/>
  <c r="W1300" i="61"/>
  <c r="W1301" i="61"/>
  <c r="W1302" i="61"/>
  <c r="W1303" i="61"/>
  <c r="W1304" i="61"/>
  <c r="W1305" i="61"/>
  <c r="W1307" i="61"/>
  <c r="W1309" i="61"/>
  <c r="W1311" i="61"/>
  <c r="W1312" i="61"/>
  <c r="W1314" i="61"/>
  <c r="W1317" i="61"/>
  <c r="W1318" i="61"/>
  <c r="W1319" i="61"/>
  <c r="W1320" i="61"/>
  <c r="W1321" i="61"/>
  <c r="W1322" i="61"/>
  <c r="W1323" i="61"/>
  <c r="W1324" i="61"/>
  <c r="W1325" i="61"/>
  <c r="W1327" i="61"/>
  <c r="W1328" i="61"/>
  <c r="W1329" i="61"/>
  <c r="W1330" i="61"/>
  <c r="W1331" i="61"/>
  <c r="W1332" i="61"/>
  <c r="W1333" i="61"/>
  <c r="W1334" i="61"/>
  <c r="W1335" i="61"/>
  <c r="W1336" i="61"/>
  <c r="W1337" i="61"/>
  <c r="W1338" i="61"/>
  <c r="W1339" i="61"/>
  <c r="W1340" i="61"/>
  <c r="W1341" i="61"/>
  <c r="W1342" i="61"/>
  <c r="W1343" i="61"/>
  <c r="W1344" i="61"/>
  <c r="W1345" i="61"/>
  <c r="W1346" i="61"/>
  <c r="W1347" i="61"/>
  <c r="W1348" i="61"/>
  <c r="W1349" i="61"/>
  <c r="W1350" i="61"/>
  <c r="W1351" i="61"/>
  <c r="W1352" i="61"/>
  <c r="W1353" i="61"/>
  <c r="W1354" i="61"/>
  <c r="W1355" i="61"/>
  <c r="W1357" i="61"/>
  <c r="W1358" i="61"/>
  <c r="W1360" i="61"/>
  <c r="W1361" i="61"/>
  <c r="W1362" i="61"/>
  <c r="W1363" i="61"/>
  <c r="W1365" i="61"/>
  <c r="W1366" i="61"/>
  <c r="W1367" i="61"/>
  <c r="W1368" i="61"/>
  <c r="W1369" i="61"/>
  <c r="W1370" i="61"/>
  <c r="W1371" i="61"/>
  <c r="W1372" i="61"/>
  <c r="W1375" i="61"/>
  <c r="W1376" i="61"/>
  <c r="W1377" i="61"/>
  <c r="W1378" i="61"/>
  <c r="W1379" i="61"/>
  <c r="W1380" i="61"/>
  <c r="W1381" i="61"/>
  <c r="W1382" i="61"/>
  <c r="W1383" i="61"/>
  <c r="W1385" i="61"/>
  <c r="W1386" i="61"/>
  <c r="W1387" i="61"/>
  <c r="W1388" i="61"/>
  <c r="W1389" i="61"/>
  <c r="W1390" i="61"/>
  <c r="W1391" i="61"/>
  <c r="W1392" i="61"/>
  <c r="W1393" i="61"/>
  <c r="W1394" i="61"/>
  <c r="W1395" i="61"/>
  <c r="W1396" i="61"/>
  <c r="W1398" i="61"/>
  <c r="W1399" i="61"/>
  <c r="W1400" i="61"/>
  <c r="W1401" i="61"/>
  <c r="W1402" i="61"/>
  <c r="W1403" i="61"/>
  <c r="W1405" i="61"/>
  <c r="W1406" i="61"/>
  <c r="W1407" i="61"/>
  <c r="W1408" i="61"/>
  <c r="W1409" i="61"/>
  <c r="W1410" i="61"/>
  <c r="W1412" i="61"/>
  <c r="W1413" i="61"/>
  <c r="W1414" i="61"/>
  <c r="W1416" i="61"/>
  <c r="W1417" i="61"/>
  <c r="W1418" i="61"/>
  <c r="W1419" i="61"/>
  <c r="W1420" i="61"/>
  <c r="W1421" i="61"/>
  <c r="W1422" i="61"/>
  <c r="W1423" i="61"/>
  <c r="W1424" i="61"/>
  <c r="W1425" i="61"/>
  <c r="W1426" i="61"/>
  <c r="W1427" i="61"/>
  <c r="W1428" i="61"/>
  <c r="W1429" i="61"/>
  <c r="W1430" i="61"/>
  <c r="W1431" i="61"/>
  <c r="W1432" i="61"/>
  <c r="W1433" i="61"/>
  <c r="W1434" i="61"/>
  <c r="W1435" i="61"/>
  <c r="W1436" i="61"/>
  <c r="W1437" i="61"/>
  <c r="W1438" i="61"/>
  <c r="W1439" i="61"/>
  <c r="W1440" i="61"/>
  <c r="W1441" i="61"/>
  <c r="W1442" i="61"/>
  <c r="W1443" i="61"/>
  <c r="W1444" i="61"/>
  <c r="W1445" i="61"/>
  <c r="W1446" i="61"/>
  <c r="W1447" i="61"/>
  <c r="W1448" i="61"/>
  <c r="W1449" i="61"/>
  <c r="W1450" i="61"/>
  <c r="W1451" i="61"/>
  <c r="W1452" i="61"/>
  <c r="W1453" i="61"/>
  <c r="W1454" i="61"/>
  <c r="W1455" i="61"/>
  <c r="W1456" i="61"/>
  <c r="W1457" i="61"/>
  <c r="W1458" i="61"/>
  <c r="W1459" i="61"/>
  <c r="W1460" i="61"/>
  <c r="W1461" i="61"/>
  <c r="W1462" i="61"/>
  <c r="W1463" i="61"/>
  <c r="W1464" i="61"/>
  <c r="W1465" i="61"/>
  <c r="W1466" i="61"/>
  <c r="W1467" i="61"/>
  <c r="W1468" i="61"/>
  <c r="W1469" i="61"/>
  <c r="W1470" i="61"/>
  <c r="W1471" i="61"/>
  <c r="W1472" i="61"/>
  <c r="W1473" i="61"/>
  <c r="W1474" i="61"/>
  <c r="W1475" i="61"/>
  <c r="W1477" i="61"/>
  <c r="W1478" i="61"/>
  <c r="W1479" i="61"/>
  <c r="W1480" i="61"/>
  <c r="W1481" i="61"/>
  <c r="W1482" i="61"/>
  <c r="W1483" i="61"/>
  <c r="W1484" i="61"/>
  <c r="W1485" i="61"/>
  <c r="W1486" i="61"/>
  <c r="W1487" i="61"/>
  <c r="W1488" i="61"/>
  <c r="W1489" i="61"/>
  <c r="W1490" i="61"/>
  <c r="W1491" i="61"/>
  <c r="W1492" i="61"/>
  <c r="W1493" i="61"/>
  <c r="W1494" i="61"/>
  <c r="W1495" i="61"/>
  <c r="W1496" i="61"/>
  <c r="W1497" i="61"/>
  <c r="W1498" i="61"/>
  <c r="W1499" i="61"/>
  <c r="W1500" i="61"/>
  <c r="W1501" i="61"/>
  <c r="W1502" i="61"/>
  <c r="W1503" i="61"/>
  <c r="W1504" i="61"/>
  <c r="W1505" i="61"/>
  <c r="W1506" i="61"/>
  <c r="W1507" i="61"/>
  <c r="W1508" i="61"/>
  <c r="W1509" i="61"/>
  <c r="W1510" i="61"/>
  <c r="W1511" i="61"/>
  <c r="W1512" i="61"/>
  <c r="W1513" i="61"/>
  <c r="W1514" i="61"/>
  <c r="W1515" i="61"/>
  <c r="W1516" i="61"/>
  <c r="W1517" i="61"/>
  <c r="W1518" i="61"/>
  <c r="W1519" i="61"/>
  <c r="W1520" i="61"/>
  <c r="W1521" i="61"/>
  <c r="W1522" i="61"/>
  <c r="W1523" i="61"/>
  <c r="W1524" i="61"/>
  <c r="W1525" i="61"/>
  <c r="W1526" i="61"/>
  <c r="W1527" i="61"/>
  <c r="W1528" i="61"/>
  <c r="W1529" i="61"/>
  <c r="W1530" i="61"/>
  <c r="W1531" i="61"/>
  <c r="W1532" i="61"/>
  <c r="W1533" i="61"/>
  <c r="W1534" i="61"/>
  <c r="W1535" i="61"/>
  <c r="W1536" i="61"/>
  <c r="W1537" i="61"/>
  <c r="W1538" i="61"/>
  <c r="W1539" i="61"/>
  <c r="W1540" i="61"/>
  <c r="W1541" i="61"/>
  <c r="W1542" i="61"/>
  <c r="W1543" i="61"/>
  <c r="W1544" i="61"/>
  <c r="W1545" i="61"/>
  <c r="W1546" i="61"/>
  <c r="W1547" i="61"/>
  <c r="W1548" i="61"/>
  <c r="W1550" i="61"/>
  <c r="W1551" i="61"/>
  <c r="W1552" i="61"/>
  <c r="W1553" i="61"/>
  <c r="W1554" i="61"/>
  <c r="W1555" i="61"/>
  <c r="W1556" i="61"/>
  <c r="W1557" i="61"/>
  <c r="W1558" i="61"/>
  <c r="W1559" i="61"/>
  <c r="W1560" i="61"/>
  <c r="W1561" i="61"/>
  <c r="W1562" i="61"/>
  <c r="W1563" i="61"/>
  <c r="W1564" i="61"/>
  <c r="W1569" i="61"/>
  <c r="W1572" i="61"/>
  <c r="W1573" i="61"/>
  <c r="W1574" i="61"/>
  <c r="W1575" i="61"/>
  <c r="W1580" i="61"/>
  <c r="W1581" i="61"/>
  <c r="W1582" i="61"/>
  <c r="W1583" i="61"/>
  <c r="W1584" i="61"/>
  <c r="W1585" i="61"/>
  <c r="W1586" i="61"/>
  <c r="W1587" i="61"/>
  <c r="W1588" i="61"/>
  <c r="W11" i="61"/>
  <c r="C22" i="26"/>
  <c r="C32" i="44"/>
  <c r="G13" i="27"/>
  <c r="H13" i="55"/>
  <c r="CH11" i="74" l="1"/>
  <c r="CH14" i="74"/>
  <c r="CH13" i="74"/>
  <c r="CH3" i="74" l="1"/>
  <c r="E14" i="24" s="1"/>
  <c r="B9" i="61" l="1"/>
  <c r="Q15" i="61" s="1"/>
  <c r="D79" i="77"/>
  <c r="C34" i="68"/>
  <c r="C40" i="79"/>
  <c r="C80" i="77" s="1"/>
  <c r="C36" i="79"/>
  <c r="C10" i="79"/>
  <c r="D8" i="79"/>
  <c r="D7" i="79"/>
  <c r="D6" i="79"/>
  <c r="B4" i="79"/>
  <c r="E30" i="77"/>
  <c r="F30" i="77"/>
  <c r="G30" i="77"/>
  <c r="P12" i="61"/>
  <c r="Q12" i="61"/>
  <c r="R12" i="61"/>
  <c r="S12" i="61"/>
  <c r="T12" i="61"/>
  <c r="U12" i="61"/>
  <c r="V12" i="61"/>
  <c r="X12" i="61"/>
  <c r="P13" i="61"/>
  <c r="Q13" i="61"/>
  <c r="R13" i="61"/>
  <c r="S13" i="61"/>
  <c r="T13" i="61"/>
  <c r="U13" i="61"/>
  <c r="V13" i="61"/>
  <c r="X13" i="61"/>
  <c r="P14" i="61"/>
  <c r="Q14" i="61"/>
  <c r="R14" i="61"/>
  <c r="S14" i="61"/>
  <c r="T14" i="61"/>
  <c r="U14" i="61"/>
  <c r="V14" i="61"/>
  <c r="X14" i="61"/>
  <c r="P15" i="61"/>
  <c r="R15" i="61"/>
  <c r="S15" i="61"/>
  <c r="T15" i="61"/>
  <c r="U15" i="61"/>
  <c r="V15" i="61"/>
  <c r="X15" i="61"/>
  <c r="P16" i="61"/>
  <c r="Q16" i="61"/>
  <c r="R16" i="61"/>
  <c r="S16" i="61"/>
  <c r="T16" i="61"/>
  <c r="U16" i="61"/>
  <c r="V16" i="61"/>
  <c r="X16" i="61"/>
  <c r="P17" i="61"/>
  <c r="Q17" i="61"/>
  <c r="R17" i="61"/>
  <c r="S17" i="61"/>
  <c r="T17" i="61"/>
  <c r="U17" i="61"/>
  <c r="V17" i="61"/>
  <c r="X17" i="61"/>
  <c r="P18" i="61"/>
  <c r="Q18" i="61"/>
  <c r="R18" i="61"/>
  <c r="S18" i="61"/>
  <c r="T18" i="61"/>
  <c r="U18" i="61"/>
  <c r="V18" i="61"/>
  <c r="X18" i="61"/>
  <c r="P19" i="61"/>
  <c r="Q19" i="61"/>
  <c r="R19" i="61"/>
  <c r="S19" i="61"/>
  <c r="T19" i="61"/>
  <c r="U19" i="61"/>
  <c r="V19" i="61"/>
  <c r="X19" i="61"/>
  <c r="P20" i="61"/>
  <c r="Q20" i="61"/>
  <c r="R20" i="61"/>
  <c r="S20" i="61"/>
  <c r="T20" i="61"/>
  <c r="U20" i="61"/>
  <c r="V20" i="61"/>
  <c r="X20" i="61"/>
  <c r="P21" i="61"/>
  <c r="Q21" i="61"/>
  <c r="R21" i="61"/>
  <c r="S21" i="61"/>
  <c r="T21" i="61"/>
  <c r="U21" i="61"/>
  <c r="V21" i="61"/>
  <c r="X21" i="61"/>
  <c r="P22" i="61"/>
  <c r="Q22" i="61"/>
  <c r="R22" i="61"/>
  <c r="S22" i="61"/>
  <c r="T22" i="61"/>
  <c r="U22" i="61"/>
  <c r="V22" i="61"/>
  <c r="X22" i="61"/>
  <c r="P23" i="61"/>
  <c r="Q23" i="61"/>
  <c r="R23" i="61"/>
  <c r="S23" i="61"/>
  <c r="T23" i="61"/>
  <c r="U23" i="61"/>
  <c r="V23" i="61"/>
  <c r="X23" i="61"/>
  <c r="P24" i="61"/>
  <c r="Q24" i="61"/>
  <c r="R24" i="61"/>
  <c r="S24" i="61"/>
  <c r="T24" i="61"/>
  <c r="U24" i="61"/>
  <c r="V24" i="61"/>
  <c r="X24" i="61"/>
  <c r="P25" i="61"/>
  <c r="Q25" i="61"/>
  <c r="R25" i="61"/>
  <c r="S25" i="61"/>
  <c r="T25" i="61"/>
  <c r="U25" i="61"/>
  <c r="V25" i="61"/>
  <c r="X25" i="61"/>
  <c r="P26" i="61"/>
  <c r="Q26" i="61"/>
  <c r="R26" i="61"/>
  <c r="S26" i="61"/>
  <c r="T26" i="61"/>
  <c r="U26" i="61"/>
  <c r="V26" i="61"/>
  <c r="X26" i="61"/>
  <c r="P27" i="61"/>
  <c r="Q27" i="61"/>
  <c r="R27" i="61"/>
  <c r="S27" i="61"/>
  <c r="T27" i="61"/>
  <c r="U27" i="61"/>
  <c r="V27" i="61"/>
  <c r="X27" i="61"/>
  <c r="P28" i="61"/>
  <c r="Q28" i="61"/>
  <c r="R28" i="61"/>
  <c r="S28" i="61"/>
  <c r="T28" i="61"/>
  <c r="U28" i="61"/>
  <c r="V28" i="61"/>
  <c r="X28" i="61"/>
  <c r="P29" i="61"/>
  <c r="Q29" i="61"/>
  <c r="R29" i="61"/>
  <c r="S29" i="61"/>
  <c r="T29" i="61"/>
  <c r="U29" i="61"/>
  <c r="V29" i="61"/>
  <c r="X29" i="61"/>
  <c r="P30" i="61"/>
  <c r="Q30" i="61"/>
  <c r="R30" i="61"/>
  <c r="S30" i="61"/>
  <c r="T30" i="61"/>
  <c r="U30" i="61"/>
  <c r="V30" i="61"/>
  <c r="X30" i="61"/>
  <c r="P31" i="61"/>
  <c r="Q31" i="61"/>
  <c r="R31" i="61"/>
  <c r="S31" i="61"/>
  <c r="T31" i="61"/>
  <c r="U31" i="61"/>
  <c r="V31" i="61"/>
  <c r="X31" i="61"/>
  <c r="P32" i="61"/>
  <c r="Q32" i="61"/>
  <c r="R32" i="61"/>
  <c r="S32" i="61"/>
  <c r="T32" i="61"/>
  <c r="U32" i="61"/>
  <c r="V32" i="61"/>
  <c r="X32" i="61"/>
  <c r="P33" i="61"/>
  <c r="Q33" i="61"/>
  <c r="R33" i="61"/>
  <c r="S33" i="61"/>
  <c r="T33" i="61"/>
  <c r="U33" i="61"/>
  <c r="V33" i="61"/>
  <c r="X33" i="61"/>
  <c r="P34" i="61"/>
  <c r="Q34" i="61"/>
  <c r="R34" i="61"/>
  <c r="S34" i="61"/>
  <c r="T34" i="61"/>
  <c r="U34" i="61"/>
  <c r="V34" i="61"/>
  <c r="X34" i="61"/>
  <c r="P35" i="61"/>
  <c r="Q35" i="61"/>
  <c r="R35" i="61"/>
  <c r="S35" i="61"/>
  <c r="T35" i="61"/>
  <c r="U35" i="61"/>
  <c r="V35" i="61"/>
  <c r="X35" i="61"/>
  <c r="P36" i="61"/>
  <c r="Q36" i="61"/>
  <c r="R36" i="61"/>
  <c r="S36" i="61"/>
  <c r="T36" i="61"/>
  <c r="U36" i="61"/>
  <c r="V36" i="61"/>
  <c r="X36" i="61"/>
  <c r="P37" i="61"/>
  <c r="Q37" i="61"/>
  <c r="R37" i="61"/>
  <c r="S37" i="61"/>
  <c r="T37" i="61"/>
  <c r="U37" i="61"/>
  <c r="V37" i="61"/>
  <c r="X37" i="61"/>
  <c r="P38" i="61"/>
  <c r="Q38" i="61"/>
  <c r="R38" i="61"/>
  <c r="S38" i="61"/>
  <c r="T38" i="61"/>
  <c r="U38" i="61"/>
  <c r="V38" i="61"/>
  <c r="X38" i="61"/>
  <c r="P39" i="61"/>
  <c r="Q39" i="61"/>
  <c r="R39" i="61"/>
  <c r="S39" i="61"/>
  <c r="T39" i="61"/>
  <c r="U39" i="61"/>
  <c r="V39" i="61"/>
  <c r="X39" i="61"/>
  <c r="P40" i="61"/>
  <c r="Q40" i="61"/>
  <c r="R40" i="61"/>
  <c r="S40" i="61"/>
  <c r="T40" i="61"/>
  <c r="U40" i="61"/>
  <c r="V40" i="61"/>
  <c r="X40" i="61"/>
  <c r="P41" i="61"/>
  <c r="Q41" i="61"/>
  <c r="R41" i="61"/>
  <c r="S41" i="61"/>
  <c r="T41" i="61"/>
  <c r="U41" i="61"/>
  <c r="V41" i="61"/>
  <c r="X41" i="61"/>
  <c r="P42" i="61"/>
  <c r="Q42" i="61"/>
  <c r="R42" i="61"/>
  <c r="S42" i="61"/>
  <c r="T42" i="61"/>
  <c r="U42" i="61"/>
  <c r="V42" i="61"/>
  <c r="X42" i="61"/>
  <c r="P43" i="61"/>
  <c r="Q43" i="61"/>
  <c r="R43" i="61"/>
  <c r="S43" i="61"/>
  <c r="T43" i="61"/>
  <c r="U43" i="61"/>
  <c r="V43" i="61"/>
  <c r="X43" i="61"/>
  <c r="P44" i="61"/>
  <c r="Q44" i="61"/>
  <c r="R44" i="61"/>
  <c r="S44" i="61"/>
  <c r="T44" i="61"/>
  <c r="U44" i="61"/>
  <c r="V44" i="61"/>
  <c r="X44" i="61"/>
  <c r="P45" i="61"/>
  <c r="Q45" i="61"/>
  <c r="R45" i="61"/>
  <c r="S45" i="61"/>
  <c r="T45" i="61"/>
  <c r="U45" i="61"/>
  <c r="V45" i="61"/>
  <c r="X45" i="61"/>
  <c r="P46" i="61"/>
  <c r="Q46" i="61"/>
  <c r="R46" i="61"/>
  <c r="S46" i="61"/>
  <c r="T46" i="61"/>
  <c r="U46" i="61"/>
  <c r="V46" i="61"/>
  <c r="X46" i="61"/>
  <c r="P47" i="61"/>
  <c r="Q47" i="61"/>
  <c r="R47" i="61"/>
  <c r="S47" i="61"/>
  <c r="T47" i="61"/>
  <c r="U47" i="61"/>
  <c r="V47" i="61"/>
  <c r="X47" i="61"/>
  <c r="P48" i="61"/>
  <c r="Q48" i="61"/>
  <c r="R48" i="61"/>
  <c r="S48" i="61"/>
  <c r="T48" i="61"/>
  <c r="U48" i="61"/>
  <c r="V48" i="61"/>
  <c r="X48" i="61"/>
  <c r="P49" i="61"/>
  <c r="Q49" i="61"/>
  <c r="R49" i="61"/>
  <c r="S49" i="61"/>
  <c r="T49" i="61"/>
  <c r="U49" i="61"/>
  <c r="V49" i="61"/>
  <c r="X49" i="61"/>
  <c r="P50" i="61"/>
  <c r="Q50" i="61"/>
  <c r="R50" i="61"/>
  <c r="S50" i="61"/>
  <c r="T50" i="61"/>
  <c r="U50" i="61"/>
  <c r="V50" i="61"/>
  <c r="X50" i="61"/>
  <c r="P51" i="61"/>
  <c r="Q51" i="61"/>
  <c r="R51" i="61"/>
  <c r="S51" i="61"/>
  <c r="T51" i="61"/>
  <c r="U51" i="61"/>
  <c r="V51" i="61"/>
  <c r="X51" i="61"/>
  <c r="P52" i="61"/>
  <c r="Q52" i="61"/>
  <c r="R52" i="61"/>
  <c r="S52" i="61"/>
  <c r="T52" i="61"/>
  <c r="U52" i="61"/>
  <c r="V52" i="61"/>
  <c r="X52" i="61"/>
  <c r="P53" i="61"/>
  <c r="Q53" i="61"/>
  <c r="R53" i="61"/>
  <c r="S53" i="61"/>
  <c r="T53" i="61"/>
  <c r="U53" i="61"/>
  <c r="V53" i="61"/>
  <c r="X53" i="61"/>
  <c r="P54" i="61"/>
  <c r="Q54" i="61"/>
  <c r="R54" i="61"/>
  <c r="S54" i="61"/>
  <c r="T54" i="61"/>
  <c r="U54" i="61"/>
  <c r="V54" i="61"/>
  <c r="X54" i="61"/>
  <c r="P55" i="61"/>
  <c r="Q55" i="61"/>
  <c r="R55" i="61"/>
  <c r="S55" i="61"/>
  <c r="T55" i="61"/>
  <c r="U55" i="61"/>
  <c r="V55" i="61"/>
  <c r="X55" i="61"/>
  <c r="P56" i="61"/>
  <c r="Q56" i="61"/>
  <c r="R56" i="61"/>
  <c r="S56" i="61"/>
  <c r="T56" i="61"/>
  <c r="U56" i="61"/>
  <c r="V56" i="61"/>
  <c r="X56" i="61"/>
  <c r="P57" i="61"/>
  <c r="Q57" i="61"/>
  <c r="R57" i="61"/>
  <c r="S57" i="61"/>
  <c r="T57" i="61"/>
  <c r="U57" i="61"/>
  <c r="V57" i="61"/>
  <c r="X57" i="61"/>
  <c r="P58" i="61"/>
  <c r="Q58" i="61"/>
  <c r="R58" i="61"/>
  <c r="S58" i="61"/>
  <c r="T58" i="61"/>
  <c r="U58" i="61"/>
  <c r="V58" i="61"/>
  <c r="X58" i="61"/>
  <c r="P59" i="61"/>
  <c r="Q59" i="61"/>
  <c r="R59" i="61"/>
  <c r="S59" i="61"/>
  <c r="T59" i="61"/>
  <c r="U59" i="61"/>
  <c r="V59" i="61"/>
  <c r="X59" i="61"/>
  <c r="P60" i="61"/>
  <c r="Q60" i="61"/>
  <c r="R60" i="61"/>
  <c r="S60" i="61"/>
  <c r="T60" i="61"/>
  <c r="U60" i="61"/>
  <c r="V60" i="61"/>
  <c r="X60" i="61"/>
  <c r="P61" i="61"/>
  <c r="Q61" i="61"/>
  <c r="R61" i="61"/>
  <c r="S61" i="61"/>
  <c r="T61" i="61"/>
  <c r="U61" i="61"/>
  <c r="V61" i="61"/>
  <c r="X61" i="61"/>
  <c r="P62" i="61"/>
  <c r="Q62" i="61"/>
  <c r="R62" i="61"/>
  <c r="S62" i="61"/>
  <c r="T62" i="61"/>
  <c r="U62" i="61"/>
  <c r="V62" i="61"/>
  <c r="X62" i="61"/>
  <c r="P63" i="61"/>
  <c r="Q63" i="61"/>
  <c r="R63" i="61"/>
  <c r="S63" i="61"/>
  <c r="T63" i="61"/>
  <c r="U63" i="61"/>
  <c r="V63" i="61"/>
  <c r="X63" i="61"/>
  <c r="P64" i="61"/>
  <c r="Q64" i="61"/>
  <c r="R64" i="61"/>
  <c r="S64" i="61"/>
  <c r="T64" i="61"/>
  <c r="U64" i="61"/>
  <c r="V64" i="61"/>
  <c r="X64" i="61"/>
  <c r="P65" i="61"/>
  <c r="Q65" i="61"/>
  <c r="R65" i="61"/>
  <c r="S65" i="61"/>
  <c r="T65" i="61"/>
  <c r="U65" i="61"/>
  <c r="V65" i="61"/>
  <c r="X65" i="61"/>
  <c r="P66" i="61"/>
  <c r="Q66" i="61"/>
  <c r="R66" i="61"/>
  <c r="S66" i="61"/>
  <c r="T66" i="61"/>
  <c r="U66" i="61"/>
  <c r="V66" i="61"/>
  <c r="X66" i="61"/>
  <c r="P67" i="61"/>
  <c r="Q67" i="61"/>
  <c r="R67" i="61"/>
  <c r="S67" i="61"/>
  <c r="T67" i="61"/>
  <c r="U67" i="61"/>
  <c r="V67" i="61"/>
  <c r="X67" i="61"/>
  <c r="P68" i="61"/>
  <c r="Q68" i="61"/>
  <c r="R68" i="61"/>
  <c r="S68" i="61"/>
  <c r="T68" i="61"/>
  <c r="U68" i="61"/>
  <c r="V68" i="61"/>
  <c r="X68" i="61"/>
  <c r="P69" i="61"/>
  <c r="Q69" i="61"/>
  <c r="R69" i="61"/>
  <c r="S69" i="61"/>
  <c r="T69" i="61"/>
  <c r="U69" i="61"/>
  <c r="V69" i="61"/>
  <c r="X69" i="61"/>
  <c r="P70" i="61"/>
  <c r="Q70" i="61"/>
  <c r="R70" i="61"/>
  <c r="S70" i="61"/>
  <c r="T70" i="61"/>
  <c r="U70" i="61"/>
  <c r="V70" i="61"/>
  <c r="X70" i="61"/>
  <c r="P71" i="61"/>
  <c r="Q71" i="61"/>
  <c r="R71" i="61"/>
  <c r="S71" i="61"/>
  <c r="T71" i="61"/>
  <c r="U71" i="61"/>
  <c r="V71" i="61"/>
  <c r="X71" i="61"/>
  <c r="P72" i="61"/>
  <c r="Q72" i="61"/>
  <c r="R72" i="61"/>
  <c r="S72" i="61"/>
  <c r="T72" i="61"/>
  <c r="U72" i="61"/>
  <c r="V72" i="61"/>
  <c r="X72" i="61"/>
  <c r="P73" i="61"/>
  <c r="Q73" i="61"/>
  <c r="R73" i="61"/>
  <c r="S73" i="61"/>
  <c r="T73" i="61"/>
  <c r="U73" i="61"/>
  <c r="V73" i="61"/>
  <c r="X73" i="61"/>
  <c r="P74" i="61"/>
  <c r="Q74" i="61"/>
  <c r="R74" i="61"/>
  <c r="S74" i="61"/>
  <c r="T74" i="61"/>
  <c r="U74" i="61"/>
  <c r="V74" i="61"/>
  <c r="X74" i="61"/>
  <c r="P75" i="61"/>
  <c r="Q75" i="61"/>
  <c r="R75" i="61"/>
  <c r="S75" i="61"/>
  <c r="T75" i="61"/>
  <c r="U75" i="61"/>
  <c r="V75" i="61"/>
  <c r="X75" i="61"/>
  <c r="P76" i="61"/>
  <c r="Q76" i="61"/>
  <c r="R76" i="61"/>
  <c r="S76" i="61"/>
  <c r="T76" i="61"/>
  <c r="U76" i="61"/>
  <c r="V76" i="61"/>
  <c r="X76" i="61"/>
  <c r="P77" i="61"/>
  <c r="Q77" i="61"/>
  <c r="R77" i="61"/>
  <c r="S77" i="61"/>
  <c r="T77" i="61"/>
  <c r="U77" i="61"/>
  <c r="V77" i="61"/>
  <c r="X77" i="61"/>
  <c r="P78" i="61"/>
  <c r="Q78" i="61"/>
  <c r="R78" i="61"/>
  <c r="S78" i="61"/>
  <c r="T78" i="61"/>
  <c r="U78" i="61"/>
  <c r="V78" i="61"/>
  <c r="X78" i="61"/>
  <c r="P79" i="61"/>
  <c r="Q79" i="61"/>
  <c r="R79" i="61"/>
  <c r="S79" i="61"/>
  <c r="T79" i="61"/>
  <c r="U79" i="61"/>
  <c r="V79" i="61"/>
  <c r="X79" i="61"/>
  <c r="P80" i="61"/>
  <c r="Q80" i="61"/>
  <c r="R80" i="61"/>
  <c r="S80" i="61"/>
  <c r="T80" i="61"/>
  <c r="U80" i="61"/>
  <c r="V80" i="61"/>
  <c r="X80" i="61"/>
  <c r="P81" i="61"/>
  <c r="Q81" i="61"/>
  <c r="R81" i="61"/>
  <c r="S81" i="61"/>
  <c r="T81" i="61"/>
  <c r="U81" i="61"/>
  <c r="V81" i="61"/>
  <c r="X81" i="61"/>
  <c r="P82" i="61"/>
  <c r="Q82" i="61"/>
  <c r="R82" i="61"/>
  <c r="S82" i="61"/>
  <c r="T82" i="61"/>
  <c r="U82" i="61"/>
  <c r="V82" i="61"/>
  <c r="X82" i="61"/>
  <c r="P83" i="61"/>
  <c r="Q83" i="61"/>
  <c r="R83" i="61"/>
  <c r="S83" i="61"/>
  <c r="T83" i="61"/>
  <c r="U83" i="61"/>
  <c r="V83" i="61"/>
  <c r="X83" i="61"/>
  <c r="P84" i="61"/>
  <c r="Q84" i="61"/>
  <c r="R84" i="61"/>
  <c r="S84" i="61"/>
  <c r="T84" i="61"/>
  <c r="U84" i="61"/>
  <c r="V84" i="61"/>
  <c r="X84" i="61"/>
  <c r="P85" i="61"/>
  <c r="Q85" i="61"/>
  <c r="R85" i="61"/>
  <c r="S85" i="61"/>
  <c r="T85" i="61"/>
  <c r="U85" i="61"/>
  <c r="V85" i="61"/>
  <c r="X85" i="61"/>
  <c r="P86" i="61"/>
  <c r="Q86" i="61"/>
  <c r="R86" i="61"/>
  <c r="S86" i="61"/>
  <c r="T86" i="61"/>
  <c r="U86" i="61"/>
  <c r="V86" i="61"/>
  <c r="X86" i="61"/>
  <c r="P87" i="61"/>
  <c r="Q87" i="61"/>
  <c r="R87" i="61"/>
  <c r="S87" i="61"/>
  <c r="T87" i="61"/>
  <c r="U87" i="61"/>
  <c r="V87" i="61"/>
  <c r="X87" i="61"/>
  <c r="P88" i="61"/>
  <c r="Q88" i="61"/>
  <c r="R88" i="61"/>
  <c r="S88" i="61"/>
  <c r="T88" i="61"/>
  <c r="U88" i="61"/>
  <c r="V88" i="61"/>
  <c r="X88" i="61"/>
  <c r="P89" i="61"/>
  <c r="Q89" i="61"/>
  <c r="R89" i="61"/>
  <c r="S89" i="61"/>
  <c r="T89" i="61"/>
  <c r="U89" i="61"/>
  <c r="V89" i="61"/>
  <c r="X89" i="61"/>
  <c r="P90" i="61"/>
  <c r="Q90" i="61"/>
  <c r="R90" i="61"/>
  <c r="S90" i="61"/>
  <c r="T90" i="61"/>
  <c r="U90" i="61"/>
  <c r="V90" i="61"/>
  <c r="X90" i="61"/>
  <c r="P91" i="61"/>
  <c r="Q91" i="61"/>
  <c r="R91" i="61"/>
  <c r="S91" i="61"/>
  <c r="T91" i="61"/>
  <c r="U91" i="61"/>
  <c r="V91" i="61"/>
  <c r="X91" i="61"/>
  <c r="P92" i="61"/>
  <c r="Q92" i="61"/>
  <c r="R92" i="61"/>
  <c r="S92" i="61"/>
  <c r="T92" i="61"/>
  <c r="U92" i="61"/>
  <c r="V92" i="61"/>
  <c r="X92" i="61"/>
  <c r="P93" i="61"/>
  <c r="Q93" i="61"/>
  <c r="R93" i="61"/>
  <c r="S93" i="61"/>
  <c r="T93" i="61"/>
  <c r="U93" i="61"/>
  <c r="V93" i="61"/>
  <c r="X93" i="61"/>
  <c r="P94" i="61"/>
  <c r="Q94" i="61"/>
  <c r="R94" i="61"/>
  <c r="S94" i="61"/>
  <c r="T94" i="61"/>
  <c r="U94" i="61"/>
  <c r="V94" i="61"/>
  <c r="X94" i="61"/>
  <c r="P95" i="61"/>
  <c r="Q95" i="61"/>
  <c r="R95" i="61"/>
  <c r="S95" i="61"/>
  <c r="T95" i="61"/>
  <c r="U95" i="61"/>
  <c r="V95" i="61"/>
  <c r="X95" i="61"/>
  <c r="P96" i="61"/>
  <c r="Q96" i="61"/>
  <c r="R96" i="61"/>
  <c r="S96" i="61"/>
  <c r="T96" i="61"/>
  <c r="U96" i="61"/>
  <c r="V96" i="61"/>
  <c r="X96" i="61"/>
  <c r="P97" i="61"/>
  <c r="Q97" i="61"/>
  <c r="R97" i="61"/>
  <c r="S97" i="61"/>
  <c r="T97" i="61"/>
  <c r="U97" i="61"/>
  <c r="V97" i="61"/>
  <c r="X97" i="61"/>
  <c r="P98" i="61"/>
  <c r="Q98" i="61"/>
  <c r="R98" i="61"/>
  <c r="S98" i="61"/>
  <c r="T98" i="61"/>
  <c r="U98" i="61"/>
  <c r="V98" i="61"/>
  <c r="X98" i="61"/>
  <c r="P99" i="61"/>
  <c r="Q99" i="61"/>
  <c r="R99" i="61"/>
  <c r="S99" i="61"/>
  <c r="T99" i="61"/>
  <c r="U99" i="61"/>
  <c r="V99" i="61"/>
  <c r="X99" i="61"/>
  <c r="P100" i="61"/>
  <c r="Q100" i="61"/>
  <c r="R100" i="61"/>
  <c r="S100" i="61"/>
  <c r="T100" i="61"/>
  <c r="U100" i="61"/>
  <c r="V100" i="61"/>
  <c r="X100" i="61"/>
  <c r="P101" i="61"/>
  <c r="Q101" i="61"/>
  <c r="R101" i="61"/>
  <c r="S101" i="61"/>
  <c r="T101" i="61"/>
  <c r="U101" i="61"/>
  <c r="V101" i="61"/>
  <c r="X101" i="61"/>
  <c r="P102" i="61"/>
  <c r="Q102" i="61"/>
  <c r="R102" i="61"/>
  <c r="S102" i="61"/>
  <c r="T102" i="61"/>
  <c r="U102" i="61"/>
  <c r="V102" i="61"/>
  <c r="X102" i="61"/>
  <c r="P103" i="61"/>
  <c r="Q103" i="61"/>
  <c r="R103" i="61"/>
  <c r="S103" i="61"/>
  <c r="T103" i="61"/>
  <c r="U103" i="61"/>
  <c r="V103" i="61"/>
  <c r="X103" i="61"/>
  <c r="P104" i="61"/>
  <c r="Q104" i="61"/>
  <c r="R104" i="61"/>
  <c r="S104" i="61"/>
  <c r="T104" i="61"/>
  <c r="U104" i="61"/>
  <c r="V104" i="61"/>
  <c r="X104" i="61"/>
  <c r="P105" i="61"/>
  <c r="Q105" i="61"/>
  <c r="R105" i="61"/>
  <c r="S105" i="61"/>
  <c r="T105" i="61"/>
  <c r="U105" i="61"/>
  <c r="V105" i="61"/>
  <c r="X105" i="61"/>
  <c r="P106" i="61"/>
  <c r="Q106" i="61"/>
  <c r="R106" i="61"/>
  <c r="S106" i="61"/>
  <c r="T106" i="61"/>
  <c r="U106" i="61"/>
  <c r="V106" i="61"/>
  <c r="X106" i="61"/>
  <c r="P107" i="61"/>
  <c r="Q107" i="61"/>
  <c r="R107" i="61"/>
  <c r="S107" i="61"/>
  <c r="T107" i="61"/>
  <c r="U107" i="61"/>
  <c r="V107" i="61"/>
  <c r="X107" i="61"/>
  <c r="P108" i="61"/>
  <c r="Q108" i="61"/>
  <c r="R108" i="61"/>
  <c r="S108" i="61"/>
  <c r="T108" i="61"/>
  <c r="U108" i="61"/>
  <c r="V108" i="61"/>
  <c r="X108" i="61"/>
  <c r="P109" i="61"/>
  <c r="Q109" i="61"/>
  <c r="R109" i="61"/>
  <c r="S109" i="61"/>
  <c r="T109" i="61"/>
  <c r="U109" i="61"/>
  <c r="V109" i="61"/>
  <c r="X109" i="61"/>
  <c r="P110" i="61"/>
  <c r="Q110" i="61"/>
  <c r="R110" i="61"/>
  <c r="S110" i="61"/>
  <c r="T110" i="61"/>
  <c r="U110" i="61"/>
  <c r="V110" i="61"/>
  <c r="X110" i="61"/>
  <c r="P111" i="61"/>
  <c r="Q111" i="61"/>
  <c r="R111" i="61"/>
  <c r="S111" i="61"/>
  <c r="T111" i="61"/>
  <c r="U111" i="61"/>
  <c r="V111" i="61"/>
  <c r="X111" i="61"/>
  <c r="P112" i="61"/>
  <c r="Q112" i="61"/>
  <c r="R112" i="61"/>
  <c r="S112" i="61"/>
  <c r="T112" i="61"/>
  <c r="U112" i="61"/>
  <c r="V112" i="61"/>
  <c r="X112" i="61"/>
  <c r="P113" i="61"/>
  <c r="Q113" i="61"/>
  <c r="R113" i="61"/>
  <c r="S113" i="61"/>
  <c r="T113" i="61"/>
  <c r="U113" i="61"/>
  <c r="V113" i="61"/>
  <c r="X113" i="61"/>
  <c r="P114" i="61"/>
  <c r="Q114" i="61"/>
  <c r="R114" i="61"/>
  <c r="S114" i="61"/>
  <c r="T114" i="61"/>
  <c r="U114" i="61"/>
  <c r="V114" i="61"/>
  <c r="X114" i="61"/>
  <c r="P115" i="61"/>
  <c r="Q115" i="61"/>
  <c r="R115" i="61"/>
  <c r="S115" i="61"/>
  <c r="T115" i="61"/>
  <c r="U115" i="61"/>
  <c r="V115" i="61"/>
  <c r="X115" i="61"/>
  <c r="P116" i="61"/>
  <c r="Q116" i="61"/>
  <c r="R116" i="61"/>
  <c r="S116" i="61"/>
  <c r="T116" i="61"/>
  <c r="U116" i="61"/>
  <c r="V116" i="61"/>
  <c r="X116" i="61"/>
  <c r="P117" i="61"/>
  <c r="Q117" i="61"/>
  <c r="R117" i="61"/>
  <c r="S117" i="61"/>
  <c r="T117" i="61"/>
  <c r="U117" i="61"/>
  <c r="V117" i="61"/>
  <c r="X117" i="61"/>
  <c r="P118" i="61"/>
  <c r="Q118" i="61"/>
  <c r="R118" i="61"/>
  <c r="S118" i="61"/>
  <c r="T118" i="61"/>
  <c r="U118" i="61"/>
  <c r="V118" i="61"/>
  <c r="X118" i="61"/>
  <c r="P119" i="61"/>
  <c r="Q119" i="61"/>
  <c r="R119" i="61"/>
  <c r="S119" i="61"/>
  <c r="T119" i="61"/>
  <c r="U119" i="61"/>
  <c r="V119" i="61"/>
  <c r="X119" i="61"/>
  <c r="P120" i="61"/>
  <c r="Q120" i="61"/>
  <c r="R120" i="61"/>
  <c r="S120" i="61"/>
  <c r="T120" i="61"/>
  <c r="U120" i="61"/>
  <c r="V120" i="61"/>
  <c r="X120" i="61"/>
  <c r="P121" i="61"/>
  <c r="Q121" i="61"/>
  <c r="R121" i="61"/>
  <c r="S121" i="61"/>
  <c r="T121" i="61"/>
  <c r="U121" i="61"/>
  <c r="V121" i="61"/>
  <c r="X121" i="61"/>
  <c r="P122" i="61"/>
  <c r="Q122" i="61"/>
  <c r="R122" i="61"/>
  <c r="S122" i="61"/>
  <c r="T122" i="61"/>
  <c r="U122" i="61"/>
  <c r="V122" i="61"/>
  <c r="X122" i="61"/>
  <c r="P123" i="61"/>
  <c r="Q123" i="61"/>
  <c r="R123" i="61"/>
  <c r="S123" i="61"/>
  <c r="T123" i="61"/>
  <c r="U123" i="61"/>
  <c r="V123" i="61"/>
  <c r="X123" i="61"/>
  <c r="P124" i="61"/>
  <c r="Q124" i="61"/>
  <c r="R124" i="61"/>
  <c r="S124" i="61"/>
  <c r="T124" i="61"/>
  <c r="U124" i="61"/>
  <c r="V124" i="61"/>
  <c r="X124" i="61"/>
  <c r="P125" i="61"/>
  <c r="Q125" i="61"/>
  <c r="R125" i="61"/>
  <c r="S125" i="61"/>
  <c r="T125" i="61"/>
  <c r="U125" i="61"/>
  <c r="V125" i="61"/>
  <c r="X125" i="61"/>
  <c r="P126" i="61"/>
  <c r="Q126" i="61"/>
  <c r="R126" i="61"/>
  <c r="S126" i="61"/>
  <c r="T126" i="61"/>
  <c r="U126" i="61"/>
  <c r="V126" i="61"/>
  <c r="X126" i="61"/>
  <c r="P127" i="61"/>
  <c r="Q127" i="61"/>
  <c r="R127" i="61"/>
  <c r="S127" i="61"/>
  <c r="T127" i="61"/>
  <c r="U127" i="61"/>
  <c r="V127" i="61"/>
  <c r="X127" i="61"/>
  <c r="P128" i="61"/>
  <c r="Q128" i="61"/>
  <c r="R128" i="61"/>
  <c r="S128" i="61"/>
  <c r="T128" i="61"/>
  <c r="U128" i="61"/>
  <c r="V128" i="61"/>
  <c r="X128" i="61"/>
  <c r="P129" i="61"/>
  <c r="Q129" i="61"/>
  <c r="R129" i="61"/>
  <c r="S129" i="61"/>
  <c r="T129" i="61"/>
  <c r="U129" i="61"/>
  <c r="V129" i="61"/>
  <c r="X129" i="61"/>
  <c r="P130" i="61"/>
  <c r="Q130" i="61"/>
  <c r="R130" i="61"/>
  <c r="S130" i="61"/>
  <c r="T130" i="61"/>
  <c r="U130" i="61"/>
  <c r="V130" i="61"/>
  <c r="X130" i="61"/>
  <c r="P131" i="61"/>
  <c r="Q131" i="61"/>
  <c r="R131" i="61"/>
  <c r="S131" i="61"/>
  <c r="T131" i="61"/>
  <c r="U131" i="61"/>
  <c r="V131" i="61"/>
  <c r="X131" i="61"/>
  <c r="P132" i="61"/>
  <c r="Q132" i="61"/>
  <c r="R132" i="61"/>
  <c r="S132" i="61"/>
  <c r="T132" i="61"/>
  <c r="U132" i="61"/>
  <c r="V132" i="61"/>
  <c r="X132" i="61"/>
  <c r="P133" i="61"/>
  <c r="Q133" i="61"/>
  <c r="R133" i="61"/>
  <c r="S133" i="61"/>
  <c r="T133" i="61"/>
  <c r="U133" i="61"/>
  <c r="V133" i="61"/>
  <c r="X133" i="61"/>
  <c r="P134" i="61"/>
  <c r="Q134" i="61"/>
  <c r="R134" i="61"/>
  <c r="S134" i="61"/>
  <c r="T134" i="61"/>
  <c r="U134" i="61"/>
  <c r="V134" i="61"/>
  <c r="X134" i="61"/>
  <c r="P135" i="61"/>
  <c r="Q135" i="61"/>
  <c r="R135" i="61"/>
  <c r="S135" i="61"/>
  <c r="T135" i="61"/>
  <c r="U135" i="61"/>
  <c r="V135" i="61"/>
  <c r="X135" i="61"/>
  <c r="P136" i="61"/>
  <c r="Q136" i="61"/>
  <c r="R136" i="61"/>
  <c r="S136" i="61"/>
  <c r="T136" i="61"/>
  <c r="U136" i="61"/>
  <c r="V136" i="61"/>
  <c r="X136" i="61"/>
  <c r="P137" i="61"/>
  <c r="Q137" i="61"/>
  <c r="R137" i="61"/>
  <c r="S137" i="61"/>
  <c r="T137" i="61"/>
  <c r="U137" i="61"/>
  <c r="V137" i="61"/>
  <c r="X137" i="61"/>
  <c r="P138" i="61"/>
  <c r="Q138" i="61"/>
  <c r="R138" i="61"/>
  <c r="S138" i="61"/>
  <c r="T138" i="61"/>
  <c r="U138" i="61"/>
  <c r="V138" i="61"/>
  <c r="X138" i="61"/>
  <c r="P139" i="61"/>
  <c r="Q139" i="61"/>
  <c r="R139" i="61"/>
  <c r="S139" i="61"/>
  <c r="T139" i="61"/>
  <c r="U139" i="61"/>
  <c r="V139" i="61"/>
  <c r="X139" i="61"/>
  <c r="P140" i="61"/>
  <c r="Q140" i="61"/>
  <c r="R140" i="61"/>
  <c r="S140" i="61"/>
  <c r="T140" i="61"/>
  <c r="U140" i="61"/>
  <c r="V140" i="61"/>
  <c r="X140" i="61"/>
  <c r="P141" i="61"/>
  <c r="Q141" i="61"/>
  <c r="R141" i="61"/>
  <c r="S141" i="61"/>
  <c r="T141" i="61"/>
  <c r="U141" i="61"/>
  <c r="V141" i="61"/>
  <c r="X141" i="61"/>
  <c r="P142" i="61"/>
  <c r="Q142" i="61"/>
  <c r="R142" i="61"/>
  <c r="S142" i="61"/>
  <c r="T142" i="61"/>
  <c r="U142" i="61"/>
  <c r="V142" i="61"/>
  <c r="X142" i="61"/>
  <c r="P143" i="61"/>
  <c r="Q143" i="61"/>
  <c r="R143" i="61"/>
  <c r="S143" i="61"/>
  <c r="T143" i="61"/>
  <c r="U143" i="61"/>
  <c r="V143" i="61"/>
  <c r="X143" i="61"/>
  <c r="P144" i="61"/>
  <c r="Q144" i="61"/>
  <c r="R144" i="61"/>
  <c r="S144" i="61"/>
  <c r="T144" i="61"/>
  <c r="U144" i="61"/>
  <c r="V144" i="61"/>
  <c r="X144" i="61"/>
  <c r="P145" i="61"/>
  <c r="Q145" i="61"/>
  <c r="R145" i="61"/>
  <c r="S145" i="61"/>
  <c r="T145" i="61"/>
  <c r="U145" i="61"/>
  <c r="V145" i="61"/>
  <c r="X145" i="61"/>
  <c r="P146" i="61"/>
  <c r="Q146" i="61"/>
  <c r="R146" i="61"/>
  <c r="S146" i="61"/>
  <c r="T146" i="61"/>
  <c r="U146" i="61"/>
  <c r="V146" i="61"/>
  <c r="X146" i="61"/>
  <c r="P147" i="61"/>
  <c r="Q147" i="61"/>
  <c r="R147" i="61"/>
  <c r="S147" i="61"/>
  <c r="T147" i="61"/>
  <c r="U147" i="61"/>
  <c r="V147" i="61"/>
  <c r="X147" i="61"/>
  <c r="P148" i="61"/>
  <c r="Q148" i="61"/>
  <c r="R148" i="61"/>
  <c r="S148" i="61"/>
  <c r="T148" i="61"/>
  <c r="U148" i="61"/>
  <c r="V148" i="61"/>
  <c r="X148" i="61"/>
  <c r="P149" i="61"/>
  <c r="Q149" i="61"/>
  <c r="R149" i="61"/>
  <c r="S149" i="61"/>
  <c r="T149" i="61"/>
  <c r="U149" i="61"/>
  <c r="V149" i="61"/>
  <c r="X149" i="61"/>
  <c r="P150" i="61"/>
  <c r="Q150" i="61"/>
  <c r="R150" i="61"/>
  <c r="S150" i="61"/>
  <c r="T150" i="61"/>
  <c r="U150" i="61"/>
  <c r="V150" i="61"/>
  <c r="X150" i="61"/>
  <c r="P151" i="61"/>
  <c r="Q151" i="61"/>
  <c r="R151" i="61"/>
  <c r="S151" i="61"/>
  <c r="T151" i="61"/>
  <c r="U151" i="61"/>
  <c r="V151" i="61"/>
  <c r="X151" i="61"/>
  <c r="P152" i="61"/>
  <c r="Q152" i="61"/>
  <c r="R152" i="61"/>
  <c r="S152" i="61"/>
  <c r="T152" i="61"/>
  <c r="U152" i="61"/>
  <c r="V152" i="61"/>
  <c r="X152" i="61"/>
  <c r="P153" i="61"/>
  <c r="Q153" i="61"/>
  <c r="R153" i="61"/>
  <c r="S153" i="61"/>
  <c r="T153" i="61"/>
  <c r="U153" i="61"/>
  <c r="V153" i="61"/>
  <c r="X153" i="61"/>
  <c r="P154" i="61"/>
  <c r="Q154" i="61"/>
  <c r="R154" i="61"/>
  <c r="S154" i="61"/>
  <c r="T154" i="61"/>
  <c r="U154" i="61"/>
  <c r="V154" i="61"/>
  <c r="X154" i="61"/>
  <c r="P155" i="61"/>
  <c r="Q155" i="61"/>
  <c r="R155" i="61"/>
  <c r="S155" i="61"/>
  <c r="T155" i="61"/>
  <c r="U155" i="61"/>
  <c r="V155" i="61"/>
  <c r="X155" i="61"/>
  <c r="P156" i="61"/>
  <c r="Q156" i="61"/>
  <c r="R156" i="61"/>
  <c r="S156" i="61"/>
  <c r="T156" i="61"/>
  <c r="U156" i="61"/>
  <c r="V156" i="61"/>
  <c r="X156" i="61"/>
  <c r="P157" i="61"/>
  <c r="Q157" i="61"/>
  <c r="R157" i="61"/>
  <c r="S157" i="61"/>
  <c r="T157" i="61"/>
  <c r="U157" i="61"/>
  <c r="V157" i="61"/>
  <c r="X157" i="61"/>
  <c r="P158" i="61"/>
  <c r="Q158" i="61"/>
  <c r="R158" i="61"/>
  <c r="S158" i="61"/>
  <c r="T158" i="61"/>
  <c r="U158" i="61"/>
  <c r="V158" i="61"/>
  <c r="X158" i="61"/>
  <c r="P159" i="61"/>
  <c r="Q159" i="61"/>
  <c r="R159" i="61"/>
  <c r="S159" i="61"/>
  <c r="T159" i="61"/>
  <c r="U159" i="61"/>
  <c r="V159" i="61"/>
  <c r="X159" i="61"/>
  <c r="P160" i="61"/>
  <c r="Q160" i="61"/>
  <c r="R160" i="61"/>
  <c r="S160" i="61"/>
  <c r="T160" i="61"/>
  <c r="U160" i="61"/>
  <c r="V160" i="61"/>
  <c r="X160" i="61"/>
  <c r="P161" i="61"/>
  <c r="Q161" i="61"/>
  <c r="R161" i="61"/>
  <c r="S161" i="61"/>
  <c r="T161" i="61"/>
  <c r="U161" i="61"/>
  <c r="V161" i="61"/>
  <c r="X161" i="61"/>
  <c r="P162" i="61"/>
  <c r="Q162" i="61"/>
  <c r="R162" i="61"/>
  <c r="S162" i="61"/>
  <c r="T162" i="61"/>
  <c r="U162" i="61"/>
  <c r="V162" i="61"/>
  <c r="X162" i="61"/>
  <c r="P163" i="61"/>
  <c r="Q163" i="61"/>
  <c r="R163" i="61"/>
  <c r="S163" i="61"/>
  <c r="T163" i="61"/>
  <c r="U163" i="61"/>
  <c r="V163" i="61"/>
  <c r="X163" i="61"/>
  <c r="P164" i="61"/>
  <c r="Q164" i="61"/>
  <c r="R164" i="61"/>
  <c r="S164" i="61"/>
  <c r="T164" i="61"/>
  <c r="U164" i="61"/>
  <c r="V164" i="61"/>
  <c r="X164" i="61"/>
  <c r="P165" i="61"/>
  <c r="S165" i="61"/>
  <c r="U165" i="61"/>
  <c r="X165" i="61"/>
  <c r="P166" i="61"/>
  <c r="Q166" i="61"/>
  <c r="R166" i="61"/>
  <c r="S166" i="61"/>
  <c r="T166" i="61"/>
  <c r="U166" i="61"/>
  <c r="X166" i="61"/>
  <c r="P167" i="61"/>
  <c r="Q167" i="61"/>
  <c r="R167" i="61"/>
  <c r="S167" i="61"/>
  <c r="T167" i="61"/>
  <c r="U167" i="61"/>
  <c r="V167" i="61"/>
  <c r="X167" i="61"/>
  <c r="P168" i="61"/>
  <c r="Q168" i="61"/>
  <c r="R168" i="61"/>
  <c r="S168" i="61"/>
  <c r="T168" i="61"/>
  <c r="U168" i="61"/>
  <c r="V168" i="61"/>
  <c r="X168" i="61"/>
  <c r="P169" i="61"/>
  <c r="Q169" i="61"/>
  <c r="R169" i="61"/>
  <c r="S169" i="61"/>
  <c r="T169" i="61"/>
  <c r="U169" i="61"/>
  <c r="V169" i="61"/>
  <c r="X169" i="61"/>
  <c r="P170" i="61"/>
  <c r="Q170" i="61"/>
  <c r="R170" i="61"/>
  <c r="S170" i="61"/>
  <c r="T170" i="61"/>
  <c r="U170" i="61"/>
  <c r="V170" i="61"/>
  <c r="X170" i="61"/>
  <c r="P171" i="61"/>
  <c r="Q171" i="61"/>
  <c r="R171" i="61"/>
  <c r="S171" i="61"/>
  <c r="T171" i="61"/>
  <c r="U171" i="61"/>
  <c r="V171" i="61"/>
  <c r="X171" i="61"/>
  <c r="P172" i="61"/>
  <c r="R172" i="61"/>
  <c r="S172" i="61"/>
  <c r="T172" i="61"/>
  <c r="U172" i="61"/>
  <c r="V172" i="61"/>
  <c r="X172" i="61"/>
  <c r="P173" i="61"/>
  <c r="R173" i="61"/>
  <c r="S173" i="61"/>
  <c r="T173" i="61"/>
  <c r="U173" i="61"/>
  <c r="V173" i="61"/>
  <c r="X173" i="61"/>
  <c r="P174" i="61"/>
  <c r="Q174" i="61"/>
  <c r="R174" i="61"/>
  <c r="S174" i="61"/>
  <c r="T174" i="61"/>
  <c r="U174" i="61"/>
  <c r="V174" i="61"/>
  <c r="X174" i="61"/>
  <c r="P175" i="61"/>
  <c r="Q175" i="61"/>
  <c r="R175" i="61"/>
  <c r="S175" i="61"/>
  <c r="T175" i="61"/>
  <c r="U175" i="61"/>
  <c r="X175" i="61"/>
  <c r="P176" i="61"/>
  <c r="Q176" i="61"/>
  <c r="R176" i="61"/>
  <c r="S176" i="61"/>
  <c r="T176" i="61"/>
  <c r="U176" i="61"/>
  <c r="V176" i="61"/>
  <c r="X176" i="61"/>
  <c r="P177" i="61"/>
  <c r="Q177" i="61"/>
  <c r="R177" i="61"/>
  <c r="S177" i="61"/>
  <c r="T177" i="61"/>
  <c r="U177" i="61"/>
  <c r="V177" i="61"/>
  <c r="X177" i="61"/>
  <c r="Q178" i="61"/>
  <c r="R178" i="61"/>
  <c r="S178" i="61"/>
  <c r="T178" i="61"/>
  <c r="U178" i="61"/>
  <c r="P179" i="61"/>
  <c r="R179" i="61"/>
  <c r="S179" i="61"/>
  <c r="T179" i="61"/>
  <c r="U179" i="61"/>
  <c r="V179" i="61"/>
  <c r="X179" i="61"/>
  <c r="P180" i="61"/>
  <c r="R180" i="61"/>
  <c r="S180" i="61"/>
  <c r="T180" i="61"/>
  <c r="U180" i="61"/>
  <c r="V180" i="61"/>
  <c r="X180" i="61"/>
  <c r="P181" i="61"/>
  <c r="R181" i="61"/>
  <c r="S181" i="61"/>
  <c r="T181" i="61"/>
  <c r="U181" i="61"/>
  <c r="V181" i="61"/>
  <c r="X181" i="61"/>
  <c r="P182" i="61"/>
  <c r="Q182" i="61"/>
  <c r="R182" i="61"/>
  <c r="S182" i="61"/>
  <c r="T182" i="61"/>
  <c r="U182" i="61"/>
  <c r="V182" i="61"/>
  <c r="X182" i="61"/>
  <c r="P183" i="61"/>
  <c r="Q183" i="61"/>
  <c r="R183" i="61"/>
  <c r="S183" i="61"/>
  <c r="T183" i="61"/>
  <c r="U183" i="61"/>
  <c r="V183" i="61"/>
  <c r="X183" i="61"/>
  <c r="P184" i="61"/>
  <c r="Q184" i="61"/>
  <c r="R184" i="61"/>
  <c r="S184" i="61"/>
  <c r="T184" i="61"/>
  <c r="U184" i="61"/>
  <c r="V184" i="61"/>
  <c r="X184" i="61"/>
  <c r="P185" i="61"/>
  <c r="Q185" i="61"/>
  <c r="R185" i="61"/>
  <c r="S185" i="61"/>
  <c r="T185" i="61"/>
  <c r="U185" i="61"/>
  <c r="V185" i="61"/>
  <c r="X185" i="61"/>
  <c r="P186" i="61"/>
  <c r="Q186" i="61"/>
  <c r="R186" i="61"/>
  <c r="S186" i="61"/>
  <c r="T186" i="61"/>
  <c r="U186" i="61"/>
  <c r="V186" i="61"/>
  <c r="X186" i="61"/>
  <c r="P187" i="61"/>
  <c r="Q187" i="61"/>
  <c r="R187" i="61"/>
  <c r="S187" i="61"/>
  <c r="T187" i="61"/>
  <c r="U187" i="61"/>
  <c r="V187" i="61"/>
  <c r="X187" i="61"/>
  <c r="P188" i="61"/>
  <c r="Q188" i="61"/>
  <c r="R188" i="61"/>
  <c r="S188" i="61"/>
  <c r="T188" i="61"/>
  <c r="U188" i="61"/>
  <c r="V188" i="61"/>
  <c r="X188" i="61"/>
  <c r="P189" i="61"/>
  <c r="Q189" i="61"/>
  <c r="R189" i="61"/>
  <c r="S189" i="61"/>
  <c r="T189" i="61"/>
  <c r="U189" i="61"/>
  <c r="V189" i="61"/>
  <c r="X189" i="61"/>
  <c r="P190" i="61"/>
  <c r="Q190" i="61"/>
  <c r="R190" i="61"/>
  <c r="S190" i="61"/>
  <c r="T190" i="61"/>
  <c r="U190" i="61"/>
  <c r="V190" i="61"/>
  <c r="X190" i="61"/>
  <c r="P191" i="61"/>
  <c r="Q191" i="61"/>
  <c r="R191" i="61"/>
  <c r="S191" i="61"/>
  <c r="T191" i="61"/>
  <c r="U191" i="61"/>
  <c r="V191" i="61"/>
  <c r="X191" i="61"/>
  <c r="P192" i="61"/>
  <c r="Q192" i="61"/>
  <c r="R192" i="61"/>
  <c r="S192" i="61"/>
  <c r="T192" i="61"/>
  <c r="U192" i="61"/>
  <c r="V192" i="61"/>
  <c r="X192" i="61"/>
  <c r="P193" i="61"/>
  <c r="Q193" i="61"/>
  <c r="R193" i="61"/>
  <c r="S193" i="61"/>
  <c r="T193" i="61"/>
  <c r="U193" i="61"/>
  <c r="V193" i="61"/>
  <c r="X193" i="61"/>
  <c r="P194" i="61"/>
  <c r="Q194" i="61"/>
  <c r="R194" i="61"/>
  <c r="S194" i="61"/>
  <c r="T194" i="61"/>
  <c r="U194" i="61"/>
  <c r="V194" i="61"/>
  <c r="X194" i="61"/>
  <c r="P195" i="61"/>
  <c r="Q195" i="61"/>
  <c r="R195" i="61"/>
  <c r="S195" i="61"/>
  <c r="T195" i="61"/>
  <c r="U195" i="61"/>
  <c r="V195" i="61"/>
  <c r="X195" i="61"/>
  <c r="P196" i="61"/>
  <c r="Q196" i="61"/>
  <c r="R196" i="61"/>
  <c r="S196" i="61"/>
  <c r="T196" i="61"/>
  <c r="U196" i="61"/>
  <c r="V196" i="61"/>
  <c r="X196" i="61"/>
  <c r="P197" i="61"/>
  <c r="Q197" i="61"/>
  <c r="R197" i="61"/>
  <c r="S197" i="61"/>
  <c r="T197" i="61"/>
  <c r="U197" i="61"/>
  <c r="V197" i="61"/>
  <c r="X197" i="61"/>
  <c r="P198" i="61"/>
  <c r="Q198" i="61"/>
  <c r="R198" i="61"/>
  <c r="S198" i="61"/>
  <c r="T198" i="61"/>
  <c r="U198" i="61"/>
  <c r="V198" i="61"/>
  <c r="X198" i="61"/>
  <c r="P199" i="61"/>
  <c r="Q199" i="61"/>
  <c r="R199" i="61"/>
  <c r="S199" i="61"/>
  <c r="T199" i="61"/>
  <c r="U199" i="61"/>
  <c r="V199" i="61"/>
  <c r="X199" i="61"/>
  <c r="P200" i="61"/>
  <c r="Q200" i="61"/>
  <c r="R200" i="61"/>
  <c r="S200" i="61"/>
  <c r="T200" i="61"/>
  <c r="U200" i="61"/>
  <c r="V200" i="61"/>
  <c r="X200" i="61"/>
  <c r="P201" i="61"/>
  <c r="Q201" i="61"/>
  <c r="R201" i="61"/>
  <c r="S201" i="61"/>
  <c r="T201" i="61"/>
  <c r="U201" i="61"/>
  <c r="V201" i="61"/>
  <c r="X201" i="61"/>
  <c r="P202" i="61"/>
  <c r="Q202" i="61"/>
  <c r="R202" i="61"/>
  <c r="S202" i="61"/>
  <c r="T202" i="61"/>
  <c r="U202" i="61"/>
  <c r="V202" i="61"/>
  <c r="X202" i="61"/>
  <c r="P203" i="61"/>
  <c r="Q203" i="61"/>
  <c r="R203" i="61"/>
  <c r="S203" i="61"/>
  <c r="T203" i="61"/>
  <c r="U203" i="61"/>
  <c r="V203" i="61"/>
  <c r="X203" i="61"/>
  <c r="P204" i="61"/>
  <c r="Q204" i="61"/>
  <c r="R204" i="61"/>
  <c r="S204" i="61"/>
  <c r="T204" i="61"/>
  <c r="U204" i="61"/>
  <c r="V204" i="61"/>
  <c r="X204" i="61"/>
  <c r="P205" i="61"/>
  <c r="Q205" i="61"/>
  <c r="R205" i="61"/>
  <c r="S205" i="61"/>
  <c r="T205" i="61"/>
  <c r="U205" i="61"/>
  <c r="V205" i="61"/>
  <c r="X205" i="61"/>
  <c r="P206" i="61"/>
  <c r="Q206" i="61"/>
  <c r="R206" i="61"/>
  <c r="S206" i="61"/>
  <c r="T206" i="61"/>
  <c r="U206" i="61"/>
  <c r="V206" i="61"/>
  <c r="X206" i="61"/>
  <c r="P207" i="61"/>
  <c r="Q207" i="61"/>
  <c r="R207" i="61"/>
  <c r="S207" i="61"/>
  <c r="T207" i="61"/>
  <c r="U207" i="61"/>
  <c r="V207" i="61"/>
  <c r="X207" i="61"/>
  <c r="P208" i="61"/>
  <c r="Q208" i="61"/>
  <c r="R208" i="61"/>
  <c r="S208" i="61"/>
  <c r="T208" i="61"/>
  <c r="U208" i="61"/>
  <c r="V208" i="61"/>
  <c r="X208" i="61"/>
  <c r="P209" i="61"/>
  <c r="Q209" i="61"/>
  <c r="R209" i="61"/>
  <c r="S209" i="61"/>
  <c r="T209" i="61"/>
  <c r="U209" i="61"/>
  <c r="V209" i="61"/>
  <c r="X209" i="61"/>
  <c r="P210" i="61"/>
  <c r="Q210" i="61"/>
  <c r="R210" i="61"/>
  <c r="S210" i="61"/>
  <c r="T210" i="61"/>
  <c r="U210" i="61"/>
  <c r="V210" i="61"/>
  <c r="X210" i="61"/>
  <c r="P211" i="61"/>
  <c r="Q211" i="61"/>
  <c r="R211" i="61"/>
  <c r="S211" i="61"/>
  <c r="T211" i="61"/>
  <c r="U211" i="61"/>
  <c r="V211" i="61"/>
  <c r="X211" i="61"/>
  <c r="P212" i="61"/>
  <c r="Q212" i="61"/>
  <c r="R212" i="61"/>
  <c r="S212" i="61"/>
  <c r="T212" i="61"/>
  <c r="U212" i="61"/>
  <c r="V212" i="61"/>
  <c r="X212" i="61"/>
  <c r="P213" i="61"/>
  <c r="Q213" i="61"/>
  <c r="R213" i="61"/>
  <c r="S213" i="61"/>
  <c r="T213" i="61"/>
  <c r="U213" i="61"/>
  <c r="V213" i="61"/>
  <c r="X213" i="61"/>
  <c r="P214" i="61"/>
  <c r="Q214" i="61"/>
  <c r="R214" i="61"/>
  <c r="S214" i="61"/>
  <c r="T214" i="61"/>
  <c r="U214" i="61"/>
  <c r="V214" i="61"/>
  <c r="X214" i="61"/>
  <c r="P215" i="61"/>
  <c r="Q215" i="61"/>
  <c r="R215" i="61"/>
  <c r="S215" i="61"/>
  <c r="T215" i="61"/>
  <c r="U215" i="61"/>
  <c r="V215" i="61"/>
  <c r="X215" i="61"/>
  <c r="P216" i="61"/>
  <c r="Q216" i="61"/>
  <c r="R216" i="61"/>
  <c r="S216" i="61"/>
  <c r="T216" i="61"/>
  <c r="U216" i="61"/>
  <c r="V216" i="61"/>
  <c r="X216" i="61"/>
  <c r="P217" i="61"/>
  <c r="Q217" i="61"/>
  <c r="R217" i="61"/>
  <c r="S217" i="61"/>
  <c r="T217" i="61"/>
  <c r="U217" i="61"/>
  <c r="V217" i="61"/>
  <c r="X217" i="61"/>
  <c r="P218" i="61"/>
  <c r="Q218" i="61"/>
  <c r="R218" i="61"/>
  <c r="S218" i="61"/>
  <c r="T218" i="61"/>
  <c r="U218" i="61"/>
  <c r="V218" i="61"/>
  <c r="X218" i="61"/>
  <c r="P219" i="61"/>
  <c r="Q219" i="61"/>
  <c r="R219" i="61"/>
  <c r="S219" i="61"/>
  <c r="T219" i="61"/>
  <c r="U219" i="61"/>
  <c r="V219" i="61"/>
  <c r="X219" i="61"/>
  <c r="P220" i="61"/>
  <c r="Q220" i="61"/>
  <c r="R220" i="61"/>
  <c r="S220" i="61"/>
  <c r="T220" i="61"/>
  <c r="U220" i="61"/>
  <c r="V220" i="61"/>
  <c r="X220" i="61"/>
  <c r="P221" i="61"/>
  <c r="Q221" i="61"/>
  <c r="R221" i="61"/>
  <c r="S221" i="61"/>
  <c r="T221" i="61"/>
  <c r="U221" i="61"/>
  <c r="V221" i="61"/>
  <c r="X221" i="61"/>
  <c r="P222" i="61"/>
  <c r="Q222" i="61"/>
  <c r="R222" i="61"/>
  <c r="S222" i="61"/>
  <c r="T222" i="61"/>
  <c r="U222" i="61"/>
  <c r="V222" i="61"/>
  <c r="X222" i="61"/>
  <c r="P223" i="61"/>
  <c r="Q223" i="61"/>
  <c r="R223" i="61"/>
  <c r="S223" i="61"/>
  <c r="T223" i="61"/>
  <c r="U223" i="61"/>
  <c r="V223" i="61"/>
  <c r="X223" i="61"/>
  <c r="P224" i="61"/>
  <c r="Q224" i="61"/>
  <c r="R224" i="61"/>
  <c r="S224" i="61"/>
  <c r="T224" i="61"/>
  <c r="U224" i="61"/>
  <c r="V224" i="61"/>
  <c r="X224" i="61"/>
  <c r="P225" i="61"/>
  <c r="Q225" i="61"/>
  <c r="R225" i="61"/>
  <c r="S225" i="61"/>
  <c r="T225" i="61"/>
  <c r="U225" i="61"/>
  <c r="V225" i="61"/>
  <c r="X225" i="61"/>
  <c r="P226" i="61"/>
  <c r="Q226" i="61"/>
  <c r="R226" i="61"/>
  <c r="S226" i="61"/>
  <c r="T226" i="61"/>
  <c r="U226" i="61"/>
  <c r="V226" i="61"/>
  <c r="X226" i="61"/>
  <c r="P227" i="61"/>
  <c r="Q227" i="61"/>
  <c r="R227" i="61"/>
  <c r="S227" i="61"/>
  <c r="T227" i="61"/>
  <c r="U227" i="61"/>
  <c r="V227" i="61"/>
  <c r="X227" i="61"/>
  <c r="P228" i="61"/>
  <c r="Q228" i="61"/>
  <c r="R228" i="61"/>
  <c r="S228" i="61"/>
  <c r="T228" i="61"/>
  <c r="U228" i="61"/>
  <c r="V228" i="61"/>
  <c r="X228" i="61"/>
  <c r="P229" i="61"/>
  <c r="Q229" i="61"/>
  <c r="R229" i="61"/>
  <c r="S229" i="61"/>
  <c r="T229" i="61"/>
  <c r="U229" i="61"/>
  <c r="V229" i="61"/>
  <c r="X229" i="61"/>
  <c r="P230" i="61"/>
  <c r="Q230" i="61"/>
  <c r="R230" i="61"/>
  <c r="S230" i="61"/>
  <c r="T230" i="61"/>
  <c r="U230" i="61"/>
  <c r="V230" i="61"/>
  <c r="X230" i="61"/>
  <c r="P231" i="61"/>
  <c r="Q231" i="61"/>
  <c r="R231" i="61"/>
  <c r="S231" i="61"/>
  <c r="T231" i="61"/>
  <c r="U231" i="61"/>
  <c r="V231" i="61"/>
  <c r="X231" i="61"/>
  <c r="P232" i="61"/>
  <c r="Q232" i="61"/>
  <c r="R232" i="61"/>
  <c r="S232" i="61"/>
  <c r="T232" i="61"/>
  <c r="U232" i="61"/>
  <c r="V232" i="61"/>
  <c r="X232" i="61"/>
  <c r="P233" i="61"/>
  <c r="Q233" i="61"/>
  <c r="R233" i="61"/>
  <c r="S233" i="61"/>
  <c r="T233" i="61"/>
  <c r="U233" i="61"/>
  <c r="V233" i="61"/>
  <c r="X233" i="61"/>
  <c r="P234" i="61"/>
  <c r="Q234" i="61"/>
  <c r="R234" i="61"/>
  <c r="S234" i="61"/>
  <c r="T234" i="61"/>
  <c r="U234" i="61"/>
  <c r="V234" i="61"/>
  <c r="X234" i="61"/>
  <c r="P235" i="61"/>
  <c r="Q235" i="61"/>
  <c r="R235" i="61"/>
  <c r="S235" i="61"/>
  <c r="T235" i="61"/>
  <c r="U235" i="61"/>
  <c r="V235" i="61"/>
  <c r="X235" i="61"/>
  <c r="P236" i="61"/>
  <c r="Q236" i="61"/>
  <c r="R236" i="61"/>
  <c r="S236" i="61"/>
  <c r="T236" i="61"/>
  <c r="U236" i="61"/>
  <c r="V236" i="61"/>
  <c r="X236" i="61"/>
  <c r="P237" i="61"/>
  <c r="Q237" i="61"/>
  <c r="R237" i="61"/>
  <c r="S237" i="61"/>
  <c r="T237" i="61"/>
  <c r="U237" i="61"/>
  <c r="V237" i="61"/>
  <c r="X237" i="61"/>
  <c r="P238" i="61"/>
  <c r="Q238" i="61"/>
  <c r="R238" i="61"/>
  <c r="S238" i="61"/>
  <c r="T238" i="61"/>
  <c r="U238" i="61"/>
  <c r="V238" i="61"/>
  <c r="X238" i="61"/>
  <c r="P239" i="61"/>
  <c r="Q239" i="61"/>
  <c r="R239" i="61"/>
  <c r="S239" i="61"/>
  <c r="T239" i="61"/>
  <c r="U239" i="61"/>
  <c r="V239" i="61"/>
  <c r="X239" i="61"/>
  <c r="P240" i="61"/>
  <c r="Q240" i="61"/>
  <c r="R240" i="61"/>
  <c r="S240" i="61"/>
  <c r="T240" i="61"/>
  <c r="U240" i="61"/>
  <c r="V240" i="61"/>
  <c r="X240" i="61"/>
  <c r="P241" i="61"/>
  <c r="Q241" i="61"/>
  <c r="R241" i="61"/>
  <c r="S241" i="61"/>
  <c r="T241" i="61"/>
  <c r="U241" i="61"/>
  <c r="V241" i="61"/>
  <c r="X241" i="61"/>
  <c r="P242" i="61"/>
  <c r="Q242" i="61"/>
  <c r="R242" i="61"/>
  <c r="S242" i="61"/>
  <c r="T242" i="61"/>
  <c r="U242" i="61"/>
  <c r="V242" i="61"/>
  <c r="X242" i="61"/>
  <c r="P243" i="61"/>
  <c r="Q243" i="61"/>
  <c r="R243" i="61"/>
  <c r="S243" i="61"/>
  <c r="T243" i="61"/>
  <c r="U243" i="61"/>
  <c r="V243" i="61"/>
  <c r="X243" i="61"/>
  <c r="P244" i="61"/>
  <c r="Q244" i="61"/>
  <c r="R244" i="61"/>
  <c r="S244" i="61"/>
  <c r="T244" i="61"/>
  <c r="U244" i="61"/>
  <c r="V244" i="61"/>
  <c r="X244" i="61"/>
  <c r="P245" i="61"/>
  <c r="Q245" i="61"/>
  <c r="R245" i="61"/>
  <c r="S245" i="61"/>
  <c r="T245" i="61"/>
  <c r="U245" i="61"/>
  <c r="V245" i="61"/>
  <c r="X245" i="61"/>
  <c r="P246" i="61"/>
  <c r="Q246" i="61"/>
  <c r="R246" i="61"/>
  <c r="S246" i="61"/>
  <c r="T246" i="61"/>
  <c r="U246" i="61"/>
  <c r="V246" i="61"/>
  <c r="X246" i="61"/>
  <c r="P247" i="61"/>
  <c r="Q247" i="61"/>
  <c r="R247" i="61"/>
  <c r="S247" i="61"/>
  <c r="T247" i="61"/>
  <c r="U247" i="61"/>
  <c r="V247" i="61"/>
  <c r="X247" i="61"/>
  <c r="P248" i="61"/>
  <c r="Q248" i="61"/>
  <c r="R248" i="61"/>
  <c r="S248" i="61"/>
  <c r="T248" i="61"/>
  <c r="U248" i="61"/>
  <c r="V248" i="61"/>
  <c r="X248" i="61"/>
  <c r="P249" i="61"/>
  <c r="Q249" i="61"/>
  <c r="R249" i="61"/>
  <c r="S249" i="61"/>
  <c r="T249" i="61"/>
  <c r="U249" i="61"/>
  <c r="V249" i="61"/>
  <c r="X249" i="61"/>
  <c r="P250" i="61"/>
  <c r="Q250" i="61"/>
  <c r="R250" i="61"/>
  <c r="S250" i="61"/>
  <c r="T250" i="61"/>
  <c r="U250" i="61"/>
  <c r="V250" i="61"/>
  <c r="X250" i="61"/>
  <c r="P251" i="61"/>
  <c r="Q251" i="61"/>
  <c r="R251" i="61"/>
  <c r="S251" i="61"/>
  <c r="T251" i="61"/>
  <c r="U251" i="61"/>
  <c r="V251" i="61"/>
  <c r="X251" i="61"/>
  <c r="P252" i="61"/>
  <c r="Q252" i="61"/>
  <c r="R252" i="61"/>
  <c r="S252" i="61"/>
  <c r="T252" i="61"/>
  <c r="U252" i="61"/>
  <c r="V252" i="61"/>
  <c r="X252" i="61"/>
  <c r="P253" i="61"/>
  <c r="Q253" i="61"/>
  <c r="R253" i="61"/>
  <c r="S253" i="61"/>
  <c r="T253" i="61"/>
  <c r="U253" i="61"/>
  <c r="V253" i="61"/>
  <c r="X253" i="61"/>
  <c r="P254" i="61"/>
  <c r="Q254" i="61"/>
  <c r="R254" i="61"/>
  <c r="S254" i="61"/>
  <c r="T254" i="61"/>
  <c r="U254" i="61"/>
  <c r="V254" i="61"/>
  <c r="X254" i="61"/>
  <c r="P255" i="61"/>
  <c r="Q255" i="61"/>
  <c r="R255" i="61"/>
  <c r="S255" i="61"/>
  <c r="T255" i="61"/>
  <c r="U255" i="61"/>
  <c r="V255" i="61"/>
  <c r="X255" i="61"/>
  <c r="P256" i="61"/>
  <c r="Q256" i="61"/>
  <c r="R256" i="61"/>
  <c r="S256" i="61"/>
  <c r="T256" i="61"/>
  <c r="U256" i="61"/>
  <c r="V256" i="61"/>
  <c r="X256" i="61"/>
  <c r="P257" i="61"/>
  <c r="Q257" i="61"/>
  <c r="R257" i="61"/>
  <c r="S257" i="61"/>
  <c r="T257" i="61"/>
  <c r="U257" i="61"/>
  <c r="V257" i="61"/>
  <c r="X257" i="61"/>
  <c r="P258" i="61"/>
  <c r="Q258" i="61"/>
  <c r="R258" i="61"/>
  <c r="S258" i="61"/>
  <c r="T258" i="61"/>
  <c r="U258" i="61"/>
  <c r="V258" i="61"/>
  <c r="X258" i="61"/>
  <c r="P259" i="61"/>
  <c r="Q259" i="61"/>
  <c r="R259" i="61"/>
  <c r="S259" i="61"/>
  <c r="T259" i="61"/>
  <c r="U259" i="61"/>
  <c r="V259" i="61"/>
  <c r="X259" i="61"/>
  <c r="P260" i="61"/>
  <c r="Q260" i="61"/>
  <c r="R260" i="61"/>
  <c r="S260" i="61"/>
  <c r="T260" i="61"/>
  <c r="U260" i="61"/>
  <c r="V260" i="61"/>
  <c r="X260" i="61"/>
  <c r="P261" i="61"/>
  <c r="Q261" i="61"/>
  <c r="R261" i="61"/>
  <c r="S261" i="61"/>
  <c r="T261" i="61"/>
  <c r="U261" i="61"/>
  <c r="V261" i="61"/>
  <c r="X261" i="61"/>
  <c r="P262" i="61"/>
  <c r="Q262" i="61"/>
  <c r="R262" i="61"/>
  <c r="S262" i="61"/>
  <c r="T262" i="61"/>
  <c r="U262" i="61"/>
  <c r="V262" i="61"/>
  <c r="X262" i="61"/>
  <c r="P263" i="61"/>
  <c r="Q263" i="61"/>
  <c r="R263" i="61"/>
  <c r="S263" i="61"/>
  <c r="T263" i="61"/>
  <c r="U263" i="61"/>
  <c r="V263" i="61"/>
  <c r="X263" i="61"/>
  <c r="P264" i="61"/>
  <c r="R264" i="61"/>
  <c r="S264" i="61"/>
  <c r="T264" i="61"/>
  <c r="U264" i="61"/>
  <c r="V264" i="61"/>
  <c r="X264" i="61"/>
  <c r="P265" i="61"/>
  <c r="Q265" i="61"/>
  <c r="R265" i="61"/>
  <c r="S265" i="61"/>
  <c r="T265" i="61"/>
  <c r="U265" i="61"/>
  <c r="V265" i="61"/>
  <c r="X265" i="61"/>
  <c r="P266" i="61"/>
  <c r="Q266" i="61"/>
  <c r="R266" i="61"/>
  <c r="S266" i="61"/>
  <c r="T266" i="61"/>
  <c r="U266" i="61"/>
  <c r="V266" i="61"/>
  <c r="X266" i="61"/>
  <c r="P267" i="61"/>
  <c r="Q267" i="61"/>
  <c r="R267" i="61"/>
  <c r="S267" i="61"/>
  <c r="T267" i="61"/>
  <c r="U267" i="61"/>
  <c r="V267" i="61"/>
  <c r="X267" i="61"/>
  <c r="P268" i="61"/>
  <c r="R268" i="61"/>
  <c r="S268" i="61"/>
  <c r="T268" i="61"/>
  <c r="U268" i="61"/>
  <c r="V268" i="61"/>
  <c r="X268" i="61"/>
  <c r="P269" i="61"/>
  <c r="R269" i="61"/>
  <c r="S269" i="61"/>
  <c r="T269" i="61"/>
  <c r="U269" i="61"/>
  <c r="V269" i="61"/>
  <c r="X269" i="61"/>
  <c r="P270" i="61"/>
  <c r="Q270" i="61"/>
  <c r="R270" i="61"/>
  <c r="S270" i="61"/>
  <c r="T270" i="61"/>
  <c r="U270" i="61"/>
  <c r="V270" i="61"/>
  <c r="X270" i="61"/>
  <c r="P271" i="61"/>
  <c r="Q271" i="61"/>
  <c r="R271" i="61"/>
  <c r="S271" i="61"/>
  <c r="T271" i="61"/>
  <c r="U271" i="61"/>
  <c r="V271" i="61"/>
  <c r="X271" i="61"/>
  <c r="P272" i="61"/>
  <c r="Q272" i="61"/>
  <c r="R272" i="61"/>
  <c r="S272" i="61"/>
  <c r="T272" i="61"/>
  <c r="U272" i="61"/>
  <c r="V272" i="61"/>
  <c r="X272" i="61"/>
  <c r="P273" i="61"/>
  <c r="Q273" i="61"/>
  <c r="R273" i="61"/>
  <c r="S273" i="61"/>
  <c r="T273" i="61"/>
  <c r="U273" i="61"/>
  <c r="V273" i="61"/>
  <c r="X273" i="61"/>
  <c r="P274" i="61"/>
  <c r="Q274" i="61"/>
  <c r="R274" i="61"/>
  <c r="S274" i="61"/>
  <c r="T274" i="61"/>
  <c r="U274" i="61"/>
  <c r="V274" i="61"/>
  <c r="X274" i="61"/>
  <c r="P275" i="61"/>
  <c r="Q275" i="61"/>
  <c r="R275" i="61"/>
  <c r="S275" i="61"/>
  <c r="T275" i="61"/>
  <c r="U275" i="61"/>
  <c r="V275" i="61"/>
  <c r="X275" i="61"/>
  <c r="P276" i="61"/>
  <c r="Q276" i="61"/>
  <c r="R276" i="61"/>
  <c r="S276" i="61"/>
  <c r="T276" i="61"/>
  <c r="U276" i="61"/>
  <c r="V276" i="61"/>
  <c r="X276" i="61"/>
  <c r="P277" i="61"/>
  <c r="Q277" i="61"/>
  <c r="R277" i="61"/>
  <c r="S277" i="61"/>
  <c r="T277" i="61"/>
  <c r="U277" i="61"/>
  <c r="V277" i="61"/>
  <c r="X277" i="61"/>
  <c r="P278" i="61"/>
  <c r="Q278" i="61"/>
  <c r="R278" i="61"/>
  <c r="S278" i="61"/>
  <c r="T278" i="61"/>
  <c r="U278" i="61"/>
  <c r="V278" i="61"/>
  <c r="X278" i="61"/>
  <c r="P279" i="61"/>
  <c r="Q279" i="61"/>
  <c r="R279" i="61"/>
  <c r="S279" i="61"/>
  <c r="T279" i="61"/>
  <c r="U279" i="61"/>
  <c r="V279" i="61"/>
  <c r="X279" i="61"/>
  <c r="P280" i="61"/>
  <c r="Q280" i="61"/>
  <c r="R280" i="61"/>
  <c r="S280" i="61"/>
  <c r="T280" i="61"/>
  <c r="U280" i="61"/>
  <c r="V280" i="61"/>
  <c r="X280" i="61"/>
  <c r="P281" i="61"/>
  <c r="Q281" i="61"/>
  <c r="R281" i="61"/>
  <c r="S281" i="61"/>
  <c r="T281" i="61"/>
  <c r="U281" i="61"/>
  <c r="V281" i="61"/>
  <c r="X281" i="61"/>
  <c r="P282" i="61"/>
  <c r="Q282" i="61"/>
  <c r="R282" i="61"/>
  <c r="S282" i="61"/>
  <c r="T282" i="61"/>
  <c r="U282" i="61"/>
  <c r="V282" i="61"/>
  <c r="X282" i="61"/>
  <c r="P283" i="61"/>
  <c r="Q283" i="61"/>
  <c r="R283" i="61"/>
  <c r="S283" i="61"/>
  <c r="T283" i="61"/>
  <c r="U283" i="61"/>
  <c r="V283" i="61"/>
  <c r="X283" i="61"/>
  <c r="P284" i="61"/>
  <c r="Q284" i="61"/>
  <c r="R284" i="61"/>
  <c r="S284" i="61"/>
  <c r="T284" i="61"/>
  <c r="U284" i="61"/>
  <c r="V284" i="61"/>
  <c r="X284" i="61"/>
  <c r="P285" i="61"/>
  <c r="Q285" i="61"/>
  <c r="R285" i="61"/>
  <c r="S285" i="61"/>
  <c r="T285" i="61"/>
  <c r="U285" i="61"/>
  <c r="V285" i="61"/>
  <c r="X285" i="61"/>
  <c r="P286" i="61"/>
  <c r="Q286" i="61"/>
  <c r="R286" i="61"/>
  <c r="S286" i="61"/>
  <c r="T286" i="61"/>
  <c r="U286" i="61"/>
  <c r="V286" i="61"/>
  <c r="X286" i="61"/>
  <c r="P287" i="61"/>
  <c r="Q287" i="61"/>
  <c r="R287" i="61"/>
  <c r="S287" i="61"/>
  <c r="T287" i="61"/>
  <c r="U287" i="61"/>
  <c r="V287" i="61"/>
  <c r="X287" i="61"/>
  <c r="P288" i="61"/>
  <c r="Q288" i="61"/>
  <c r="R288" i="61"/>
  <c r="S288" i="61"/>
  <c r="T288" i="61"/>
  <c r="U288" i="61"/>
  <c r="V288" i="61"/>
  <c r="X288" i="61"/>
  <c r="P289" i="61"/>
  <c r="Q289" i="61"/>
  <c r="R289" i="61"/>
  <c r="S289" i="61"/>
  <c r="T289" i="61"/>
  <c r="U289" i="61"/>
  <c r="V289" i="61"/>
  <c r="X289" i="61"/>
  <c r="P290" i="61"/>
  <c r="Q290" i="61"/>
  <c r="R290" i="61"/>
  <c r="S290" i="61"/>
  <c r="T290" i="61"/>
  <c r="U290" i="61"/>
  <c r="V290" i="61"/>
  <c r="X290" i="61"/>
  <c r="P291" i="61"/>
  <c r="Q291" i="61"/>
  <c r="R291" i="61"/>
  <c r="S291" i="61"/>
  <c r="T291" i="61"/>
  <c r="U291" i="61"/>
  <c r="V291" i="61"/>
  <c r="X291" i="61"/>
  <c r="P292" i="61"/>
  <c r="Q292" i="61"/>
  <c r="R292" i="61"/>
  <c r="S292" i="61"/>
  <c r="T292" i="61"/>
  <c r="U292" i="61"/>
  <c r="V292" i="61"/>
  <c r="X292" i="61"/>
  <c r="P293" i="61"/>
  <c r="Q293" i="61"/>
  <c r="R293" i="61"/>
  <c r="S293" i="61"/>
  <c r="T293" i="61"/>
  <c r="U293" i="61"/>
  <c r="V293" i="61"/>
  <c r="X293" i="61"/>
  <c r="P294" i="61"/>
  <c r="Q294" i="61"/>
  <c r="R294" i="61"/>
  <c r="S294" i="61"/>
  <c r="T294" i="61"/>
  <c r="U294" i="61"/>
  <c r="V294" i="61"/>
  <c r="X294" i="61"/>
  <c r="P295" i="61"/>
  <c r="Q295" i="61"/>
  <c r="R295" i="61"/>
  <c r="S295" i="61"/>
  <c r="T295" i="61"/>
  <c r="U295" i="61"/>
  <c r="V295" i="61"/>
  <c r="X295" i="61"/>
  <c r="P296" i="61"/>
  <c r="Q296" i="61"/>
  <c r="R296" i="61"/>
  <c r="S296" i="61"/>
  <c r="T296" i="61"/>
  <c r="U296" i="61"/>
  <c r="V296" i="61"/>
  <c r="X296" i="61"/>
  <c r="P297" i="61"/>
  <c r="Q297" i="61"/>
  <c r="R297" i="61"/>
  <c r="S297" i="61"/>
  <c r="T297" i="61"/>
  <c r="U297" i="61"/>
  <c r="V297" i="61"/>
  <c r="X297" i="61"/>
  <c r="P298" i="61"/>
  <c r="Q298" i="61"/>
  <c r="R298" i="61"/>
  <c r="S298" i="61"/>
  <c r="T298" i="61"/>
  <c r="U298" i="61"/>
  <c r="V298" i="61"/>
  <c r="X298" i="61"/>
  <c r="P299" i="61"/>
  <c r="Q299" i="61"/>
  <c r="R299" i="61"/>
  <c r="S299" i="61"/>
  <c r="T299" i="61"/>
  <c r="U299" i="61"/>
  <c r="V299" i="61"/>
  <c r="X299" i="61"/>
  <c r="P300" i="61"/>
  <c r="Q300" i="61"/>
  <c r="R300" i="61"/>
  <c r="S300" i="61"/>
  <c r="T300" i="61"/>
  <c r="U300" i="61"/>
  <c r="V300" i="61"/>
  <c r="X300" i="61"/>
  <c r="P301" i="61"/>
  <c r="Q301" i="61"/>
  <c r="R301" i="61"/>
  <c r="S301" i="61"/>
  <c r="T301" i="61"/>
  <c r="U301" i="61"/>
  <c r="V301" i="61"/>
  <c r="X301" i="61"/>
  <c r="P302" i="61"/>
  <c r="Q302" i="61"/>
  <c r="R302" i="61"/>
  <c r="S302" i="61"/>
  <c r="T302" i="61"/>
  <c r="U302" i="61"/>
  <c r="V302" i="61"/>
  <c r="X302" i="61"/>
  <c r="P303" i="61"/>
  <c r="Q303" i="61"/>
  <c r="R303" i="61"/>
  <c r="S303" i="61"/>
  <c r="T303" i="61"/>
  <c r="U303" i="61"/>
  <c r="V303" i="61"/>
  <c r="X303" i="61"/>
  <c r="P304" i="61"/>
  <c r="Q304" i="61"/>
  <c r="R304" i="61"/>
  <c r="S304" i="61"/>
  <c r="T304" i="61"/>
  <c r="U304" i="61"/>
  <c r="V304" i="61"/>
  <c r="X304" i="61"/>
  <c r="P305" i="61"/>
  <c r="Q305" i="61"/>
  <c r="R305" i="61"/>
  <c r="S305" i="61"/>
  <c r="T305" i="61"/>
  <c r="U305" i="61"/>
  <c r="V305" i="61"/>
  <c r="X305" i="61"/>
  <c r="P306" i="61"/>
  <c r="Q306" i="61"/>
  <c r="R306" i="61"/>
  <c r="S306" i="61"/>
  <c r="T306" i="61"/>
  <c r="U306" i="61"/>
  <c r="V306" i="61"/>
  <c r="X306" i="61"/>
  <c r="P307" i="61"/>
  <c r="Q307" i="61"/>
  <c r="R307" i="61"/>
  <c r="S307" i="61"/>
  <c r="T307" i="61"/>
  <c r="U307" i="61"/>
  <c r="V307" i="61"/>
  <c r="X307" i="61"/>
  <c r="P308" i="61"/>
  <c r="Q308" i="61"/>
  <c r="R308" i="61"/>
  <c r="S308" i="61"/>
  <c r="T308" i="61"/>
  <c r="U308" i="61"/>
  <c r="V308" i="61"/>
  <c r="X308" i="61"/>
  <c r="P309" i="61"/>
  <c r="Q309" i="61"/>
  <c r="R309" i="61"/>
  <c r="S309" i="61"/>
  <c r="T309" i="61"/>
  <c r="U309" i="61"/>
  <c r="V309" i="61"/>
  <c r="X309" i="61"/>
  <c r="P310" i="61"/>
  <c r="Q310" i="61"/>
  <c r="R310" i="61"/>
  <c r="S310" i="61"/>
  <c r="T310" i="61"/>
  <c r="U310" i="61"/>
  <c r="V310" i="61"/>
  <c r="X310" i="61"/>
  <c r="P311" i="61"/>
  <c r="Q311" i="61"/>
  <c r="R311" i="61"/>
  <c r="S311" i="61"/>
  <c r="T311" i="61"/>
  <c r="U311" i="61"/>
  <c r="V311" i="61"/>
  <c r="X311" i="61"/>
  <c r="P312" i="61"/>
  <c r="Q312" i="61"/>
  <c r="R312" i="61"/>
  <c r="S312" i="61"/>
  <c r="T312" i="61"/>
  <c r="U312" i="61"/>
  <c r="V312" i="61"/>
  <c r="X312" i="61"/>
  <c r="P313" i="61"/>
  <c r="Q313" i="61"/>
  <c r="R313" i="61"/>
  <c r="S313" i="61"/>
  <c r="T313" i="61"/>
  <c r="U313" i="61"/>
  <c r="V313" i="61"/>
  <c r="X313" i="61"/>
  <c r="P314" i="61"/>
  <c r="Q314" i="61"/>
  <c r="R314" i="61"/>
  <c r="S314" i="61"/>
  <c r="T314" i="61"/>
  <c r="U314" i="61"/>
  <c r="V314" i="61"/>
  <c r="X314" i="61"/>
  <c r="P315" i="61"/>
  <c r="Q315" i="61"/>
  <c r="R315" i="61"/>
  <c r="S315" i="61"/>
  <c r="T315" i="61"/>
  <c r="U315" i="61"/>
  <c r="V315" i="61"/>
  <c r="X315" i="61"/>
  <c r="P316" i="61"/>
  <c r="Q316" i="61"/>
  <c r="R316" i="61"/>
  <c r="S316" i="61"/>
  <c r="T316" i="61"/>
  <c r="U316" i="61"/>
  <c r="V316" i="61"/>
  <c r="X316" i="61"/>
  <c r="P317" i="61"/>
  <c r="Q317" i="61"/>
  <c r="R317" i="61"/>
  <c r="S317" i="61"/>
  <c r="T317" i="61"/>
  <c r="U317" i="61"/>
  <c r="V317" i="61"/>
  <c r="X317" i="61"/>
  <c r="P318" i="61"/>
  <c r="Q318" i="61"/>
  <c r="R318" i="61"/>
  <c r="S318" i="61"/>
  <c r="T318" i="61"/>
  <c r="U318" i="61"/>
  <c r="V318" i="61"/>
  <c r="X318" i="61"/>
  <c r="P319" i="61"/>
  <c r="Q319" i="61"/>
  <c r="R319" i="61"/>
  <c r="S319" i="61"/>
  <c r="T319" i="61"/>
  <c r="U319" i="61"/>
  <c r="V319" i="61"/>
  <c r="X319" i="61"/>
  <c r="P320" i="61"/>
  <c r="Q320" i="61"/>
  <c r="R320" i="61"/>
  <c r="S320" i="61"/>
  <c r="T320" i="61"/>
  <c r="U320" i="61"/>
  <c r="V320" i="61"/>
  <c r="X320" i="61"/>
  <c r="P321" i="61"/>
  <c r="Q321" i="61"/>
  <c r="R321" i="61"/>
  <c r="S321" i="61"/>
  <c r="T321" i="61"/>
  <c r="U321" i="61"/>
  <c r="V321" i="61"/>
  <c r="X321" i="61"/>
  <c r="P322" i="61"/>
  <c r="Q322" i="61"/>
  <c r="R322" i="61"/>
  <c r="S322" i="61"/>
  <c r="T322" i="61"/>
  <c r="U322" i="61"/>
  <c r="V322" i="61"/>
  <c r="X322" i="61"/>
  <c r="P323" i="61"/>
  <c r="Q323" i="61"/>
  <c r="R323" i="61"/>
  <c r="S323" i="61"/>
  <c r="T323" i="61"/>
  <c r="U323" i="61"/>
  <c r="V323" i="61"/>
  <c r="X323" i="61"/>
  <c r="P324" i="61"/>
  <c r="Q324" i="61"/>
  <c r="R324" i="61"/>
  <c r="S324" i="61"/>
  <c r="T324" i="61"/>
  <c r="U324" i="61"/>
  <c r="V324" i="61"/>
  <c r="X324" i="61"/>
  <c r="P325" i="61"/>
  <c r="Q325" i="61"/>
  <c r="R325" i="61"/>
  <c r="S325" i="61"/>
  <c r="T325" i="61"/>
  <c r="U325" i="61"/>
  <c r="V325" i="61"/>
  <c r="X325" i="61"/>
  <c r="P326" i="61"/>
  <c r="Q326" i="61"/>
  <c r="R326" i="61"/>
  <c r="S326" i="61"/>
  <c r="T326" i="61"/>
  <c r="U326" i="61"/>
  <c r="V326" i="61"/>
  <c r="X326" i="61"/>
  <c r="P327" i="61"/>
  <c r="Q327" i="61"/>
  <c r="R327" i="61"/>
  <c r="S327" i="61"/>
  <c r="T327" i="61"/>
  <c r="U327" i="61"/>
  <c r="V327" i="61"/>
  <c r="X327" i="61"/>
  <c r="P328" i="61"/>
  <c r="Q328" i="61"/>
  <c r="R328" i="61"/>
  <c r="S328" i="61"/>
  <c r="T328" i="61"/>
  <c r="U328" i="61"/>
  <c r="V328" i="61"/>
  <c r="X328" i="61"/>
  <c r="P329" i="61"/>
  <c r="Q329" i="61"/>
  <c r="R329" i="61"/>
  <c r="S329" i="61"/>
  <c r="T329" i="61"/>
  <c r="U329" i="61"/>
  <c r="V329" i="61"/>
  <c r="X329" i="61"/>
  <c r="P330" i="61"/>
  <c r="Q330" i="61"/>
  <c r="R330" i="61"/>
  <c r="S330" i="61"/>
  <c r="T330" i="61"/>
  <c r="U330" i="61"/>
  <c r="V330" i="61"/>
  <c r="X330" i="61"/>
  <c r="P331" i="61"/>
  <c r="Q331" i="61"/>
  <c r="R331" i="61"/>
  <c r="S331" i="61"/>
  <c r="T331" i="61"/>
  <c r="U331" i="61"/>
  <c r="V331" i="61"/>
  <c r="X331" i="61"/>
  <c r="P332" i="61"/>
  <c r="Q332" i="61"/>
  <c r="R332" i="61"/>
  <c r="S332" i="61"/>
  <c r="T332" i="61"/>
  <c r="U332" i="61"/>
  <c r="V332" i="61"/>
  <c r="X332" i="61"/>
  <c r="P333" i="61"/>
  <c r="Q333" i="61"/>
  <c r="R333" i="61"/>
  <c r="S333" i="61"/>
  <c r="T333" i="61"/>
  <c r="U333" i="61"/>
  <c r="V333" i="61"/>
  <c r="X333" i="61"/>
  <c r="P334" i="61"/>
  <c r="Q334" i="61"/>
  <c r="R334" i="61"/>
  <c r="S334" i="61"/>
  <c r="T334" i="61"/>
  <c r="U334" i="61"/>
  <c r="V334" i="61"/>
  <c r="X334" i="61"/>
  <c r="P335" i="61"/>
  <c r="Q335" i="61"/>
  <c r="R335" i="61"/>
  <c r="S335" i="61"/>
  <c r="T335" i="61"/>
  <c r="U335" i="61"/>
  <c r="V335" i="61"/>
  <c r="X335" i="61"/>
  <c r="P336" i="61"/>
  <c r="Q336" i="61"/>
  <c r="R336" i="61"/>
  <c r="S336" i="61"/>
  <c r="T336" i="61"/>
  <c r="U336" i="61"/>
  <c r="V336" i="61"/>
  <c r="X336" i="61"/>
  <c r="P337" i="61"/>
  <c r="Q337" i="61"/>
  <c r="R337" i="61"/>
  <c r="S337" i="61"/>
  <c r="T337" i="61"/>
  <c r="U337" i="61"/>
  <c r="V337" i="61"/>
  <c r="X337" i="61"/>
  <c r="P338" i="61"/>
  <c r="Q338" i="61"/>
  <c r="R338" i="61"/>
  <c r="S338" i="61"/>
  <c r="T338" i="61"/>
  <c r="U338" i="61"/>
  <c r="V338" i="61"/>
  <c r="X338" i="61"/>
  <c r="P339" i="61"/>
  <c r="Q339" i="61"/>
  <c r="R339" i="61"/>
  <c r="S339" i="61"/>
  <c r="T339" i="61"/>
  <c r="U339" i="61"/>
  <c r="V339" i="61"/>
  <c r="X339" i="61"/>
  <c r="P340" i="61"/>
  <c r="Q340" i="61"/>
  <c r="R340" i="61"/>
  <c r="S340" i="61"/>
  <c r="T340" i="61"/>
  <c r="U340" i="61"/>
  <c r="V340" i="61"/>
  <c r="X340" i="61"/>
  <c r="P341" i="61"/>
  <c r="Q341" i="61"/>
  <c r="R341" i="61"/>
  <c r="S341" i="61"/>
  <c r="T341" i="61"/>
  <c r="U341" i="61"/>
  <c r="V341" i="61"/>
  <c r="X341" i="61"/>
  <c r="P342" i="61"/>
  <c r="Q342" i="61"/>
  <c r="R342" i="61"/>
  <c r="S342" i="61"/>
  <c r="T342" i="61"/>
  <c r="U342" i="61"/>
  <c r="V342" i="61"/>
  <c r="X342" i="61"/>
  <c r="P343" i="61"/>
  <c r="Q343" i="61"/>
  <c r="R343" i="61"/>
  <c r="S343" i="61"/>
  <c r="T343" i="61"/>
  <c r="U343" i="61"/>
  <c r="V343" i="61"/>
  <c r="X343" i="61"/>
  <c r="P344" i="61"/>
  <c r="Q344" i="61"/>
  <c r="R344" i="61"/>
  <c r="S344" i="61"/>
  <c r="T344" i="61"/>
  <c r="U344" i="61"/>
  <c r="V344" i="61"/>
  <c r="X344" i="61"/>
  <c r="P345" i="61"/>
  <c r="Q345" i="61"/>
  <c r="R345" i="61"/>
  <c r="S345" i="61"/>
  <c r="T345" i="61"/>
  <c r="U345" i="61"/>
  <c r="V345" i="61"/>
  <c r="X345" i="61"/>
  <c r="P346" i="61"/>
  <c r="Q346" i="61"/>
  <c r="R346" i="61"/>
  <c r="S346" i="61"/>
  <c r="T346" i="61"/>
  <c r="U346" i="61"/>
  <c r="V346" i="61"/>
  <c r="X346" i="61"/>
  <c r="P347" i="61"/>
  <c r="Q347" i="61"/>
  <c r="R347" i="61"/>
  <c r="S347" i="61"/>
  <c r="T347" i="61"/>
  <c r="U347" i="61"/>
  <c r="V347" i="61"/>
  <c r="X347" i="61"/>
  <c r="P348" i="61"/>
  <c r="Q348" i="61"/>
  <c r="R348" i="61"/>
  <c r="S348" i="61"/>
  <c r="T348" i="61"/>
  <c r="U348" i="61"/>
  <c r="V348" i="61"/>
  <c r="X348" i="61"/>
  <c r="P349" i="61"/>
  <c r="Q349" i="61"/>
  <c r="R349" i="61"/>
  <c r="S349" i="61"/>
  <c r="T349" i="61"/>
  <c r="U349" i="61"/>
  <c r="V349" i="61"/>
  <c r="X349" i="61"/>
  <c r="P350" i="61"/>
  <c r="Q350" i="61"/>
  <c r="R350" i="61"/>
  <c r="S350" i="61"/>
  <c r="T350" i="61"/>
  <c r="U350" i="61"/>
  <c r="V350" i="61"/>
  <c r="X350" i="61"/>
  <c r="P351" i="61"/>
  <c r="Q351" i="61"/>
  <c r="R351" i="61"/>
  <c r="S351" i="61"/>
  <c r="T351" i="61"/>
  <c r="U351" i="61"/>
  <c r="V351" i="61"/>
  <c r="X351" i="61"/>
  <c r="P352" i="61"/>
  <c r="Q352" i="61"/>
  <c r="R352" i="61"/>
  <c r="S352" i="61"/>
  <c r="T352" i="61"/>
  <c r="U352" i="61"/>
  <c r="V352" i="61"/>
  <c r="X352" i="61"/>
  <c r="P353" i="61"/>
  <c r="Q353" i="61"/>
  <c r="R353" i="61"/>
  <c r="S353" i="61"/>
  <c r="T353" i="61"/>
  <c r="U353" i="61"/>
  <c r="V353" i="61"/>
  <c r="X353" i="61"/>
  <c r="P354" i="61"/>
  <c r="Q354" i="61"/>
  <c r="R354" i="61"/>
  <c r="S354" i="61"/>
  <c r="T354" i="61"/>
  <c r="U354" i="61"/>
  <c r="V354" i="61"/>
  <c r="X354" i="61"/>
  <c r="P355" i="61"/>
  <c r="Q355" i="61"/>
  <c r="R355" i="61"/>
  <c r="S355" i="61"/>
  <c r="T355" i="61"/>
  <c r="U355" i="61"/>
  <c r="V355" i="61"/>
  <c r="X355" i="61"/>
  <c r="P356" i="61"/>
  <c r="Q356" i="61"/>
  <c r="R356" i="61"/>
  <c r="S356" i="61"/>
  <c r="T356" i="61"/>
  <c r="U356" i="61"/>
  <c r="V356" i="61"/>
  <c r="X356" i="61"/>
  <c r="P357" i="61"/>
  <c r="Q357" i="61"/>
  <c r="R357" i="61"/>
  <c r="S357" i="61"/>
  <c r="T357" i="61"/>
  <c r="U357" i="61"/>
  <c r="V357" i="61"/>
  <c r="X357" i="61"/>
  <c r="P358" i="61"/>
  <c r="Q358" i="61"/>
  <c r="R358" i="61"/>
  <c r="S358" i="61"/>
  <c r="T358" i="61"/>
  <c r="U358" i="61"/>
  <c r="V358" i="61"/>
  <c r="X358" i="61"/>
  <c r="P359" i="61"/>
  <c r="Q359" i="61"/>
  <c r="R359" i="61"/>
  <c r="S359" i="61"/>
  <c r="T359" i="61"/>
  <c r="U359" i="61"/>
  <c r="V359" i="61"/>
  <c r="X359" i="61"/>
  <c r="P360" i="61"/>
  <c r="Q360" i="61"/>
  <c r="R360" i="61"/>
  <c r="S360" i="61"/>
  <c r="T360" i="61"/>
  <c r="U360" i="61"/>
  <c r="V360" i="61"/>
  <c r="X360" i="61"/>
  <c r="P361" i="61"/>
  <c r="Q361" i="61"/>
  <c r="R361" i="61"/>
  <c r="S361" i="61"/>
  <c r="T361" i="61"/>
  <c r="U361" i="61"/>
  <c r="V361" i="61"/>
  <c r="X361" i="61"/>
  <c r="P362" i="61"/>
  <c r="Q362" i="61"/>
  <c r="R362" i="61"/>
  <c r="S362" i="61"/>
  <c r="T362" i="61"/>
  <c r="U362" i="61"/>
  <c r="V362" i="61"/>
  <c r="X362" i="61"/>
  <c r="P363" i="61"/>
  <c r="Q363" i="61"/>
  <c r="R363" i="61"/>
  <c r="S363" i="61"/>
  <c r="T363" i="61"/>
  <c r="U363" i="61"/>
  <c r="V363" i="61"/>
  <c r="X363" i="61"/>
  <c r="P364" i="61"/>
  <c r="Q364" i="61"/>
  <c r="R364" i="61"/>
  <c r="S364" i="61"/>
  <c r="T364" i="61"/>
  <c r="U364" i="61"/>
  <c r="V364" i="61"/>
  <c r="X364" i="61"/>
  <c r="P365" i="61"/>
  <c r="Q365" i="61"/>
  <c r="R365" i="61"/>
  <c r="S365" i="61"/>
  <c r="T365" i="61"/>
  <c r="U365" i="61"/>
  <c r="V365" i="61"/>
  <c r="X365" i="61"/>
  <c r="P366" i="61"/>
  <c r="Q366" i="61"/>
  <c r="R366" i="61"/>
  <c r="S366" i="61"/>
  <c r="T366" i="61"/>
  <c r="U366" i="61"/>
  <c r="V366" i="61"/>
  <c r="X366" i="61"/>
  <c r="P367" i="61"/>
  <c r="Q367" i="61"/>
  <c r="R367" i="61"/>
  <c r="S367" i="61"/>
  <c r="T367" i="61"/>
  <c r="U367" i="61"/>
  <c r="V367" i="61"/>
  <c r="X367" i="61"/>
  <c r="P368" i="61"/>
  <c r="Q368" i="61"/>
  <c r="R368" i="61"/>
  <c r="S368" i="61"/>
  <c r="T368" i="61"/>
  <c r="U368" i="61"/>
  <c r="V368" i="61"/>
  <c r="X368" i="61"/>
  <c r="P369" i="61"/>
  <c r="Q369" i="61"/>
  <c r="R369" i="61"/>
  <c r="S369" i="61"/>
  <c r="T369" i="61"/>
  <c r="U369" i="61"/>
  <c r="V369" i="61"/>
  <c r="X369" i="61"/>
  <c r="P370" i="61"/>
  <c r="Q370" i="61"/>
  <c r="R370" i="61"/>
  <c r="S370" i="61"/>
  <c r="T370" i="61"/>
  <c r="U370" i="61"/>
  <c r="V370" i="61"/>
  <c r="X370" i="61"/>
  <c r="P371" i="61"/>
  <c r="Q371" i="61"/>
  <c r="R371" i="61"/>
  <c r="S371" i="61"/>
  <c r="T371" i="61"/>
  <c r="U371" i="61"/>
  <c r="V371" i="61"/>
  <c r="X371" i="61"/>
  <c r="P372" i="61"/>
  <c r="Q372" i="61"/>
  <c r="R372" i="61"/>
  <c r="S372" i="61"/>
  <c r="T372" i="61"/>
  <c r="U372" i="61"/>
  <c r="V372" i="61"/>
  <c r="X372" i="61"/>
  <c r="P373" i="61"/>
  <c r="Q373" i="61"/>
  <c r="R373" i="61"/>
  <c r="S373" i="61"/>
  <c r="T373" i="61"/>
  <c r="U373" i="61"/>
  <c r="V373" i="61"/>
  <c r="X373" i="61"/>
  <c r="P374" i="61"/>
  <c r="Q374" i="61"/>
  <c r="R374" i="61"/>
  <c r="S374" i="61"/>
  <c r="T374" i="61"/>
  <c r="U374" i="61"/>
  <c r="V374" i="61"/>
  <c r="X374" i="61"/>
  <c r="P375" i="61"/>
  <c r="Q375" i="61"/>
  <c r="R375" i="61"/>
  <c r="S375" i="61"/>
  <c r="T375" i="61"/>
  <c r="U375" i="61"/>
  <c r="V375" i="61"/>
  <c r="X375" i="61"/>
  <c r="P376" i="61"/>
  <c r="Q376" i="61"/>
  <c r="R376" i="61"/>
  <c r="S376" i="61"/>
  <c r="T376" i="61"/>
  <c r="U376" i="61"/>
  <c r="V376" i="61"/>
  <c r="X376" i="61"/>
  <c r="P377" i="61"/>
  <c r="Q377" i="61"/>
  <c r="R377" i="61"/>
  <c r="S377" i="61"/>
  <c r="T377" i="61"/>
  <c r="U377" i="61"/>
  <c r="V377" i="61"/>
  <c r="X377" i="61"/>
  <c r="P378" i="61"/>
  <c r="Q378" i="61"/>
  <c r="R378" i="61"/>
  <c r="S378" i="61"/>
  <c r="T378" i="61"/>
  <c r="U378" i="61"/>
  <c r="V378" i="61"/>
  <c r="X378" i="61"/>
  <c r="P379" i="61"/>
  <c r="Q379" i="61"/>
  <c r="R379" i="61"/>
  <c r="S379" i="61"/>
  <c r="T379" i="61"/>
  <c r="U379" i="61"/>
  <c r="V379" i="61"/>
  <c r="X379" i="61"/>
  <c r="P380" i="61"/>
  <c r="Q380" i="61"/>
  <c r="R380" i="61"/>
  <c r="S380" i="61"/>
  <c r="T380" i="61"/>
  <c r="U380" i="61"/>
  <c r="V380" i="61"/>
  <c r="X380" i="61"/>
  <c r="P381" i="61"/>
  <c r="Q381" i="61"/>
  <c r="R381" i="61"/>
  <c r="S381" i="61"/>
  <c r="T381" i="61"/>
  <c r="U381" i="61"/>
  <c r="V381" i="61"/>
  <c r="X381" i="61"/>
  <c r="P382" i="61"/>
  <c r="Q382" i="61"/>
  <c r="R382" i="61"/>
  <c r="S382" i="61"/>
  <c r="T382" i="61"/>
  <c r="U382" i="61"/>
  <c r="V382" i="61"/>
  <c r="X382" i="61"/>
  <c r="P383" i="61"/>
  <c r="Q383" i="61"/>
  <c r="R383" i="61"/>
  <c r="S383" i="61"/>
  <c r="T383" i="61"/>
  <c r="U383" i="61"/>
  <c r="V383" i="61"/>
  <c r="X383" i="61"/>
  <c r="P384" i="61"/>
  <c r="Q384" i="61"/>
  <c r="R384" i="61"/>
  <c r="S384" i="61"/>
  <c r="T384" i="61"/>
  <c r="U384" i="61"/>
  <c r="V384" i="61"/>
  <c r="X384" i="61"/>
  <c r="P385" i="61"/>
  <c r="Q385" i="61"/>
  <c r="R385" i="61"/>
  <c r="S385" i="61"/>
  <c r="T385" i="61"/>
  <c r="U385" i="61"/>
  <c r="V385" i="61"/>
  <c r="X385" i="61"/>
  <c r="P386" i="61"/>
  <c r="Q386" i="61"/>
  <c r="R386" i="61"/>
  <c r="S386" i="61"/>
  <c r="T386" i="61"/>
  <c r="U386" i="61"/>
  <c r="V386" i="61"/>
  <c r="X386" i="61"/>
  <c r="P387" i="61"/>
  <c r="Q387" i="61"/>
  <c r="R387" i="61"/>
  <c r="S387" i="61"/>
  <c r="T387" i="61"/>
  <c r="U387" i="61"/>
  <c r="V387" i="61"/>
  <c r="X387" i="61"/>
  <c r="P388" i="61"/>
  <c r="Q388" i="61"/>
  <c r="R388" i="61"/>
  <c r="S388" i="61"/>
  <c r="T388" i="61"/>
  <c r="U388" i="61"/>
  <c r="V388" i="61"/>
  <c r="X388" i="61"/>
  <c r="P389" i="61"/>
  <c r="Q389" i="61"/>
  <c r="R389" i="61"/>
  <c r="S389" i="61"/>
  <c r="T389" i="61"/>
  <c r="U389" i="61"/>
  <c r="V389" i="61"/>
  <c r="X389" i="61"/>
  <c r="P390" i="61"/>
  <c r="Q390" i="61"/>
  <c r="R390" i="61"/>
  <c r="S390" i="61"/>
  <c r="T390" i="61"/>
  <c r="U390" i="61"/>
  <c r="V390" i="61"/>
  <c r="X390" i="61"/>
  <c r="P391" i="61"/>
  <c r="Q391" i="61"/>
  <c r="R391" i="61"/>
  <c r="S391" i="61"/>
  <c r="T391" i="61"/>
  <c r="U391" i="61"/>
  <c r="V391" i="61"/>
  <c r="X391" i="61"/>
  <c r="P392" i="61"/>
  <c r="Q392" i="61"/>
  <c r="R392" i="61"/>
  <c r="S392" i="61"/>
  <c r="T392" i="61"/>
  <c r="U392" i="61"/>
  <c r="V392" i="61"/>
  <c r="X392" i="61"/>
  <c r="P393" i="61"/>
  <c r="Q393" i="61"/>
  <c r="R393" i="61"/>
  <c r="S393" i="61"/>
  <c r="T393" i="61"/>
  <c r="U393" i="61"/>
  <c r="V393" i="61"/>
  <c r="X393" i="61"/>
  <c r="P394" i="61"/>
  <c r="Q394" i="61"/>
  <c r="R394" i="61"/>
  <c r="S394" i="61"/>
  <c r="T394" i="61"/>
  <c r="U394" i="61"/>
  <c r="V394" i="61"/>
  <c r="X394" i="61"/>
  <c r="P395" i="61"/>
  <c r="Q395" i="61"/>
  <c r="R395" i="61"/>
  <c r="S395" i="61"/>
  <c r="T395" i="61"/>
  <c r="U395" i="61"/>
  <c r="V395" i="61"/>
  <c r="X395" i="61"/>
  <c r="P396" i="61"/>
  <c r="Q396" i="61"/>
  <c r="R396" i="61"/>
  <c r="S396" i="61"/>
  <c r="T396" i="61"/>
  <c r="U396" i="61"/>
  <c r="V396" i="61"/>
  <c r="X396" i="61"/>
  <c r="P397" i="61"/>
  <c r="Q397" i="61"/>
  <c r="R397" i="61"/>
  <c r="S397" i="61"/>
  <c r="T397" i="61"/>
  <c r="U397" i="61"/>
  <c r="V397" i="61"/>
  <c r="X397" i="61"/>
  <c r="P398" i="61"/>
  <c r="Q398" i="61"/>
  <c r="R398" i="61"/>
  <c r="S398" i="61"/>
  <c r="T398" i="61"/>
  <c r="U398" i="61"/>
  <c r="V398" i="61"/>
  <c r="X398" i="61"/>
  <c r="P399" i="61"/>
  <c r="Q399" i="61"/>
  <c r="R399" i="61"/>
  <c r="S399" i="61"/>
  <c r="T399" i="61"/>
  <c r="U399" i="61"/>
  <c r="V399" i="61"/>
  <c r="X399" i="61"/>
  <c r="P400" i="61"/>
  <c r="Q400" i="61"/>
  <c r="R400" i="61"/>
  <c r="S400" i="61"/>
  <c r="T400" i="61"/>
  <c r="U400" i="61"/>
  <c r="V400" i="61"/>
  <c r="X400" i="61"/>
  <c r="P401" i="61"/>
  <c r="Q401" i="61"/>
  <c r="R401" i="61"/>
  <c r="S401" i="61"/>
  <c r="T401" i="61"/>
  <c r="U401" i="61"/>
  <c r="V401" i="61"/>
  <c r="X401" i="61"/>
  <c r="P402" i="61"/>
  <c r="Q402" i="61"/>
  <c r="R402" i="61"/>
  <c r="S402" i="61"/>
  <c r="T402" i="61"/>
  <c r="U402" i="61"/>
  <c r="V402" i="61"/>
  <c r="X402" i="61"/>
  <c r="P403" i="61"/>
  <c r="Q403" i="61"/>
  <c r="R403" i="61"/>
  <c r="S403" i="61"/>
  <c r="T403" i="61"/>
  <c r="U403" i="61"/>
  <c r="V403" i="61"/>
  <c r="X403" i="61"/>
  <c r="P404" i="61"/>
  <c r="Q404" i="61"/>
  <c r="R404" i="61"/>
  <c r="S404" i="61"/>
  <c r="T404" i="61"/>
  <c r="U404" i="61"/>
  <c r="V404" i="61"/>
  <c r="X404" i="61"/>
  <c r="P405" i="61"/>
  <c r="Q405" i="61"/>
  <c r="R405" i="61"/>
  <c r="S405" i="61"/>
  <c r="T405" i="61"/>
  <c r="U405" i="61"/>
  <c r="V405" i="61"/>
  <c r="X405" i="61"/>
  <c r="P406" i="61"/>
  <c r="Q406" i="61"/>
  <c r="R406" i="61"/>
  <c r="S406" i="61"/>
  <c r="T406" i="61"/>
  <c r="U406" i="61"/>
  <c r="V406" i="61"/>
  <c r="X406" i="61"/>
  <c r="P407" i="61"/>
  <c r="Q407" i="61"/>
  <c r="R407" i="61"/>
  <c r="S407" i="61"/>
  <c r="T407" i="61"/>
  <c r="U407" i="61"/>
  <c r="V407" i="61"/>
  <c r="X407" i="61"/>
  <c r="P408" i="61"/>
  <c r="Q408" i="61"/>
  <c r="R408" i="61"/>
  <c r="S408" i="61"/>
  <c r="T408" i="61"/>
  <c r="U408" i="61"/>
  <c r="V408" i="61"/>
  <c r="X408" i="61"/>
  <c r="P409" i="61"/>
  <c r="Q409" i="61"/>
  <c r="R409" i="61"/>
  <c r="S409" i="61"/>
  <c r="T409" i="61"/>
  <c r="U409" i="61"/>
  <c r="V409" i="61"/>
  <c r="X409" i="61"/>
  <c r="P410" i="61"/>
  <c r="Q410" i="61"/>
  <c r="R410" i="61"/>
  <c r="S410" i="61"/>
  <c r="T410" i="61"/>
  <c r="U410" i="61"/>
  <c r="V410" i="61"/>
  <c r="X410" i="61"/>
  <c r="P411" i="61"/>
  <c r="Q411" i="61"/>
  <c r="R411" i="61"/>
  <c r="S411" i="61"/>
  <c r="T411" i="61"/>
  <c r="U411" i="61"/>
  <c r="V411" i="61"/>
  <c r="X411" i="61"/>
  <c r="P412" i="61"/>
  <c r="Q412" i="61"/>
  <c r="R412" i="61"/>
  <c r="S412" i="61"/>
  <c r="T412" i="61"/>
  <c r="U412" i="61"/>
  <c r="V412" i="61"/>
  <c r="X412" i="61"/>
  <c r="P413" i="61"/>
  <c r="Q413" i="61"/>
  <c r="R413" i="61"/>
  <c r="S413" i="61"/>
  <c r="T413" i="61"/>
  <c r="U413" i="61"/>
  <c r="V413" i="61"/>
  <c r="X413" i="61"/>
  <c r="P414" i="61"/>
  <c r="Q414" i="61"/>
  <c r="R414" i="61"/>
  <c r="S414" i="61"/>
  <c r="T414" i="61"/>
  <c r="U414" i="61"/>
  <c r="V414" i="61"/>
  <c r="X414" i="61"/>
  <c r="P415" i="61"/>
  <c r="Q415" i="61"/>
  <c r="R415" i="61"/>
  <c r="S415" i="61"/>
  <c r="T415" i="61"/>
  <c r="U415" i="61"/>
  <c r="V415" i="61"/>
  <c r="X415" i="61"/>
  <c r="P416" i="61"/>
  <c r="Q416" i="61"/>
  <c r="R416" i="61"/>
  <c r="S416" i="61"/>
  <c r="T416" i="61"/>
  <c r="U416" i="61"/>
  <c r="V416" i="61"/>
  <c r="X416" i="61"/>
  <c r="P417" i="61"/>
  <c r="Q417" i="61"/>
  <c r="R417" i="61"/>
  <c r="S417" i="61"/>
  <c r="T417" i="61"/>
  <c r="U417" i="61"/>
  <c r="V417" i="61"/>
  <c r="X417" i="61"/>
  <c r="P418" i="61"/>
  <c r="Q418" i="61"/>
  <c r="R418" i="61"/>
  <c r="S418" i="61"/>
  <c r="T418" i="61"/>
  <c r="U418" i="61"/>
  <c r="V418" i="61"/>
  <c r="X418" i="61"/>
  <c r="P419" i="61"/>
  <c r="Q419" i="61"/>
  <c r="R419" i="61"/>
  <c r="S419" i="61"/>
  <c r="T419" i="61"/>
  <c r="U419" i="61"/>
  <c r="V419" i="61"/>
  <c r="X419" i="61"/>
  <c r="P420" i="61"/>
  <c r="Q420" i="61"/>
  <c r="R420" i="61"/>
  <c r="S420" i="61"/>
  <c r="T420" i="61"/>
  <c r="U420" i="61"/>
  <c r="V420" i="61"/>
  <c r="X420" i="61"/>
  <c r="P421" i="61"/>
  <c r="Q421" i="61"/>
  <c r="R421" i="61"/>
  <c r="S421" i="61"/>
  <c r="T421" i="61"/>
  <c r="U421" i="61"/>
  <c r="V421" i="61"/>
  <c r="X421" i="61"/>
  <c r="P422" i="61"/>
  <c r="Q422" i="61"/>
  <c r="R422" i="61"/>
  <c r="S422" i="61"/>
  <c r="T422" i="61"/>
  <c r="U422" i="61"/>
  <c r="V422" i="61"/>
  <c r="X422" i="61"/>
  <c r="P423" i="61"/>
  <c r="Q423" i="61"/>
  <c r="R423" i="61"/>
  <c r="S423" i="61"/>
  <c r="T423" i="61"/>
  <c r="U423" i="61"/>
  <c r="V423" i="61"/>
  <c r="X423" i="61"/>
  <c r="P424" i="61"/>
  <c r="Q424" i="61"/>
  <c r="R424" i="61"/>
  <c r="S424" i="61"/>
  <c r="T424" i="61"/>
  <c r="U424" i="61"/>
  <c r="V424" i="61"/>
  <c r="X424" i="61"/>
  <c r="P425" i="61"/>
  <c r="Q425" i="61"/>
  <c r="R425" i="61"/>
  <c r="S425" i="61"/>
  <c r="T425" i="61"/>
  <c r="U425" i="61"/>
  <c r="V425" i="61"/>
  <c r="X425" i="61"/>
  <c r="P426" i="61"/>
  <c r="Q426" i="61"/>
  <c r="R426" i="61"/>
  <c r="S426" i="61"/>
  <c r="T426" i="61"/>
  <c r="U426" i="61"/>
  <c r="V426" i="61"/>
  <c r="X426" i="61"/>
  <c r="P427" i="61"/>
  <c r="Q427" i="61"/>
  <c r="R427" i="61"/>
  <c r="S427" i="61"/>
  <c r="T427" i="61"/>
  <c r="U427" i="61"/>
  <c r="V427" i="61"/>
  <c r="X427" i="61"/>
  <c r="P428" i="61"/>
  <c r="Q428" i="61"/>
  <c r="R428" i="61"/>
  <c r="S428" i="61"/>
  <c r="T428" i="61"/>
  <c r="U428" i="61"/>
  <c r="V428" i="61"/>
  <c r="X428" i="61"/>
  <c r="P429" i="61"/>
  <c r="Q429" i="61"/>
  <c r="R429" i="61"/>
  <c r="S429" i="61"/>
  <c r="T429" i="61"/>
  <c r="U429" i="61"/>
  <c r="V429" i="61"/>
  <c r="X429" i="61"/>
  <c r="P430" i="61"/>
  <c r="Q430" i="61"/>
  <c r="R430" i="61"/>
  <c r="S430" i="61"/>
  <c r="T430" i="61"/>
  <c r="U430" i="61"/>
  <c r="V430" i="61"/>
  <c r="X430" i="61"/>
  <c r="P431" i="61"/>
  <c r="Q431" i="61"/>
  <c r="R431" i="61"/>
  <c r="S431" i="61"/>
  <c r="T431" i="61"/>
  <c r="U431" i="61"/>
  <c r="V431" i="61"/>
  <c r="X431" i="61"/>
  <c r="P432" i="61"/>
  <c r="Q432" i="61"/>
  <c r="R432" i="61"/>
  <c r="S432" i="61"/>
  <c r="T432" i="61"/>
  <c r="U432" i="61"/>
  <c r="V432" i="61"/>
  <c r="X432" i="61"/>
  <c r="P433" i="61"/>
  <c r="R433" i="61"/>
  <c r="S433" i="61"/>
  <c r="T433" i="61"/>
  <c r="U433" i="61"/>
  <c r="X433" i="61"/>
  <c r="P434" i="61"/>
  <c r="Q434" i="61"/>
  <c r="R434" i="61"/>
  <c r="S434" i="61"/>
  <c r="T434" i="61"/>
  <c r="U434" i="61"/>
  <c r="V434" i="61"/>
  <c r="X434" i="61"/>
  <c r="P435" i="61"/>
  <c r="Q435" i="61"/>
  <c r="R435" i="61"/>
  <c r="S435" i="61"/>
  <c r="T435" i="61"/>
  <c r="U435" i="61"/>
  <c r="V435" i="61"/>
  <c r="X435" i="61"/>
  <c r="P436" i="61"/>
  <c r="Q436" i="61"/>
  <c r="R436" i="61"/>
  <c r="S436" i="61"/>
  <c r="T436" i="61"/>
  <c r="U436" i="61"/>
  <c r="V436" i="61"/>
  <c r="X436" i="61"/>
  <c r="P437" i="61"/>
  <c r="Q437" i="61"/>
  <c r="R437" i="61"/>
  <c r="S437" i="61"/>
  <c r="T437" i="61"/>
  <c r="U437" i="61"/>
  <c r="V437" i="61"/>
  <c r="X437" i="61"/>
  <c r="P438" i="61"/>
  <c r="Q438" i="61"/>
  <c r="R438" i="61"/>
  <c r="S438" i="61"/>
  <c r="T438" i="61"/>
  <c r="U438" i="61"/>
  <c r="V438" i="61"/>
  <c r="X438" i="61"/>
  <c r="P439" i="61"/>
  <c r="Q439" i="61"/>
  <c r="R439" i="61"/>
  <c r="S439" i="61"/>
  <c r="T439" i="61"/>
  <c r="U439" i="61"/>
  <c r="V439" i="61"/>
  <c r="X439" i="61"/>
  <c r="P440" i="61"/>
  <c r="Q440" i="61"/>
  <c r="R440" i="61"/>
  <c r="S440" i="61"/>
  <c r="T440" i="61"/>
  <c r="U440" i="61"/>
  <c r="V440" i="61"/>
  <c r="X440" i="61"/>
  <c r="P441" i="61"/>
  <c r="Q441" i="61"/>
  <c r="R441" i="61"/>
  <c r="S441" i="61"/>
  <c r="T441" i="61"/>
  <c r="U441" i="61"/>
  <c r="V441" i="61"/>
  <c r="X441" i="61"/>
  <c r="P442" i="61"/>
  <c r="Q442" i="61"/>
  <c r="R442" i="61"/>
  <c r="S442" i="61"/>
  <c r="T442" i="61"/>
  <c r="U442" i="61"/>
  <c r="V442" i="61"/>
  <c r="X442" i="61"/>
  <c r="P443" i="61"/>
  <c r="Q443" i="61"/>
  <c r="R443" i="61"/>
  <c r="S443" i="61"/>
  <c r="T443" i="61"/>
  <c r="U443" i="61"/>
  <c r="V443" i="61"/>
  <c r="X443" i="61"/>
  <c r="P444" i="61"/>
  <c r="Q444" i="61"/>
  <c r="R444" i="61"/>
  <c r="S444" i="61"/>
  <c r="T444" i="61"/>
  <c r="U444" i="61"/>
  <c r="V444" i="61"/>
  <c r="X444" i="61"/>
  <c r="P445" i="61"/>
  <c r="Q445" i="61"/>
  <c r="R445" i="61"/>
  <c r="S445" i="61"/>
  <c r="T445" i="61"/>
  <c r="U445" i="61"/>
  <c r="V445" i="61"/>
  <c r="X445" i="61"/>
  <c r="P446" i="61"/>
  <c r="Q446" i="61"/>
  <c r="R446" i="61"/>
  <c r="S446" i="61"/>
  <c r="T446" i="61"/>
  <c r="U446" i="61"/>
  <c r="V446" i="61"/>
  <c r="X446" i="61"/>
  <c r="P447" i="61"/>
  <c r="Q447" i="61"/>
  <c r="R447" i="61"/>
  <c r="S447" i="61"/>
  <c r="T447" i="61"/>
  <c r="U447" i="61"/>
  <c r="V447" i="61"/>
  <c r="X447" i="61"/>
  <c r="P448" i="61"/>
  <c r="Q448" i="61"/>
  <c r="R448" i="61"/>
  <c r="S448" i="61"/>
  <c r="T448" i="61"/>
  <c r="U448" i="61"/>
  <c r="V448" i="61"/>
  <c r="X448" i="61"/>
  <c r="P449" i="61"/>
  <c r="Q449" i="61"/>
  <c r="R449" i="61"/>
  <c r="S449" i="61"/>
  <c r="T449" i="61"/>
  <c r="U449" i="61"/>
  <c r="V449" i="61"/>
  <c r="X449" i="61"/>
  <c r="P450" i="61"/>
  <c r="Q450" i="61"/>
  <c r="R450" i="61"/>
  <c r="S450" i="61"/>
  <c r="T450" i="61"/>
  <c r="U450" i="61"/>
  <c r="V450" i="61"/>
  <c r="X450" i="61"/>
  <c r="P451" i="61"/>
  <c r="Q451" i="61"/>
  <c r="R451" i="61"/>
  <c r="S451" i="61"/>
  <c r="T451" i="61"/>
  <c r="U451" i="61"/>
  <c r="V451" i="61"/>
  <c r="X451" i="61"/>
  <c r="P452" i="61"/>
  <c r="Q452" i="61"/>
  <c r="R452" i="61"/>
  <c r="S452" i="61"/>
  <c r="T452" i="61"/>
  <c r="U452" i="61"/>
  <c r="V452" i="61"/>
  <c r="X452" i="61"/>
  <c r="P453" i="61"/>
  <c r="Q453" i="61"/>
  <c r="R453" i="61"/>
  <c r="S453" i="61"/>
  <c r="T453" i="61"/>
  <c r="U453" i="61"/>
  <c r="V453" i="61"/>
  <c r="X453" i="61"/>
  <c r="P454" i="61"/>
  <c r="Q454" i="61"/>
  <c r="R454" i="61"/>
  <c r="S454" i="61"/>
  <c r="T454" i="61"/>
  <c r="U454" i="61"/>
  <c r="V454" i="61"/>
  <c r="X454" i="61"/>
  <c r="P455" i="61"/>
  <c r="Q455" i="61"/>
  <c r="R455" i="61"/>
  <c r="S455" i="61"/>
  <c r="T455" i="61"/>
  <c r="U455" i="61"/>
  <c r="V455" i="61"/>
  <c r="X455" i="61"/>
  <c r="P456" i="61"/>
  <c r="Q456" i="61"/>
  <c r="R456" i="61"/>
  <c r="S456" i="61"/>
  <c r="T456" i="61"/>
  <c r="U456" i="61"/>
  <c r="V456" i="61"/>
  <c r="X456" i="61"/>
  <c r="P457" i="61"/>
  <c r="Q457" i="61"/>
  <c r="R457" i="61"/>
  <c r="S457" i="61"/>
  <c r="T457" i="61"/>
  <c r="U457" i="61"/>
  <c r="V457" i="61"/>
  <c r="X457" i="61"/>
  <c r="P458" i="61"/>
  <c r="Q458" i="61"/>
  <c r="R458" i="61"/>
  <c r="S458" i="61"/>
  <c r="T458" i="61"/>
  <c r="U458" i="61"/>
  <c r="V458" i="61"/>
  <c r="X458" i="61"/>
  <c r="P459" i="61"/>
  <c r="Q459" i="61"/>
  <c r="R459" i="61"/>
  <c r="S459" i="61"/>
  <c r="T459" i="61"/>
  <c r="U459" i="61"/>
  <c r="V459" i="61"/>
  <c r="X459" i="61"/>
  <c r="P460" i="61"/>
  <c r="Q460" i="61"/>
  <c r="R460" i="61"/>
  <c r="S460" i="61"/>
  <c r="T460" i="61"/>
  <c r="U460" i="61"/>
  <c r="V460" i="61"/>
  <c r="X460" i="61"/>
  <c r="P461" i="61"/>
  <c r="Q461" i="61"/>
  <c r="R461" i="61"/>
  <c r="S461" i="61"/>
  <c r="T461" i="61"/>
  <c r="U461" i="61"/>
  <c r="V461" i="61"/>
  <c r="X461" i="61"/>
  <c r="P462" i="61"/>
  <c r="Q462" i="61"/>
  <c r="R462" i="61"/>
  <c r="S462" i="61"/>
  <c r="T462" i="61"/>
  <c r="U462" i="61"/>
  <c r="V462" i="61"/>
  <c r="X462" i="61"/>
  <c r="P463" i="61"/>
  <c r="Q463" i="61"/>
  <c r="R463" i="61"/>
  <c r="S463" i="61"/>
  <c r="T463" i="61"/>
  <c r="U463" i="61"/>
  <c r="V463" i="61"/>
  <c r="X463" i="61"/>
  <c r="P464" i="61"/>
  <c r="Q464" i="61"/>
  <c r="R464" i="61"/>
  <c r="S464" i="61"/>
  <c r="T464" i="61"/>
  <c r="U464" i="61"/>
  <c r="V464" i="61"/>
  <c r="X464" i="61"/>
  <c r="P465" i="61"/>
  <c r="Q465" i="61"/>
  <c r="R465" i="61"/>
  <c r="S465" i="61"/>
  <c r="T465" i="61"/>
  <c r="U465" i="61"/>
  <c r="V465" i="61"/>
  <c r="X465" i="61"/>
  <c r="P466" i="61"/>
  <c r="Q466" i="61"/>
  <c r="R466" i="61"/>
  <c r="S466" i="61"/>
  <c r="T466" i="61"/>
  <c r="U466" i="61"/>
  <c r="V466" i="61"/>
  <c r="X466" i="61"/>
  <c r="P467" i="61"/>
  <c r="Q467" i="61"/>
  <c r="R467" i="61"/>
  <c r="S467" i="61"/>
  <c r="T467" i="61"/>
  <c r="U467" i="61"/>
  <c r="V467" i="61"/>
  <c r="X467" i="61"/>
  <c r="P468" i="61"/>
  <c r="Q468" i="61"/>
  <c r="R468" i="61"/>
  <c r="S468" i="61"/>
  <c r="T468" i="61"/>
  <c r="U468" i="61"/>
  <c r="V468" i="61"/>
  <c r="X468" i="61"/>
  <c r="P469" i="61"/>
  <c r="Q469" i="61"/>
  <c r="R469" i="61"/>
  <c r="S469" i="61"/>
  <c r="T469" i="61"/>
  <c r="U469" i="61"/>
  <c r="V469" i="61"/>
  <c r="X469" i="61"/>
  <c r="P470" i="61"/>
  <c r="Q470" i="61"/>
  <c r="R470" i="61"/>
  <c r="S470" i="61"/>
  <c r="T470" i="61"/>
  <c r="U470" i="61"/>
  <c r="V470" i="61"/>
  <c r="X470" i="61"/>
  <c r="P471" i="61"/>
  <c r="Q471" i="61"/>
  <c r="R471" i="61"/>
  <c r="S471" i="61"/>
  <c r="T471" i="61"/>
  <c r="U471" i="61"/>
  <c r="V471" i="61"/>
  <c r="X471" i="61"/>
  <c r="P472" i="61"/>
  <c r="Q472" i="61"/>
  <c r="R472" i="61"/>
  <c r="S472" i="61"/>
  <c r="T472" i="61"/>
  <c r="U472" i="61"/>
  <c r="V472" i="61"/>
  <c r="X472" i="61"/>
  <c r="P473" i="61"/>
  <c r="Q473" i="61"/>
  <c r="R473" i="61"/>
  <c r="S473" i="61"/>
  <c r="T473" i="61"/>
  <c r="U473" i="61"/>
  <c r="V473" i="61"/>
  <c r="X473" i="61"/>
  <c r="P474" i="61"/>
  <c r="Q474" i="61"/>
  <c r="R474" i="61"/>
  <c r="S474" i="61"/>
  <c r="T474" i="61"/>
  <c r="U474" i="61"/>
  <c r="V474" i="61"/>
  <c r="X474" i="61"/>
  <c r="P475" i="61"/>
  <c r="Q475" i="61"/>
  <c r="R475" i="61"/>
  <c r="S475" i="61"/>
  <c r="T475" i="61"/>
  <c r="U475" i="61"/>
  <c r="V475" i="61"/>
  <c r="X475" i="61"/>
  <c r="Q476" i="61"/>
  <c r="R476" i="61"/>
  <c r="S476" i="61"/>
  <c r="T476" i="61"/>
  <c r="U476" i="61"/>
  <c r="P477" i="61"/>
  <c r="Q477" i="61"/>
  <c r="R477" i="61"/>
  <c r="S477" i="61"/>
  <c r="T477" i="61"/>
  <c r="U477" i="61"/>
  <c r="V477" i="61"/>
  <c r="X477" i="61"/>
  <c r="P478" i="61"/>
  <c r="Q478" i="61"/>
  <c r="R478" i="61"/>
  <c r="S478" i="61"/>
  <c r="T478" i="61"/>
  <c r="U478" i="61"/>
  <c r="V478" i="61"/>
  <c r="X478" i="61"/>
  <c r="P479" i="61"/>
  <c r="Q479" i="61"/>
  <c r="R479" i="61"/>
  <c r="S479" i="61"/>
  <c r="T479" i="61"/>
  <c r="U479" i="61"/>
  <c r="V479" i="61"/>
  <c r="X479" i="61"/>
  <c r="P480" i="61"/>
  <c r="Q480" i="61"/>
  <c r="R480" i="61"/>
  <c r="S480" i="61"/>
  <c r="T480" i="61"/>
  <c r="U480" i="61"/>
  <c r="V480" i="61"/>
  <c r="X480" i="61"/>
  <c r="P481" i="61"/>
  <c r="Q481" i="61"/>
  <c r="R481" i="61"/>
  <c r="S481" i="61"/>
  <c r="T481" i="61"/>
  <c r="U481" i="61"/>
  <c r="V481" i="61"/>
  <c r="X481" i="61"/>
  <c r="P482" i="61"/>
  <c r="Q482" i="61"/>
  <c r="R482" i="61"/>
  <c r="S482" i="61"/>
  <c r="T482" i="61"/>
  <c r="U482" i="61"/>
  <c r="V482" i="61"/>
  <c r="X482" i="61"/>
  <c r="P483" i="61"/>
  <c r="Q483" i="61"/>
  <c r="R483" i="61"/>
  <c r="S483" i="61"/>
  <c r="T483" i="61"/>
  <c r="U483" i="61"/>
  <c r="V483" i="61"/>
  <c r="X483" i="61"/>
  <c r="P484" i="61"/>
  <c r="Q484" i="61"/>
  <c r="R484" i="61"/>
  <c r="S484" i="61"/>
  <c r="T484" i="61"/>
  <c r="U484" i="61"/>
  <c r="V484" i="61"/>
  <c r="X484" i="61"/>
  <c r="P485" i="61"/>
  <c r="Q485" i="61"/>
  <c r="R485" i="61"/>
  <c r="S485" i="61"/>
  <c r="T485" i="61"/>
  <c r="U485" i="61"/>
  <c r="V485" i="61"/>
  <c r="X485" i="61"/>
  <c r="P486" i="61"/>
  <c r="Q486" i="61"/>
  <c r="R486" i="61"/>
  <c r="S486" i="61"/>
  <c r="T486" i="61"/>
  <c r="U486" i="61"/>
  <c r="V486" i="61"/>
  <c r="X486" i="61"/>
  <c r="P487" i="61"/>
  <c r="Q487" i="61"/>
  <c r="R487" i="61"/>
  <c r="S487" i="61"/>
  <c r="T487" i="61"/>
  <c r="U487" i="61"/>
  <c r="V487" i="61"/>
  <c r="X487" i="61"/>
  <c r="P488" i="61"/>
  <c r="Q488" i="61"/>
  <c r="R488" i="61"/>
  <c r="S488" i="61"/>
  <c r="T488" i="61"/>
  <c r="U488" i="61"/>
  <c r="V488" i="61"/>
  <c r="X488" i="61"/>
  <c r="P489" i="61"/>
  <c r="Q489" i="61"/>
  <c r="R489" i="61"/>
  <c r="S489" i="61"/>
  <c r="T489" i="61"/>
  <c r="U489" i="61"/>
  <c r="V489" i="61"/>
  <c r="X489" i="61"/>
  <c r="P490" i="61"/>
  <c r="Q490" i="61"/>
  <c r="R490" i="61"/>
  <c r="S490" i="61"/>
  <c r="T490" i="61"/>
  <c r="U490" i="61"/>
  <c r="V490" i="61"/>
  <c r="X490" i="61"/>
  <c r="P491" i="61"/>
  <c r="Q491" i="61"/>
  <c r="R491" i="61"/>
  <c r="S491" i="61"/>
  <c r="T491" i="61"/>
  <c r="U491" i="61"/>
  <c r="V491" i="61"/>
  <c r="X491" i="61"/>
  <c r="P492" i="61"/>
  <c r="Q492" i="61"/>
  <c r="R492" i="61"/>
  <c r="S492" i="61"/>
  <c r="T492" i="61"/>
  <c r="U492" i="61"/>
  <c r="V492" i="61"/>
  <c r="X492" i="61"/>
  <c r="P493" i="61"/>
  <c r="Q493" i="61"/>
  <c r="R493" i="61"/>
  <c r="S493" i="61"/>
  <c r="T493" i="61"/>
  <c r="U493" i="61"/>
  <c r="V493" i="61"/>
  <c r="X493" i="61"/>
  <c r="P494" i="61"/>
  <c r="Q494" i="61"/>
  <c r="R494" i="61"/>
  <c r="S494" i="61"/>
  <c r="T494" i="61"/>
  <c r="U494" i="61"/>
  <c r="V494" i="61"/>
  <c r="X494" i="61"/>
  <c r="P495" i="61"/>
  <c r="Q495" i="61"/>
  <c r="R495" i="61"/>
  <c r="S495" i="61"/>
  <c r="T495" i="61"/>
  <c r="U495" i="61"/>
  <c r="V495" i="61"/>
  <c r="X495" i="61"/>
  <c r="P496" i="61"/>
  <c r="Q496" i="61"/>
  <c r="R496" i="61"/>
  <c r="S496" i="61"/>
  <c r="T496" i="61"/>
  <c r="U496" i="61"/>
  <c r="V496" i="61"/>
  <c r="X496" i="61"/>
  <c r="P497" i="61"/>
  <c r="Q497" i="61"/>
  <c r="R497" i="61"/>
  <c r="S497" i="61"/>
  <c r="T497" i="61"/>
  <c r="U497" i="61"/>
  <c r="V497" i="61"/>
  <c r="X497" i="61"/>
  <c r="P498" i="61"/>
  <c r="Q498" i="61"/>
  <c r="R498" i="61"/>
  <c r="S498" i="61"/>
  <c r="T498" i="61"/>
  <c r="U498" i="61"/>
  <c r="V498" i="61"/>
  <c r="X498" i="61"/>
  <c r="P499" i="61"/>
  <c r="Q499" i="61"/>
  <c r="R499" i="61"/>
  <c r="S499" i="61"/>
  <c r="T499" i="61"/>
  <c r="U499" i="61"/>
  <c r="V499" i="61"/>
  <c r="X499" i="61"/>
  <c r="P500" i="61"/>
  <c r="Q500" i="61"/>
  <c r="R500" i="61"/>
  <c r="S500" i="61"/>
  <c r="T500" i="61"/>
  <c r="U500" i="61"/>
  <c r="V500" i="61"/>
  <c r="X500" i="61"/>
  <c r="P501" i="61"/>
  <c r="Q501" i="61"/>
  <c r="R501" i="61"/>
  <c r="S501" i="61"/>
  <c r="T501" i="61"/>
  <c r="U501" i="61"/>
  <c r="V501" i="61"/>
  <c r="X501" i="61"/>
  <c r="P502" i="61"/>
  <c r="Q502" i="61"/>
  <c r="R502" i="61"/>
  <c r="S502" i="61"/>
  <c r="T502" i="61"/>
  <c r="U502" i="61"/>
  <c r="V502" i="61"/>
  <c r="X502" i="61"/>
  <c r="P503" i="61"/>
  <c r="Q503" i="61"/>
  <c r="R503" i="61"/>
  <c r="S503" i="61"/>
  <c r="T503" i="61"/>
  <c r="U503" i="61"/>
  <c r="V503" i="61"/>
  <c r="X503" i="61"/>
  <c r="P504" i="61"/>
  <c r="Q504" i="61"/>
  <c r="R504" i="61"/>
  <c r="S504" i="61"/>
  <c r="T504" i="61"/>
  <c r="U504" i="61"/>
  <c r="V504" i="61"/>
  <c r="X504" i="61"/>
  <c r="P505" i="61"/>
  <c r="Q505" i="61"/>
  <c r="R505" i="61"/>
  <c r="S505" i="61"/>
  <c r="T505" i="61"/>
  <c r="U505" i="61"/>
  <c r="V505" i="61"/>
  <c r="X505" i="61"/>
  <c r="P506" i="61"/>
  <c r="Q506" i="61"/>
  <c r="R506" i="61"/>
  <c r="S506" i="61"/>
  <c r="T506" i="61"/>
  <c r="U506" i="61"/>
  <c r="V506" i="61"/>
  <c r="X506" i="61"/>
  <c r="P507" i="61"/>
  <c r="Q507" i="61"/>
  <c r="R507" i="61"/>
  <c r="S507" i="61"/>
  <c r="T507" i="61"/>
  <c r="U507" i="61"/>
  <c r="V507" i="61"/>
  <c r="X507" i="61"/>
  <c r="P508" i="61"/>
  <c r="Q508" i="61"/>
  <c r="R508" i="61"/>
  <c r="S508" i="61"/>
  <c r="T508" i="61"/>
  <c r="U508" i="61"/>
  <c r="V508" i="61"/>
  <c r="X508" i="61"/>
  <c r="P509" i="61"/>
  <c r="Q509" i="61"/>
  <c r="R509" i="61"/>
  <c r="S509" i="61"/>
  <c r="T509" i="61"/>
  <c r="U509" i="61"/>
  <c r="V509" i="61"/>
  <c r="X509" i="61"/>
  <c r="P510" i="61"/>
  <c r="Q510" i="61"/>
  <c r="R510" i="61"/>
  <c r="S510" i="61"/>
  <c r="T510" i="61"/>
  <c r="U510" i="61"/>
  <c r="V510" i="61"/>
  <c r="X510" i="61"/>
  <c r="P511" i="61"/>
  <c r="Q511" i="61"/>
  <c r="R511" i="61"/>
  <c r="S511" i="61"/>
  <c r="T511" i="61"/>
  <c r="U511" i="61"/>
  <c r="V511" i="61"/>
  <c r="X511" i="61"/>
  <c r="P512" i="61"/>
  <c r="Q512" i="61"/>
  <c r="R512" i="61"/>
  <c r="S512" i="61"/>
  <c r="T512" i="61"/>
  <c r="U512" i="61"/>
  <c r="V512" i="61"/>
  <c r="X512" i="61"/>
  <c r="P513" i="61"/>
  <c r="Q513" i="61"/>
  <c r="R513" i="61"/>
  <c r="S513" i="61"/>
  <c r="T513" i="61"/>
  <c r="U513" i="61"/>
  <c r="V513" i="61"/>
  <c r="X513" i="61"/>
  <c r="P514" i="61"/>
  <c r="Q514" i="61"/>
  <c r="R514" i="61"/>
  <c r="S514" i="61"/>
  <c r="T514" i="61"/>
  <c r="U514" i="61"/>
  <c r="V514" i="61"/>
  <c r="X514" i="61"/>
  <c r="P515" i="61"/>
  <c r="Q515" i="61"/>
  <c r="R515" i="61"/>
  <c r="S515" i="61"/>
  <c r="T515" i="61"/>
  <c r="U515" i="61"/>
  <c r="V515" i="61"/>
  <c r="X515" i="61"/>
  <c r="P516" i="61"/>
  <c r="Q516" i="61"/>
  <c r="R516" i="61"/>
  <c r="S516" i="61"/>
  <c r="T516" i="61"/>
  <c r="U516" i="61"/>
  <c r="V516" i="61"/>
  <c r="X516" i="61"/>
  <c r="P517" i="61"/>
  <c r="Q517" i="61"/>
  <c r="R517" i="61"/>
  <c r="S517" i="61"/>
  <c r="T517" i="61"/>
  <c r="U517" i="61"/>
  <c r="V517" i="61"/>
  <c r="X517" i="61"/>
  <c r="P518" i="61"/>
  <c r="Q518" i="61"/>
  <c r="R518" i="61"/>
  <c r="S518" i="61"/>
  <c r="T518" i="61"/>
  <c r="U518" i="61"/>
  <c r="V518" i="61"/>
  <c r="X518" i="61"/>
  <c r="P519" i="61"/>
  <c r="Q519" i="61"/>
  <c r="R519" i="61"/>
  <c r="S519" i="61"/>
  <c r="T519" i="61"/>
  <c r="U519" i="61"/>
  <c r="V519" i="61"/>
  <c r="X519" i="61"/>
  <c r="P520" i="61"/>
  <c r="Q520" i="61"/>
  <c r="R520" i="61"/>
  <c r="S520" i="61"/>
  <c r="T520" i="61"/>
  <c r="U520" i="61"/>
  <c r="V520" i="61"/>
  <c r="X520" i="61"/>
  <c r="P521" i="61"/>
  <c r="Q521" i="61"/>
  <c r="R521" i="61"/>
  <c r="S521" i="61"/>
  <c r="T521" i="61"/>
  <c r="U521" i="61"/>
  <c r="V521" i="61"/>
  <c r="X521" i="61"/>
  <c r="P522" i="61"/>
  <c r="Q522" i="61"/>
  <c r="R522" i="61"/>
  <c r="S522" i="61"/>
  <c r="T522" i="61"/>
  <c r="U522" i="61"/>
  <c r="V522" i="61"/>
  <c r="X522" i="61"/>
  <c r="P523" i="61"/>
  <c r="Q523" i="61"/>
  <c r="R523" i="61"/>
  <c r="S523" i="61"/>
  <c r="T523" i="61"/>
  <c r="U523" i="61"/>
  <c r="V523" i="61"/>
  <c r="X523" i="61"/>
  <c r="P524" i="61"/>
  <c r="Q524" i="61"/>
  <c r="R524" i="61"/>
  <c r="S524" i="61"/>
  <c r="T524" i="61"/>
  <c r="U524" i="61"/>
  <c r="V524" i="61"/>
  <c r="X524" i="61"/>
  <c r="P525" i="61"/>
  <c r="Q525" i="61"/>
  <c r="R525" i="61"/>
  <c r="S525" i="61"/>
  <c r="T525" i="61"/>
  <c r="U525" i="61"/>
  <c r="V525" i="61"/>
  <c r="X525" i="61"/>
  <c r="P526" i="61"/>
  <c r="Q526" i="61"/>
  <c r="R526" i="61"/>
  <c r="S526" i="61"/>
  <c r="T526" i="61"/>
  <c r="U526" i="61"/>
  <c r="V526" i="61"/>
  <c r="X526" i="61"/>
  <c r="P527" i="61"/>
  <c r="Q527" i="61"/>
  <c r="R527" i="61"/>
  <c r="S527" i="61"/>
  <c r="T527" i="61"/>
  <c r="U527" i="61"/>
  <c r="V527" i="61"/>
  <c r="X527" i="61"/>
  <c r="P528" i="61"/>
  <c r="Q528" i="61"/>
  <c r="R528" i="61"/>
  <c r="S528" i="61"/>
  <c r="T528" i="61"/>
  <c r="U528" i="61"/>
  <c r="V528" i="61"/>
  <c r="X528" i="61"/>
  <c r="P529" i="61"/>
  <c r="Q529" i="61"/>
  <c r="R529" i="61"/>
  <c r="S529" i="61"/>
  <c r="T529" i="61"/>
  <c r="U529" i="61"/>
  <c r="V529" i="61"/>
  <c r="X529" i="61"/>
  <c r="P530" i="61"/>
  <c r="Q530" i="61"/>
  <c r="R530" i="61"/>
  <c r="S530" i="61"/>
  <c r="T530" i="61"/>
  <c r="U530" i="61"/>
  <c r="V530" i="61"/>
  <c r="X530" i="61"/>
  <c r="P531" i="61"/>
  <c r="Q531" i="61"/>
  <c r="R531" i="61"/>
  <c r="S531" i="61"/>
  <c r="T531" i="61"/>
  <c r="U531" i="61"/>
  <c r="V531" i="61"/>
  <c r="X531" i="61"/>
  <c r="P532" i="61"/>
  <c r="Q532" i="61"/>
  <c r="R532" i="61"/>
  <c r="S532" i="61"/>
  <c r="T532" i="61"/>
  <c r="U532" i="61"/>
  <c r="V532" i="61"/>
  <c r="X532" i="61"/>
  <c r="P533" i="61"/>
  <c r="Q533" i="61"/>
  <c r="R533" i="61"/>
  <c r="S533" i="61"/>
  <c r="T533" i="61"/>
  <c r="U533" i="61"/>
  <c r="V533" i="61"/>
  <c r="X533" i="61"/>
  <c r="P534" i="61"/>
  <c r="Q534" i="61"/>
  <c r="R534" i="61"/>
  <c r="S534" i="61"/>
  <c r="T534" i="61"/>
  <c r="U534" i="61"/>
  <c r="V534" i="61"/>
  <c r="X534" i="61"/>
  <c r="P535" i="61"/>
  <c r="Q535" i="61"/>
  <c r="R535" i="61"/>
  <c r="S535" i="61"/>
  <c r="T535" i="61"/>
  <c r="U535" i="61"/>
  <c r="V535" i="61"/>
  <c r="X535" i="61"/>
  <c r="P536" i="61"/>
  <c r="Q536" i="61"/>
  <c r="R536" i="61"/>
  <c r="S536" i="61"/>
  <c r="T536" i="61"/>
  <c r="U536" i="61"/>
  <c r="V536" i="61"/>
  <c r="X536" i="61"/>
  <c r="P537" i="61"/>
  <c r="Q537" i="61"/>
  <c r="R537" i="61"/>
  <c r="S537" i="61"/>
  <c r="T537" i="61"/>
  <c r="U537" i="61"/>
  <c r="V537" i="61"/>
  <c r="X537" i="61"/>
  <c r="P538" i="61"/>
  <c r="Q538" i="61"/>
  <c r="R538" i="61"/>
  <c r="S538" i="61"/>
  <c r="T538" i="61"/>
  <c r="U538" i="61"/>
  <c r="V538" i="61"/>
  <c r="X538" i="61"/>
  <c r="P539" i="61"/>
  <c r="Q539" i="61"/>
  <c r="R539" i="61"/>
  <c r="S539" i="61"/>
  <c r="T539" i="61"/>
  <c r="U539" i="61"/>
  <c r="V539" i="61"/>
  <c r="X539" i="61"/>
  <c r="P540" i="61"/>
  <c r="Q540" i="61"/>
  <c r="R540" i="61"/>
  <c r="S540" i="61"/>
  <c r="T540" i="61"/>
  <c r="U540" i="61"/>
  <c r="V540" i="61"/>
  <c r="X540" i="61"/>
  <c r="P541" i="61"/>
  <c r="Q541" i="61"/>
  <c r="R541" i="61"/>
  <c r="S541" i="61"/>
  <c r="T541" i="61"/>
  <c r="U541" i="61"/>
  <c r="V541" i="61"/>
  <c r="X541" i="61"/>
  <c r="P542" i="61"/>
  <c r="Q542" i="61"/>
  <c r="R542" i="61"/>
  <c r="S542" i="61"/>
  <c r="T542" i="61"/>
  <c r="U542" i="61"/>
  <c r="V542" i="61"/>
  <c r="X542" i="61"/>
  <c r="P543" i="61"/>
  <c r="Q543" i="61"/>
  <c r="R543" i="61"/>
  <c r="S543" i="61"/>
  <c r="T543" i="61"/>
  <c r="U543" i="61"/>
  <c r="V543" i="61"/>
  <c r="X543" i="61"/>
  <c r="P544" i="61"/>
  <c r="Q544" i="61"/>
  <c r="R544" i="61"/>
  <c r="S544" i="61"/>
  <c r="T544" i="61"/>
  <c r="U544" i="61"/>
  <c r="V544" i="61"/>
  <c r="X544" i="61"/>
  <c r="P545" i="61"/>
  <c r="Q545" i="61"/>
  <c r="R545" i="61"/>
  <c r="S545" i="61"/>
  <c r="T545" i="61"/>
  <c r="U545" i="61"/>
  <c r="V545" i="61"/>
  <c r="X545" i="61"/>
  <c r="P546" i="61"/>
  <c r="Q546" i="61"/>
  <c r="R546" i="61"/>
  <c r="S546" i="61"/>
  <c r="T546" i="61"/>
  <c r="U546" i="61"/>
  <c r="V546" i="61"/>
  <c r="X546" i="61"/>
  <c r="P547" i="61"/>
  <c r="Q547" i="61"/>
  <c r="R547" i="61"/>
  <c r="S547" i="61"/>
  <c r="T547" i="61"/>
  <c r="U547" i="61"/>
  <c r="V547" i="61"/>
  <c r="X547" i="61"/>
  <c r="P548" i="61"/>
  <c r="Q548" i="61"/>
  <c r="R548" i="61"/>
  <c r="S548" i="61"/>
  <c r="T548" i="61"/>
  <c r="U548" i="61"/>
  <c r="V548" i="61"/>
  <c r="X548" i="61"/>
  <c r="P549" i="61"/>
  <c r="Q549" i="61"/>
  <c r="R549" i="61"/>
  <c r="S549" i="61"/>
  <c r="T549" i="61"/>
  <c r="U549" i="61"/>
  <c r="V549" i="61"/>
  <c r="X549" i="61"/>
  <c r="P550" i="61"/>
  <c r="Q550" i="61"/>
  <c r="R550" i="61"/>
  <c r="S550" i="61"/>
  <c r="T550" i="61"/>
  <c r="U550" i="61"/>
  <c r="V550" i="61"/>
  <c r="X550" i="61"/>
  <c r="P551" i="61"/>
  <c r="Q551" i="61"/>
  <c r="R551" i="61"/>
  <c r="S551" i="61"/>
  <c r="T551" i="61"/>
  <c r="U551" i="61"/>
  <c r="V551" i="61"/>
  <c r="X551" i="61"/>
  <c r="P552" i="61"/>
  <c r="Q552" i="61"/>
  <c r="R552" i="61"/>
  <c r="S552" i="61"/>
  <c r="T552" i="61"/>
  <c r="U552" i="61"/>
  <c r="V552" i="61"/>
  <c r="X552" i="61"/>
  <c r="P553" i="61"/>
  <c r="Q553" i="61"/>
  <c r="R553" i="61"/>
  <c r="S553" i="61"/>
  <c r="T553" i="61"/>
  <c r="U553" i="61"/>
  <c r="V553" i="61"/>
  <c r="X553" i="61"/>
  <c r="P554" i="61"/>
  <c r="Q554" i="61"/>
  <c r="R554" i="61"/>
  <c r="S554" i="61"/>
  <c r="T554" i="61"/>
  <c r="U554" i="61"/>
  <c r="V554" i="61"/>
  <c r="X554" i="61"/>
  <c r="P555" i="61"/>
  <c r="Q555" i="61"/>
  <c r="R555" i="61"/>
  <c r="S555" i="61"/>
  <c r="T555" i="61"/>
  <c r="U555" i="61"/>
  <c r="V555" i="61"/>
  <c r="X555" i="61"/>
  <c r="P556" i="61"/>
  <c r="Q556" i="61"/>
  <c r="R556" i="61"/>
  <c r="S556" i="61"/>
  <c r="T556" i="61"/>
  <c r="U556" i="61"/>
  <c r="V556" i="61"/>
  <c r="X556" i="61"/>
  <c r="P557" i="61"/>
  <c r="Q557" i="61"/>
  <c r="R557" i="61"/>
  <c r="S557" i="61"/>
  <c r="T557" i="61"/>
  <c r="U557" i="61"/>
  <c r="V557" i="61"/>
  <c r="X557" i="61"/>
  <c r="P558" i="61"/>
  <c r="Q558" i="61"/>
  <c r="R558" i="61"/>
  <c r="S558" i="61"/>
  <c r="T558" i="61"/>
  <c r="U558" i="61"/>
  <c r="V558" i="61"/>
  <c r="X558" i="61"/>
  <c r="P559" i="61"/>
  <c r="Q559" i="61"/>
  <c r="R559" i="61"/>
  <c r="S559" i="61"/>
  <c r="T559" i="61"/>
  <c r="U559" i="61"/>
  <c r="V559" i="61"/>
  <c r="X559" i="61"/>
  <c r="P560" i="61"/>
  <c r="Q560" i="61"/>
  <c r="R560" i="61"/>
  <c r="S560" i="61"/>
  <c r="T560" i="61"/>
  <c r="U560" i="61"/>
  <c r="V560" i="61"/>
  <c r="X560" i="61"/>
  <c r="P561" i="61"/>
  <c r="Q561" i="61"/>
  <c r="R561" i="61"/>
  <c r="S561" i="61"/>
  <c r="T561" i="61"/>
  <c r="U561" i="61"/>
  <c r="V561" i="61"/>
  <c r="X561" i="61"/>
  <c r="P562" i="61"/>
  <c r="Q562" i="61"/>
  <c r="R562" i="61"/>
  <c r="S562" i="61"/>
  <c r="T562" i="61"/>
  <c r="U562" i="61"/>
  <c r="V562" i="61"/>
  <c r="X562" i="61"/>
  <c r="P563" i="61"/>
  <c r="Q563" i="61"/>
  <c r="R563" i="61"/>
  <c r="S563" i="61"/>
  <c r="T563" i="61"/>
  <c r="U563" i="61"/>
  <c r="V563" i="61"/>
  <c r="X563" i="61"/>
  <c r="P564" i="61"/>
  <c r="Q564" i="61"/>
  <c r="R564" i="61"/>
  <c r="S564" i="61"/>
  <c r="T564" i="61"/>
  <c r="U564" i="61"/>
  <c r="V564" i="61"/>
  <c r="X564" i="61"/>
  <c r="P565" i="61"/>
  <c r="Q565" i="61"/>
  <c r="R565" i="61"/>
  <c r="S565" i="61"/>
  <c r="T565" i="61"/>
  <c r="U565" i="61"/>
  <c r="V565" i="61"/>
  <c r="X565" i="61"/>
  <c r="P566" i="61"/>
  <c r="Q566" i="61"/>
  <c r="R566" i="61"/>
  <c r="S566" i="61"/>
  <c r="T566" i="61"/>
  <c r="U566" i="61"/>
  <c r="V566" i="61"/>
  <c r="X566" i="61"/>
  <c r="P567" i="61"/>
  <c r="Q567" i="61"/>
  <c r="R567" i="61"/>
  <c r="S567" i="61"/>
  <c r="T567" i="61"/>
  <c r="U567" i="61"/>
  <c r="V567" i="61"/>
  <c r="X567" i="61"/>
  <c r="P568" i="61"/>
  <c r="Q568" i="61"/>
  <c r="R568" i="61"/>
  <c r="S568" i="61"/>
  <c r="T568" i="61"/>
  <c r="U568" i="61"/>
  <c r="V568" i="61"/>
  <c r="X568" i="61"/>
  <c r="P569" i="61"/>
  <c r="Q569" i="61"/>
  <c r="R569" i="61"/>
  <c r="S569" i="61"/>
  <c r="T569" i="61"/>
  <c r="U569" i="61"/>
  <c r="V569" i="61"/>
  <c r="X569" i="61"/>
  <c r="P570" i="61"/>
  <c r="Q570" i="61"/>
  <c r="R570" i="61"/>
  <c r="S570" i="61"/>
  <c r="T570" i="61"/>
  <c r="U570" i="61"/>
  <c r="V570" i="61"/>
  <c r="X570" i="61"/>
  <c r="P571" i="61"/>
  <c r="Q571" i="61"/>
  <c r="R571" i="61"/>
  <c r="S571" i="61"/>
  <c r="T571" i="61"/>
  <c r="U571" i="61"/>
  <c r="V571" i="61"/>
  <c r="X571" i="61"/>
  <c r="P572" i="61"/>
  <c r="Q572" i="61"/>
  <c r="R572" i="61"/>
  <c r="S572" i="61"/>
  <c r="T572" i="61"/>
  <c r="U572" i="61"/>
  <c r="V572" i="61"/>
  <c r="X572" i="61"/>
  <c r="P573" i="61"/>
  <c r="Q573" i="61"/>
  <c r="R573" i="61"/>
  <c r="S573" i="61"/>
  <c r="T573" i="61"/>
  <c r="U573" i="61"/>
  <c r="V573" i="61"/>
  <c r="X573" i="61"/>
  <c r="P574" i="61"/>
  <c r="Q574" i="61"/>
  <c r="R574" i="61"/>
  <c r="S574" i="61"/>
  <c r="T574" i="61"/>
  <c r="U574" i="61"/>
  <c r="V574" i="61"/>
  <c r="X574" i="61"/>
  <c r="P575" i="61"/>
  <c r="Q575" i="61"/>
  <c r="R575" i="61"/>
  <c r="S575" i="61"/>
  <c r="T575" i="61"/>
  <c r="U575" i="61"/>
  <c r="V575" i="61"/>
  <c r="X575" i="61"/>
  <c r="P576" i="61"/>
  <c r="Q576" i="61"/>
  <c r="R576" i="61"/>
  <c r="S576" i="61"/>
  <c r="T576" i="61"/>
  <c r="U576" i="61"/>
  <c r="V576" i="61"/>
  <c r="X576" i="61"/>
  <c r="P577" i="61"/>
  <c r="Q577" i="61"/>
  <c r="R577" i="61"/>
  <c r="S577" i="61"/>
  <c r="T577" i="61"/>
  <c r="U577" i="61"/>
  <c r="V577" i="61"/>
  <c r="X577" i="61"/>
  <c r="P578" i="61"/>
  <c r="Q578" i="61"/>
  <c r="R578" i="61"/>
  <c r="S578" i="61"/>
  <c r="T578" i="61"/>
  <c r="U578" i="61"/>
  <c r="V578" i="61"/>
  <c r="X578" i="61"/>
  <c r="P579" i="61"/>
  <c r="Q579" i="61"/>
  <c r="R579" i="61"/>
  <c r="S579" i="61"/>
  <c r="T579" i="61"/>
  <c r="U579" i="61"/>
  <c r="V579" i="61"/>
  <c r="X579" i="61"/>
  <c r="P580" i="61"/>
  <c r="Q580" i="61"/>
  <c r="R580" i="61"/>
  <c r="S580" i="61"/>
  <c r="T580" i="61"/>
  <c r="U580" i="61"/>
  <c r="V580" i="61"/>
  <c r="X580" i="61"/>
  <c r="P581" i="61"/>
  <c r="Q581" i="61"/>
  <c r="R581" i="61"/>
  <c r="S581" i="61"/>
  <c r="T581" i="61"/>
  <c r="U581" i="61"/>
  <c r="V581" i="61"/>
  <c r="X581" i="61"/>
  <c r="P582" i="61"/>
  <c r="Q582" i="61"/>
  <c r="R582" i="61"/>
  <c r="S582" i="61"/>
  <c r="T582" i="61"/>
  <c r="U582" i="61"/>
  <c r="V582" i="61"/>
  <c r="X582" i="61"/>
  <c r="P583" i="61"/>
  <c r="Q583" i="61"/>
  <c r="R583" i="61"/>
  <c r="S583" i="61"/>
  <c r="T583" i="61"/>
  <c r="U583" i="61"/>
  <c r="V583" i="61"/>
  <c r="X583" i="61"/>
  <c r="P584" i="61"/>
  <c r="Q584" i="61"/>
  <c r="R584" i="61"/>
  <c r="S584" i="61"/>
  <c r="T584" i="61"/>
  <c r="U584" i="61"/>
  <c r="V584" i="61"/>
  <c r="X584" i="61"/>
  <c r="P585" i="61"/>
  <c r="Q585" i="61"/>
  <c r="R585" i="61"/>
  <c r="S585" i="61"/>
  <c r="T585" i="61"/>
  <c r="U585" i="61"/>
  <c r="V585" i="61"/>
  <c r="X585" i="61"/>
  <c r="P586" i="61"/>
  <c r="Q586" i="61"/>
  <c r="R586" i="61"/>
  <c r="S586" i="61"/>
  <c r="T586" i="61"/>
  <c r="U586" i="61"/>
  <c r="V586" i="61"/>
  <c r="X586" i="61"/>
  <c r="P587" i="61"/>
  <c r="Q587" i="61"/>
  <c r="R587" i="61"/>
  <c r="S587" i="61"/>
  <c r="T587" i="61"/>
  <c r="U587" i="61"/>
  <c r="V587" i="61"/>
  <c r="X587" i="61"/>
  <c r="P588" i="61"/>
  <c r="Q588" i="61"/>
  <c r="R588" i="61"/>
  <c r="S588" i="61"/>
  <c r="T588" i="61"/>
  <c r="U588" i="61"/>
  <c r="V588" i="61"/>
  <c r="X588" i="61"/>
  <c r="P589" i="61"/>
  <c r="Q589" i="61"/>
  <c r="R589" i="61"/>
  <c r="S589" i="61"/>
  <c r="T589" i="61"/>
  <c r="U589" i="61"/>
  <c r="V589" i="61"/>
  <c r="X589" i="61"/>
  <c r="P590" i="61"/>
  <c r="Q590" i="61"/>
  <c r="R590" i="61"/>
  <c r="S590" i="61"/>
  <c r="T590" i="61"/>
  <c r="U590" i="61"/>
  <c r="V590" i="61"/>
  <c r="X590" i="61"/>
  <c r="P591" i="61"/>
  <c r="Q591" i="61"/>
  <c r="R591" i="61"/>
  <c r="S591" i="61"/>
  <c r="T591" i="61"/>
  <c r="U591" i="61"/>
  <c r="V591" i="61"/>
  <c r="X591" i="61"/>
  <c r="P592" i="61"/>
  <c r="Q592" i="61"/>
  <c r="R592" i="61"/>
  <c r="S592" i="61"/>
  <c r="T592" i="61"/>
  <c r="U592" i="61"/>
  <c r="V592" i="61"/>
  <c r="X592" i="61"/>
  <c r="P593" i="61"/>
  <c r="Q593" i="61"/>
  <c r="R593" i="61"/>
  <c r="S593" i="61"/>
  <c r="T593" i="61"/>
  <c r="U593" i="61"/>
  <c r="V593" i="61"/>
  <c r="X593" i="61"/>
  <c r="P594" i="61"/>
  <c r="Q594" i="61"/>
  <c r="R594" i="61"/>
  <c r="S594" i="61"/>
  <c r="T594" i="61"/>
  <c r="U594" i="61"/>
  <c r="V594" i="61"/>
  <c r="X594" i="61"/>
  <c r="P595" i="61"/>
  <c r="Q595" i="61"/>
  <c r="R595" i="61"/>
  <c r="S595" i="61"/>
  <c r="T595" i="61"/>
  <c r="U595" i="61"/>
  <c r="V595" i="61"/>
  <c r="X595" i="61"/>
  <c r="P596" i="61"/>
  <c r="Q596" i="61"/>
  <c r="R596" i="61"/>
  <c r="S596" i="61"/>
  <c r="T596" i="61"/>
  <c r="U596" i="61"/>
  <c r="V596" i="61"/>
  <c r="X596" i="61"/>
  <c r="P597" i="61"/>
  <c r="Q597" i="61"/>
  <c r="R597" i="61"/>
  <c r="S597" i="61"/>
  <c r="T597" i="61"/>
  <c r="U597" i="61"/>
  <c r="V597" i="61"/>
  <c r="X597" i="61"/>
  <c r="P598" i="61"/>
  <c r="Q598" i="61"/>
  <c r="R598" i="61"/>
  <c r="S598" i="61"/>
  <c r="T598" i="61"/>
  <c r="U598" i="61"/>
  <c r="V598" i="61"/>
  <c r="X598" i="61"/>
  <c r="P599" i="61"/>
  <c r="Q599" i="61"/>
  <c r="R599" i="61"/>
  <c r="S599" i="61"/>
  <c r="T599" i="61"/>
  <c r="U599" i="61"/>
  <c r="V599" i="61"/>
  <c r="X599" i="61"/>
  <c r="P600" i="61"/>
  <c r="Q600" i="61"/>
  <c r="R600" i="61"/>
  <c r="S600" i="61"/>
  <c r="T600" i="61"/>
  <c r="U600" i="61"/>
  <c r="V600" i="61"/>
  <c r="X600" i="61"/>
  <c r="P601" i="61"/>
  <c r="Q601" i="61"/>
  <c r="R601" i="61"/>
  <c r="S601" i="61"/>
  <c r="T601" i="61"/>
  <c r="U601" i="61"/>
  <c r="V601" i="61"/>
  <c r="X601" i="61"/>
  <c r="P602" i="61"/>
  <c r="Q602" i="61"/>
  <c r="R602" i="61"/>
  <c r="S602" i="61"/>
  <c r="T602" i="61"/>
  <c r="U602" i="61"/>
  <c r="V602" i="61"/>
  <c r="X602" i="61"/>
  <c r="P603" i="61"/>
  <c r="Q603" i="61"/>
  <c r="R603" i="61"/>
  <c r="S603" i="61"/>
  <c r="T603" i="61"/>
  <c r="U603" i="61"/>
  <c r="V603" i="61"/>
  <c r="X603" i="61"/>
  <c r="P604" i="61"/>
  <c r="Q604" i="61"/>
  <c r="R604" i="61"/>
  <c r="S604" i="61"/>
  <c r="T604" i="61"/>
  <c r="U604" i="61"/>
  <c r="V604" i="61"/>
  <c r="X604" i="61"/>
  <c r="P605" i="61"/>
  <c r="Q605" i="61"/>
  <c r="R605" i="61"/>
  <c r="S605" i="61"/>
  <c r="T605" i="61"/>
  <c r="U605" i="61"/>
  <c r="V605" i="61"/>
  <c r="X605" i="61"/>
  <c r="P606" i="61"/>
  <c r="Q606" i="61"/>
  <c r="R606" i="61"/>
  <c r="S606" i="61"/>
  <c r="T606" i="61"/>
  <c r="U606" i="61"/>
  <c r="V606" i="61"/>
  <c r="X606" i="61"/>
  <c r="P607" i="61"/>
  <c r="Q607" i="61"/>
  <c r="R607" i="61"/>
  <c r="S607" i="61"/>
  <c r="T607" i="61"/>
  <c r="U607" i="61"/>
  <c r="V607" i="61"/>
  <c r="X607" i="61"/>
  <c r="P608" i="61"/>
  <c r="Q608" i="61"/>
  <c r="R608" i="61"/>
  <c r="S608" i="61"/>
  <c r="T608" i="61"/>
  <c r="U608" i="61"/>
  <c r="V608" i="61"/>
  <c r="X608" i="61"/>
  <c r="P609" i="61"/>
  <c r="Q609" i="61"/>
  <c r="R609" i="61"/>
  <c r="S609" i="61"/>
  <c r="T609" i="61"/>
  <c r="U609" i="61"/>
  <c r="V609" i="61"/>
  <c r="X609" i="61"/>
  <c r="P610" i="61"/>
  <c r="Q610" i="61"/>
  <c r="R610" i="61"/>
  <c r="S610" i="61"/>
  <c r="T610" i="61"/>
  <c r="U610" i="61"/>
  <c r="V610" i="61"/>
  <c r="X610" i="61"/>
  <c r="P611" i="61"/>
  <c r="Q611" i="61"/>
  <c r="R611" i="61"/>
  <c r="S611" i="61"/>
  <c r="T611" i="61"/>
  <c r="U611" i="61"/>
  <c r="V611" i="61"/>
  <c r="X611" i="61"/>
  <c r="P612" i="61"/>
  <c r="Q612" i="61"/>
  <c r="R612" i="61"/>
  <c r="S612" i="61"/>
  <c r="T612" i="61"/>
  <c r="U612" i="61"/>
  <c r="V612" i="61"/>
  <c r="X612" i="61"/>
  <c r="P613" i="61"/>
  <c r="Q613" i="61"/>
  <c r="R613" i="61"/>
  <c r="S613" i="61"/>
  <c r="T613" i="61"/>
  <c r="U613" i="61"/>
  <c r="V613" i="61"/>
  <c r="X613" i="61"/>
  <c r="P614" i="61"/>
  <c r="Q614" i="61"/>
  <c r="R614" i="61"/>
  <c r="S614" i="61"/>
  <c r="T614" i="61"/>
  <c r="U614" i="61"/>
  <c r="V614" i="61"/>
  <c r="X614" i="61"/>
  <c r="P615" i="61"/>
  <c r="Q615" i="61"/>
  <c r="R615" i="61"/>
  <c r="S615" i="61"/>
  <c r="T615" i="61"/>
  <c r="U615" i="61"/>
  <c r="V615" i="61"/>
  <c r="X615" i="61"/>
  <c r="P616" i="61"/>
  <c r="Q616" i="61"/>
  <c r="R616" i="61"/>
  <c r="S616" i="61"/>
  <c r="T616" i="61"/>
  <c r="U616" i="61"/>
  <c r="V616" i="61"/>
  <c r="X616" i="61"/>
  <c r="P617" i="61"/>
  <c r="Q617" i="61"/>
  <c r="R617" i="61"/>
  <c r="S617" i="61"/>
  <c r="T617" i="61"/>
  <c r="U617" i="61"/>
  <c r="V617" i="61"/>
  <c r="X617" i="61"/>
  <c r="P618" i="61"/>
  <c r="Q618" i="61"/>
  <c r="R618" i="61"/>
  <c r="S618" i="61"/>
  <c r="T618" i="61"/>
  <c r="U618" i="61"/>
  <c r="V618" i="61"/>
  <c r="X618" i="61"/>
  <c r="P619" i="61"/>
  <c r="Q619" i="61"/>
  <c r="R619" i="61"/>
  <c r="S619" i="61"/>
  <c r="T619" i="61"/>
  <c r="U619" i="61"/>
  <c r="V619" i="61"/>
  <c r="X619" i="61"/>
  <c r="P620" i="61"/>
  <c r="Q620" i="61"/>
  <c r="R620" i="61"/>
  <c r="S620" i="61"/>
  <c r="T620" i="61"/>
  <c r="U620" i="61"/>
  <c r="V620" i="61"/>
  <c r="X620" i="61"/>
  <c r="P621" i="61"/>
  <c r="Q621" i="61"/>
  <c r="R621" i="61"/>
  <c r="S621" i="61"/>
  <c r="T621" i="61"/>
  <c r="U621" i="61"/>
  <c r="V621" i="61"/>
  <c r="X621" i="61"/>
  <c r="P622" i="61"/>
  <c r="Q622" i="61"/>
  <c r="R622" i="61"/>
  <c r="S622" i="61"/>
  <c r="T622" i="61"/>
  <c r="U622" i="61"/>
  <c r="V622" i="61"/>
  <c r="X622" i="61"/>
  <c r="P623" i="61"/>
  <c r="Q623" i="61"/>
  <c r="R623" i="61"/>
  <c r="S623" i="61"/>
  <c r="T623" i="61"/>
  <c r="U623" i="61"/>
  <c r="V623" i="61"/>
  <c r="X623" i="61"/>
  <c r="P624" i="61"/>
  <c r="Q624" i="61"/>
  <c r="R624" i="61"/>
  <c r="S624" i="61"/>
  <c r="T624" i="61"/>
  <c r="U624" i="61"/>
  <c r="V624" i="61"/>
  <c r="X624" i="61"/>
  <c r="P625" i="61"/>
  <c r="Q625" i="61"/>
  <c r="R625" i="61"/>
  <c r="S625" i="61"/>
  <c r="T625" i="61"/>
  <c r="U625" i="61"/>
  <c r="V625" i="61"/>
  <c r="X625" i="61"/>
  <c r="P626" i="61"/>
  <c r="Q626" i="61"/>
  <c r="R626" i="61"/>
  <c r="S626" i="61"/>
  <c r="T626" i="61"/>
  <c r="U626" i="61"/>
  <c r="V626" i="61"/>
  <c r="X626" i="61"/>
  <c r="P627" i="61"/>
  <c r="Q627" i="61"/>
  <c r="R627" i="61"/>
  <c r="S627" i="61"/>
  <c r="T627" i="61"/>
  <c r="U627" i="61"/>
  <c r="V627" i="61"/>
  <c r="X627" i="61"/>
  <c r="P628" i="61"/>
  <c r="Q628" i="61"/>
  <c r="R628" i="61"/>
  <c r="S628" i="61"/>
  <c r="T628" i="61"/>
  <c r="U628" i="61"/>
  <c r="V628" i="61"/>
  <c r="X628" i="61"/>
  <c r="P629" i="61"/>
  <c r="Q629" i="61"/>
  <c r="R629" i="61"/>
  <c r="S629" i="61"/>
  <c r="T629" i="61"/>
  <c r="U629" i="61"/>
  <c r="V629" i="61"/>
  <c r="X629" i="61"/>
  <c r="P630" i="61"/>
  <c r="Q630" i="61"/>
  <c r="R630" i="61"/>
  <c r="S630" i="61"/>
  <c r="T630" i="61"/>
  <c r="U630" i="61"/>
  <c r="V630" i="61"/>
  <c r="X630" i="61"/>
  <c r="P631" i="61"/>
  <c r="Q631" i="61"/>
  <c r="R631" i="61"/>
  <c r="S631" i="61"/>
  <c r="T631" i="61"/>
  <c r="U631" i="61"/>
  <c r="V631" i="61"/>
  <c r="X631" i="61"/>
  <c r="P632" i="61"/>
  <c r="Q632" i="61"/>
  <c r="R632" i="61"/>
  <c r="S632" i="61"/>
  <c r="T632" i="61"/>
  <c r="U632" i="61"/>
  <c r="V632" i="61"/>
  <c r="X632" i="61"/>
  <c r="P633" i="61"/>
  <c r="Q633" i="61"/>
  <c r="R633" i="61"/>
  <c r="S633" i="61"/>
  <c r="T633" i="61"/>
  <c r="U633" i="61"/>
  <c r="V633" i="61"/>
  <c r="X633" i="61"/>
  <c r="P634" i="61"/>
  <c r="Q634" i="61"/>
  <c r="R634" i="61"/>
  <c r="S634" i="61"/>
  <c r="T634" i="61"/>
  <c r="U634" i="61"/>
  <c r="V634" i="61"/>
  <c r="X634" i="61"/>
  <c r="P635" i="61"/>
  <c r="Q635" i="61"/>
  <c r="R635" i="61"/>
  <c r="S635" i="61"/>
  <c r="T635" i="61"/>
  <c r="U635" i="61"/>
  <c r="V635" i="61"/>
  <c r="X635" i="61"/>
  <c r="P636" i="61"/>
  <c r="Q636" i="61"/>
  <c r="R636" i="61"/>
  <c r="S636" i="61"/>
  <c r="T636" i="61"/>
  <c r="U636" i="61"/>
  <c r="V636" i="61"/>
  <c r="X636" i="61"/>
  <c r="P637" i="61"/>
  <c r="Q637" i="61"/>
  <c r="R637" i="61"/>
  <c r="S637" i="61"/>
  <c r="T637" i="61"/>
  <c r="U637" i="61"/>
  <c r="V637" i="61"/>
  <c r="X637" i="61"/>
  <c r="P638" i="61"/>
  <c r="Q638" i="61"/>
  <c r="R638" i="61"/>
  <c r="S638" i="61"/>
  <c r="T638" i="61"/>
  <c r="U638" i="61"/>
  <c r="V638" i="61"/>
  <c r="X638" i="61"/>
  <c r="P639" i="61"/>
  <c r="Q639" i="61"/>
  <c r="R639" i="61"/>
  <c r="S639" i="61"/>
  <c r="T639" i="61"/>
  <c r="U639" i="61"/>
  <c r="V639" i="61"/>
  <c r="X639" i="61"/>
  <c r="P640" i="61"/>
  <c r="Q640" i="61"/>
  <c r="R640" i="61"/>
  <c r="S640" i="61"/>
  <c r="T640" i="61"/>
  <c r="U640" i="61"/>
  <c r="V640" i="61"/>
  <c r="X640" i="61"/>
  <c r="P641" i="61"/>
  <c r="Q641" i="61"/>
  <c r="R641" i="61"/>
  <c r="S641" i="61"/>
  <c r="T641" i="61"/>
  <c r="U641" i="61"/>
  <c r="V641" i="61"/>
  <c r="X641" i="61"/>
  <c r="P642" i="61"/>
  <c r="Q642" i="61"/>
  <c r="R642" i="61"/>
  <c r="S642" i="61"/>
  <c r="T642" i="61"/>
  <c r="U642" i="61"/>
  <c r="V642" i="61"/>
  <c r="X642" i="61"/>
  <c r="P643" i="61"/>
  <c r="Q643" i="61"/>
  <c r="R643" i="61"/>
  <c r="S643" i="61"/>
  <c r="T643" i="61"/>
  <c r="U643" i="61"/>
  <c r="V643" i="61"/>
  <c r="X643" i="61"/>
  <c r="P644" i="61"/>
  <c r="Q644" i="61"/>
  <c r="R644" i="61"/>
  <c r="S644" i="61"/>
  <c r="T644" i="61"/>
  <c r="U644" i="61"/>
  <c r="V644" i="61"/>
  <c r="X644" i="61"/>
  <c r="P645" i="61"/>
  <c r="Q645" i="61"/>
  <c r="R645" i="61"/>
  <c r="S645" i="61"/>
  <c r="T645" i="61"/>
  <c r="U645" i="61"/>
  <c r="V645" i="61"/>
  <c r="X645" i="61"/>
  <c r="P646" i="61"/>
  <c r="Q646" i="61"/>
  <c r="R646" i="61"/>
  <c r="S646" i="61"/>
  <c r="T646" i="61"/>
  <c r="U646" i="61"/>
  <c r="V646" i="61"/>
  <c r="X646" i="61"/>
  <c r="P647" i="61"/>
  <c r="Q647" i="61"/>
  <c r="R647" i="61"/>
  <c r="S647" i="61"/>
  <c r="T647" i="61"/>
  <c r="U647" i="61"/>
  <c r="V647" i="61"/>
  <c r="X647" i="61"/>
  <c r="P648" i="61"/>
  <c r="Q648" i="61"/>
  <c r="R648" i="61"/>
  <c r="S648" i="61"/>
  <c r="T648" i="61"/>
  <c r="U648" i="61"/>
  <c r="V648" i="61"/>
  <c r="X648" i="61"/>
  <c r="P649" i="61"/>
  <c r="Q649" i="61"/>
  <c r="R649" i="61"/>
  <c r="S649" i="61"/>
  <c r="T649" i="61"/>
  <c r="U649" i="61"/>
  <c r="V649" i="61"/>
  <c r="X649" i="61"/>
  <c r="P650" i="61"/>
  <c r="Q650" i="61"/>
  <c r="R650" i="61"/>
  <c r="S650" i="61"/>
  <c r="T650" i="61"/>
  <c r="U650" i="61"/>
  <c r="V650" i="61"/>
  <c r="X650" i="61"/>
  <c r="P651" i="61"/>
  <c r="Q651" i="61"/>
  <c r="R651" i="61"/>
  <c r="S651" i="61"/>
  <c r="T651" i="61"/>
  <c r="U651" i="61"/>
  <c r="V651" i="61"/>
  <c r="X651" i="61"/>
  <c r="P652" i="61"/>
  <c r="Q652" i="61"/>
  <c r="R652" i="61"/>
  <c r="S652" i="61"/>
  <c r="T652" i="61"/>
  <c r="U652" i="61"/>
  <c r="V652" i="61"/>
  <c r="X652" i="61"/>
  <c r="P653" i="61"/>
  <c r="Q653" i="61"/>
  <c r="R653" i="61"/>
  <c r="S653" i="61"/>
  <c r="T653" i="61"/>
  <c r="U653" i="61"/>
  <c r="V653" i="61"/>
  <c r="X653" i="61"/>
  <c r="P654" i="61"/>
  <c r="Q654" i="61"/>
  <c r="R654" i="61"/>
  <c r="S654" i="61"/>
  <c r="T654" i="61"/>
  <c r="U654" i="61"/>
  <c r="V654" i="61"/>
  <c r="X654" i="61"/>
  <c r="P655" i="61"/>
  <c r="Q655" i="61"/>
  <c r="R655" i="61"/>
  <c r="S655" i="61"/>
  <c r="T655" i="61"/>
  <c r="U655" i="61"/>
  <c r="V655" i="61"/>
  <c r="X655" i="61"/>
  <c r="P656" i="61"/>
  <c r="Q656" i="61"/>
  <c r="R656" i="61"/>
  <c r="S656" i="61"/>
  <c r="T656" i="61"/>
  <c r="U656" i="61"/>
  <c r="V656" i="61"/>
  <c r="X656" i="61"/>
  <c r="P657" i="61"/>
  <c r="Q657" i="61"/>
  <c r="R657" i="61"/>
  <c r="S657" i="61"/>
  <c r="T657" i="61"/>
  <c r="U657" i="61"/>
  <c r="V657" i="61"/>
  <c r="X657" i="61"/>
  <c r="P658" i="61"/>
  <c r="Q658" i="61"/>
  <c r="R658" i="61"/>
  <c r="S658" i="61"/>
  <c r="T658" i="61"/>
  <c r="U658" i="61"/>
  <c r="V658" i="61"/>
  <c r="X658" i="61"/>
  <c r="P659" i="61"/>
  <c r="Q659" i="61"/>
  <c r="R659" i="61"/>
  <c r="S659" i="61"/>
  <c r="T659" i="61"/>
  <c r="U659" i="61"/>
  <c r="V659" i="61"/>
  <c r="X659" i="61"/>
  <c r="P660" i="61"/>
  <c r="Q660" i="61"/>
  <c r="R660" i="61"/>
  <c r="S660" i="61"/>
  <c r="T660" i="61"/>
  <c r="U660" i="61"/>
  <c r="V660" i="61"/>
  <c r="X660" i="61"/>
  <c r="P661" i="61"/>
  <c r="Q661" i="61"/>
  <c r="R661" i="61"/>
  <c r="S661" i="61"/>
  <c r="T661" i="61"/>
  <c r="U661" i="61"/>
  <c r="V661" i="61"/>
  <c r="X661" i="61"/>
  <c r="P662" i="61"/>
  <c r="Q662" i="61"/>
  <c r="R662" i="61"/>
  <c r="S662" i="61"/>
  <c r="T662" i="61"/>
  <c r="U662" i="61"/>
  <c r="V662" i="61"/>
  <c r="X662" i="61"/>
  <c r="P663" i="61"/>
  <c r="Q663" i="61"/>
  <c r="R663" i="61"/>
  <c r="S663" i="61"/>
  <c r="T663" i="61"/>
  <c r="U663" i="61"/>
  <c r="V663" i="61"/>
  <c r="X663" i="61"/>
  <c r="P664" i="61"/>
  <c r="Q664" i="61"/>
  <c r="R664" i="61"/>
  <c r="S664" i="61"/>
  <c r="T664" i="61"/>
  <c r="U664" i="61"/>
  <c r="V664" i="61"/>
  <c r="X664" i="61"/>
  <c r="P665" i="61"/>
  <c r="Q665" i="61"/>
  <c r="R665" i="61"/>
  <c r="S665" i="61"/>
  <c r="T665" i="61"/>
  <c r="U665" i="61"/>
  <c r="V665" i="61"/>
  <c r="X665" i="61"/>
  <c r="P666" i="61"/>
  <c r="Q666" i="61"/>
  <c r="R666" i="61"/>
  <c r="S666" i="61"/>
  <c r="T666" i="61"/>
  <c r="U666" i="61"/>
  <c r="V666" i="61"/>
  <c r="X666" i="61"/>
  <c r="P667" i="61"/>
  <c r="Q667" i="61"/>
  <c r="R667" i="61"/>
  <c r="S667" i="61"/>
  <c r="T667" i="61"/>
  <c r="U667" i="61"/>
  <c r="V667" i="61"/>
  <c r="X667" i="61"/>
  <c r="P668" i="61"/>
  <c r="Q668" i="61"/>
  <c r="R668" i="61"/>
  <c r="S668" i="61"/>
  <c r="T668" i="61"/>
  <c r="U668" i="61"/>
  <c r="V668" i="61"/>
  <c r="X668" i="61"/>
  <c r="P669" i="61"/>
  <c r="Q669" i="61"/>
  <c r="R669" i="61"/>
  <c r="S669" i="61"/>
  <c r="T669" i="61"/>
  <c r="U669" i="61"/>
  <c r="V669" i="61"/>
  <c r="X669" i="61"/>
  <c r="P670" i="61"/>
  <c r="Q670" i="61"/>
  <c r="R670" i="61"/>
  <c r="S670" i="61"/>
  <c r="T670" i="61"/>
  <c r="U670" i="61"/>
  <c r="V670" i="61"/>
  <c r="X670" i="61"/>
  <c r="P671" i="61"/>
  <c r="Q671" i="61"/>
  <c r="R671" i="61"/>
  <c r="S671" i="61"/>
  <c r="T671" i="61"/>
  <c r="U671" i="61"/>
  <c r="V671" i="61"/>
  <c r="X671" i="61"/>
  <c r="P672" i="61"/>
  <c r="Q672" i="61"/>
  <c r="R672" i="61"/>
  <c r="S672" i="61"/>
  <c r="T672" i="61"/>
  <c r="U672" i="61"/>
  <c r="V672" i="61"/>
  <c r="X672" i="61"/>
  <c r="P673" i="61"/>
  <c r="Q673" i="61"/>
  <c r="R673" i="61"/>
  <c r="S673" i="61"/>
  <c r="T673" i="61"/>
  <c r="U673" i="61"/>
  <c r="V673" i="61"/>
  <c r="X673" i="61"/>
  <c r="P674" i="61"/>
  <c r="Q674" i="61"/>
  <c r="R674" i="61"/>
  <c r="S674" i="61"/>
  <c r="T674" i="61"/>
  <c r="U674" i="61"/>
  <c r="V674" i="61"/>
  <c r="X674" i="61"/>
  <c r="P675" i="61"/>
  <c r="Q675" i="61"/>
  <c r="R675" i="61"/>
  <c r="S675" i="61"/>
  <c r="T675" i="61"/>
  <c r="U675" i="61"/>
  <c r="V675" i="61"/>
  <c r="X675" i="61"/>
  <c r="P676" i="61"/>
  <c r="Q676" i="61"/>
  <c r="R676" i="61"/>
  <c r="S676" i="61"/>
  <c r="T676" i="61"/>
  <c r="U676" i="61"/>
  <c r="V676" i="61"/>
  <c r="X676" i="61"/>
  <c r="P677" i="61"/>
  <c r="Q677" i="61"/>
  <c r="R677" i="61"/>
  <c r="S677" i="61"/>
  <c r="T677" i="61"/>
  <c r="U677" i="61"/>
  <c r="V677" i="61"/>
  <c r="X677" i="61"/>
  <c r="P678" i="61"/>
  <c r="Q678" i="61"/>
  <c r="R678" i="61"/>
  <c r="S678" i="61"/>
  <c r="T678" i="61"/>
  <c r="U678" i="61"/>
  <c r="V678" i="61"/>
  <c r="X678" i="61"/>
  <c r="P679" i="61"/>
  <c r="Q679" i="61"/>
  <c r="R679" i="61"/>
  <c r="S679" i="61"/>
  <c r="T679" i="61"/>
  <c r="U679" i="61"/>
  <c r="V679" i="61"/>
  <c r="X679" i="61"/>
  <c r="P680" i="61"/>
  <c r="Q680" i="61"/>
  <c r="R680" i="61"/>
  <c r="S680" i="61"/>
  <c r="T680" i="61"/>
  <c r="U680" i="61"/>
  <c r="V680" i="61"/>
  <c r="X680" i="61"/>
  <c r="P681" i="61"/>
  <c r="Q681" i="61"/>
  <c r="R681" i="61"/>
  <c r="S681" i="61"/>
  <c r="T681" i="61"/>
  <c r="U681" i="61"/>
  <c r="V681" i="61"/>
  <c r="X681" i="61"/>
  <c r="P682" i="61"/>
  <c r="Q682" i="61"/>
  <c r="R682" i="61"/>
  <c r="S682" i="61"/>
  <c r="T682" i="61"/>
  <c r="U682" i="61"/>
  <c r="V682" i="61"/>
  <c r="X682" i="61"/>
  <c r="P683" i="61"/>
  <c r="Q683" i="61"/>
  <c r="R683" i="61"/>
  <c r="S683" i="61"/>
  <c r="T683" i="61"/>
  <c r="U683" i="61"/>
  <c r="V683" i="61"/>
  <c r="X683" i="61"/>
  <c r="P684" i="61"/>
  <c r="Q684" i="61"/>
  <c r="R684" i="61"/>
  <c r="S684" i="61"/>
  <c r="T684" i="61"/>
  <c r="U684" i="61"/>
  <c r="V684" i="61"/>
  <c r="X684" i="61"/>
  <c r="P685" i="61"/>
  <c r="Q685" i="61"/>
  <c r="R685" i="61"/>
  <c r="S685" i="61"/>
  <c r="T685" i="61"/>
  <c r="U685" i="61"/>
  <c r="V685" i="61"/>
  <c r="X685" i="61"/>
  <c r="P686" i="61"/>
  <c r="Q686" i="61"/>
  <c r="R686" i="61"/>
  <c r="S686" i="61"/>
  <c r="T686" i="61"/>
  <c r="U686" i="61"/>
  <c r="V686" i="61"/>
  <c r="X686" i="61"/>
  <c r="P687" i="61"/>
  <c r="Q687" i="61"/>
  <c r="R687" i="61"/>
  <c r="S687" i="61"/>
  <c r="T687" i="61"/>
  <c r="U687" i="61"/>
  <c r="V687" i="61"/>
  <c r="X687" i="61"/>
  <c r="P688" i="61"/>
  <c r="Q688" i="61"/>
  <c r="R688" i="61"/>
  <c r="S688" i="61"/>
  <c r="T688" i="61"/>
  <c r="U688" i="61"/>
  <c r="V688" i="61"/>
  <c r="X688" i="61"/>
  <c r="P689" i="61"/>
  <c r="Q689" i="61"/>
  <c r="R689" i="61"/>
  <c r="S689" i="61"/>
  <c r="T689" i="61"/>
  <c r="U689" i="61"/>
  <c r="V689" i="61"/>
  <c r="X689" i="61"/>
  <c r="P690" i="61"/>
  <c r="Q690" i="61"/>
  <c r="R690" i="61"/>
  <c r="S690" i="61"/>
  <c r="T690" i="61"/>
  <c r="U690" i="61"/>
  <c r="V690" i="61"/>
  <c r="X690" i="61"/>
  <c r="P691" i="61"/>
  <c r="Q691" i="61"/>
  <c r="R691" i="61"/>
  <c r="S691" i="61"/>
  <c r="T691" i="61"/>
  <c r="U691" i="61"/>
  <c r="V691" i="61"/>
  <c r="X691" i="61"/>
  <c r="P692" i="61"/>
  <c r="Q692" i="61"/>
  <c r="R692" i="61"/>
  <c r="S692" i="61"/>
  <c r="T692" i="61"/>
  <c r="U692" i="61"/>
  <c r="V692" i="61"/>
  <c r="X692" i="61"/>
  <c r="P693" i="61"/>
  <c r="Q693" i="61"/>
  <c r="R693" i="61"/>
  <c r="S693" i="61"/>
  <c r="T693" i="61"/>
  <c r="U693" i="61"/>
  <c r="V693" i="61"/>
  <c r="X693" i="61"/>
  <c r="P694" i="61"/>
  <c r="Q694" i="61"/>
  <c r="R694" i="61"/>
  <c r="S694" i="61"/>
  <c r="T694" i="61"/>
  <c r="U694" i="61"/>
  <c r="V694" i="61"/>
  <c r="X694" i="61"/>
  <c r="P695" i="61"/>
  <c r="Q695" i="61"/>
  <c r="R695" i="61"/>
  <c r="S695" i="61"/>
  <c r="T695" i="61"/>
  <c r="U695" i="61"/>
  <c r="V695" i="61"/>
  <c r="X695" i="61"/>
  <c r="P696" i="61"/>
  <c r="Q696" i="61"/>
  <c r="R696" i="61"/>
  <c r="S696" i="61"/>
  <c r="T696" i="61"/>
  <c r="U696" i="61"/>
  <c r="V696" i="61"/>
  <c r="X696" i="61"/>
  <c r="P697" i="61"/>
  <c r="Q697" i="61"/>
  <c r="R697" i="61"/>
  <c r="S697" i="61"/>
  <c r="T697" i="61"/>
  <c r="U697" i="61"/>
  <c r="V697" i="61"/>
  <c r="X697" i="61"/>
  <c r="P698" i="61"/>
  <c r="Q698" i="61"/>
  <c r="R698" i="61"/>
  <c r="S698" i="61"/>
  <c r="T698" i="61"/>
  <c r="U698" i="61"/>
  <c r="V698" i="61"/>
  <c r="X698" i="61"/>
  <c r="P699" i="61"/>
  <c r="Q699" i="61"/>
  <c r="R699" i="61"/>
  <c r="S699" i="61"/>
  <c r="T699" i="61"/>
  <c r="U699" i="61"/>
  <c r="V699" i="61"/>
  <c r="X699" i="61"/>
  <c r="P700" i="61"/>
  <c r="Q700" i="61"/>
  <c r="R700" i="61"/>
  <c r="S700" i="61"/>
  <c r="T700" i="61"/>
  <c r="U700" i="61"/>
  <c r="V700" i="61"/>
  <c r="X700" i="61"/>
  <c r="P701" i="61"/>
  <c r="Q701" i="61"/>
  <c r="R701" i="61"/>
  <c r="S701" i="61"/>
  <c r="T701" i="61"/>
  <c r="U701" i="61"/>
  <c r="V701" i="61"/>
  <c r="X701" i="61"/>
  <c r="P702" i="61"/>
  <c r="Q702" i="61"/>
  <c r="R702" i="61"/>
  <c r="S702" i="61"/>
  <c r="T702" i="61"/>
  <c r="U702" i="61"/>
  <c r="V702" i="61"/>
  <c r="X702" i="61"/>
  <c r="P703" i="61"/>
  <c r="Q703" i="61"/>
  <c r="R703" i="61"/>
  <c r="S703" i="61"/>
  <c r="T703" i="61"/>
  <c r="U703" i="61"/>
  <c r="V703" i="61"/>
  <c r="X703" i="61"/>
  <c r="P704" i="61"/>
  <c r="Q704" i="61"/>
  <c r="R704" i="61"/>
  <c r="S704" i="61"/>
  <c r="T704" i="61"/>
  <c r="U704" i="61"/>
  <c r="V704" i="61"/>
  <c r="X704" i="61"/>
  <c r="P705" i="61"/>
  <c r="Q705" i="61"/>
  <c r="R705" i="61"/>
  <c r="S705" i="61"/>
  <c r="T705" i="61"/>
  <c r="U705" i="61"/>
  <c r="V705" i="61"/>
  <c r="X705" i="61"/>
  <c r="P706" i="61"/>
  <c r="Q706" i="61"/>
  <c r="R706" i="61"/>
  <c r="S706" i="61"/>
  <c r="T706" i="61"/>
  <c r="U706" i="61"/>
  <c r="V706" i="61"/>
  <c r="X706" i="61"/>
  <c r="P707" i="61"/>
  <c r="Q707" i="61"/>
  <c r="R707" i="61"/>
  <c r="S707" i="61"/>
  <c r="T707" i="61"/>
  <c r="U707" i="61"/>
  <c r="V707" i="61"/>
  <c r="X707" i="61"/>
  <c r="P708" i="61"/>
  <c r="Q708" i="61"/>
  <c r="R708" i="61"/>
  <c r="S708" i="61"/>
  <c r="T708" i="61"/>
  <c r="U708" i="61"/>
  <c r="V708" i="61"/>
  <c r="X708" i="61"/>
  <c r="P709" i="61"/>
  <c r="Q709" i="61"/>
  <c r="R709" i="61"/>
  <c r="S709" i="61"/>
  <c r="T709" i="61"/>
  <c r="U709" i="61"/>
  <c r="V709" i="61"/>
  <c r="X709" i="61"/>
  <c r="P710" i="61"/>
  <c r="Q710" i="61"/>
  <c r="R710" i="61"/>
  <c r="S710" i="61"/>
  <c r="T710" i="61"/>
  <c r="U710" i="61"/>
  <c r="V710" i="61"/>
  <c r="X710" i="61"/>
  <c r="P711" i="61"/>
  <c r="Q711" i="61"/>
  <c r="R711" i="61"/>
  <c r="S711" i="61"/>
  <c r="T711" i="61"/>
  <c r="U711" i="61"/>
  <c r="V711" i="61"/>
  <c r="X711" i="61"/>
  <c r="P712" i="61"/>
  <c r="Q712" i="61"/>
  <c r="R712" i="61"/>
  <c r="S712" i="61"/>
  <c r="T712" i="61"/>
  <c r="U712" i="61"/>
  <c r="V712" i="61"/>
  <c r="X712" i="61"/>
  <c r="P713" i="61"/>
  <c r="Q713" i="61"/>
  <c r="R713" i="61"/>
  <c r="S713" i="61"/>
  <c r="T713" i="61"/>
  <c r="U713" i="61"/>
  <c r="V713" i="61"/>
  <c r="X713" i="61"/>
  <c r="P714" i="61"/>
  <c r="Q714" i="61"/>
  <c r="R714" i="61"/>
  <c r="S714" i="61"/>
  <c r="T714" i="61"/>
  <c r="U714" i="61"/>
  <c r="V714" i="61"/>
  <c r="X714" i="61"/>
  <c r="P715" i="61"/>
  <c r="Q715" i="61"/>
  <c r="R715" i="61"/>
  <c r="S715" i="61"/>
  <c r="T715" i="61"/>
  <c r="U715" i="61"/>
  <c r="V715" i="61"/>
  <c r="X715" i="61"/>
  <c r="P716" i="61"/>
  <c r="Q716" i="61"/>
  <c r="R716" i="61"/>
  <c r="S716" i="61"/>
  <c r="T716" i="61"/>
  <c r="U716" i="61"/>
  <c r="V716" i="61"/>
  <c r="X716" i="61"/>
  <c r="P717" i="61"/>
  <c r="Q717" i="61"/>
  <c r="R717" i="61"/>
  <c r="S717" i="61"/>
  <c r="T717" i="61"/>
  <c r="U717" i="61"/>
  <c r="V717" i="61"/>
  <c r="X717" i="61"/>
  <c r="P718" i="61"/>
  <c r="Q718" i="61"/>
  <c r="R718" i="61"/>
  <c r="S718" i="61"/>
  <c r="T718" i="61"/>
  <c r="U718" i="61"/>
  <c r="V718" i="61"/>
  <c r="X718" i="61"/>
  <c r="P719" i="61"/>
  <c r="Q719" i="61"/>
  <c r="R719" i="61"/>
  <c r="S719" i="61"/>
  <c r="T719" i="61"/>
  <c r="U719" i="61"/>
  <c r="V719" i="61"/>
  <c r="X719" i="61"/>
  <c r="P720" i="61"/>
  <c r="Q720" i="61"/>
  <c r="R720" i="61"/>
  <c r="S720" i="61"/>
  <c r="T720" i="61"/>
  <c r="U720" i="61"/>
  <c r="V720" i="61"/>
  <c r="X720" i="61"/>
  <c r="P721" i="61"/>
  <c r="Q721" i="61"/>
  <c r="R721" i="61"/>
  <c r="S721" i="61"/>
  <c r="T721" i="61"/>
  <c r="U721" i="61"/>
  <c r="V721" i="61"/>
  <c r="X721" i="61"/>
  <c r="P722" i="61"/>
  <c r="Q722" i="61"/>
  <c r="R722" i="61"/>
  <c r="S722" i="61"/>
  <c r="T722" i="61"/>
  <c r="U722" i="61"/>
  <c r="V722" i="61"/>
  <c r="X722" i="61"/>
  <c r="P723" i="61"/>
  <c r="Q723" i="61"/>
  <c r="R723" i="61"/>
  <c r="S723" i="61"/>
  <c r="T723" i="61"/>
  <c r="U723" i="61"/>
  <c r="V723" i="61"/>
  <c r="X723" i="61"/>
  <c r="P724" i="61"/>
  <c r="Q724" i="61"/>
  <c r="R724" i="61"/>
  <c r="S724" i="61"/>
  <c r="T724" i="61"/>
  <c r="U724" i="61"/>
  <c r="V724" i="61"/>
  <c r="X724" i="61"/>
  <c r="P725" i="61"/>
  <c r="Q725" i="61"/>
  <c r="R725" i="61"/>
  <c r="S725" i="61"/>
  <c r="T725" i="61"/>
  <c r="U725" i="61"/>
  <c r="V725" i="61"/>
  <c r="X725" i="61"/>
  <c r="P726" i="61"/>
  <c r="Q726" i="61"/>
  <c r="R726" i="61"/>
  <c r="S726" i="61"/>
  <c r="T726" i="61"/>
  <c r="U726" i="61"/>
  <c r="V726" i="61"/>
  <c r="X726" i="61"/>
  <c r="P727" i="61"/>
  <c r="Q727" i="61"/>
  <c r="R727" i="61"/>
  <c r="S727" i="61"/>
  <c r="T727" i="61"/>
  <c r="U727" i="61"/>
  <c r="V727" i="61"/>
  <c r="X727" i="61"/>
  <c r="P728" i="61"/>
  <c r="Q728" i="61"/>
  <c r="R728" i="61"/>
  <c r="S728" i="61"/>
  <c r="T728" i="61"/>
  <c r="U728" i="61"/>
  <c r="V728" i="61"/>
  <c r="X728" i="61"/>
  <c r="P729" i="61"/>
  <c r="Q729" i="61"/>
  <c r="R729" i="61"/>
  <c r="S729" i="61"/>
  <c r="T729" i="61"/>
  <c r="U729" i="61"/>
  <c r="V729" i="61"/>
  <c r="X729" i="61"/>
  <c r="P730" i="61"/>
  <c r="Q730" i="61"/>
  <c r="R730" i="61"/>
  <c r="S730" i="61"/>
  <c r="T730" i="61"/>
  <c r="U730" i="61"/>
  <c r="V730" i="61"/>
  <c r="X730" i="61"/>
  <c r="P731" i="61"/>
  <c r="Q731" i="61"/>
  <c r="R731" i="61"/>
  <c r="S731" i="61"/>
  <c r="T731" i="61"/>
  <c r="U731" i="61"/>
  <c r="V731" i="61"/>
  <c r="X731" i="61"/>
  <c r="P732" i="61"/>
  <c r="Q732" i="61"/>
  <c r="R732" i="61"/>
  <c r="S732" i="61"/>
  <c r="T732" i="61"/>
  <c r="U732" i="61"/>
  <c r="V732" i="61"/>
  <c r="X732" i="61"/>
  <c r="P733" i="61"/>
  <c r="Q733" i="61"/>
  <c r="R733" i="61"/>
  <c r="S733" i="61"/>
  <c r="T733" i="61"/>
  <c r="U733" i="61"/>
  <c r="V733" i="61"/>
  <c r="X733" i="61"/>
  <c r="P734" i="61"/>
  <c r="Q734" i="61"/>
  <c r="R734" i="61"/>
  <c r="S734" i="61"/>
  <c r="T734" i="61"/>
  <c r="U734" i="61"/>
  <c r="V734" i="61"/>
  <c r="X734" i="61"/>
  <c r="P735" i="61"/>
  <c r="Q735" i="61"/>
  <c r="R735" i="61"/>
  <c r="S735" i="61"/>
  <c r="T735" i="61"/>
  <c r="U735" i="61"/>
  <c r="V735" i="61"/>
  <c r="X735" i="61"/>
  <c r="P736" i="61"/>
  <c r="Q736" i="61"/>
  <c r="R736" i="61"/>
  <c r="S736" i="61"/>
  <c r="T736" i="61"/>
  <c r="U736" i="61"/>
  <c r="V736" i="61"/>
  <c r="X736" i="61"/>
  <c r="P737" i="61"/>
  <c r="Q737" i="61"/>
  <c r="R737" i="61"/>
  <c r="S737" i="61"/>
  <c r="T737" i="61"/>
  <c r="U737" i="61"/>
  <c r="V737" i="61"/>
  <c r="X737" i="61"/>
  <c r="P738" i="61"/>
  <c r="Q738" i="61"/>
  <c r="R738" i="61"/>
  <c r="S738" i="61"/>
  <c r="T738" i="61"/>
  <c r="U738" i="61"/>
  <c r="V738" i="61"/>
  <c r="X738" i="61"/>
  <c r="P739" i="61"/>
  <c r="Q739" i="61"/>
  <c r="R739" i="61"/>
  <c r="S739" i="61"/>
  <c r="T739" i="61"/>
  <c r="U739" i="61"/>
  <c r="V739" i="61"/>
  <c r="X739" i="61"/>
  <c r="P740" i="61"/>
  <c r="Q740" i="61"/>
  <c r="R740" i="61"/>
  <c r="S740" i="61"/>
  <c r="T740" i="61"/>
  <c r="U740" i="61"/>
  <c r="V740" i="61"/>
  <c r="X740" i="61"/>
  <c r="P741" i="61"/>
  <c r="Q741" i="61"/>
  <c r="R741" i="61"/>
  <c r="S741" i="61"/>
  <c r="T741" i="61"/>
  <c r="U741" i="61"/>
  <c r="V741" i="61"/>
  <c r="X741" i="61"/>
  <c r="P742" i="61"/>
  <c r="Q742" i="61"/>
  <c r="R742" i="61"/>
  <c r="S742" i="61"/>
  <c r="T742" i="61"/>
  <c r="U742" i="61"/>
  <c r="V742" i="61"/>
  <c r="X742" i="61"/>
  <c r="P743" i="61"/>
  <c r="Q743" i="61"/>
  <c r="R743" i="61"/>
  <c r="S743" i="61"/>
  <c r="T743" i="61"/>
  <c r="U743" i="61"/>
  <c r="V743" i="61"/>
  <c r="X743" i="61"/>
  <c r="P744" i="61"/>
  <c r="Q744" i="61"/>
  <c r="R744" i="61"/>
  <c r="S744" i="61"/>
  <c r="T744" i="61"/>
  <c r="U744" i="61"/>
  <c r="V744" i="61"/>
  <c r="X744" i="61"/>
  <c r="P745" i="61"/>
  <c r="Q745" i="61"/>
  <c r="R745" i="61"/>
  <c r="S745" i="61"/>
  <c r="T745" i="61"/>
  <c r="U745" i="61"/>
  <c r="V745" i="61"/>
  <c r="X745" i="61"/>
  <c r="P746" i="61"/>
  <c r="Q746" i="61"/>
  <c r="R746" i="61"/>
  <c r="S746" i="61"/>
  <c r="T746" i="61"/>
  <c r="U746" i="61"/>
  <c r="V746" i="61"/>
  <c r="X746" i="61"/>
  <c r="P747" i="61"/>
  <c r="Q747" i="61"/>
  <c r="R747" i="61"/>
  <c r="S747" i="61"/>
  <c r="T747" i="61"/>
  <c r="U747" i="61"/>
  <c r="V747" i="61"/>
  <c r="X747" i="61"/>
  <c r="P748" i="61"/>
  <c r="Q748" i="61"/>
  <c r="R748" i="61"/>
  <c r="S748" i="61"/>
  <c r="T748" i="61"/>
  <c r="U748" i="61"/>
  <c r="V748" i="61"/>
  <c r="X748" i="61"/>
  <c r="P749" i="61"/>
  <c r="Q749" i="61"/>
  <c r="R749" i="61"/>
  <c r="S749" i="61"/>
  <c r="T749" i="61"/>
  <c r="U749" i="61"/>
  <c r="V749" i="61"/>
  <c r="X749" i="61"/>
  <c r="P750" i="61"/>
  <c r="Q750" i="61"/>
  <c r="R750" i="61"/>
  <c r="S750" i="61"/>
  <c r="T750" i="61"/>
  <c r="U750" i="61"/>
  <c r="V750" i="61"/>
  <c r="X750" i="61"/>
  <c r="P751" i="61"/>
  <c r="Q751" i="61"/>
  <c r="R751" i="61"/>
  <c r="S751" i="61"/>
  <c r="T751" i="61"/>
  <c r="U751" i="61"/>
  <c r="V751" i="61"/>
  <c r="X751" i="61"/>
  <c r="P752" i="61"/>
  <c r="Q752" i="61"/>
  <c r="R752" i="61"/>
  <c r="S752" i="61"/>
  <c r="T752" i="61"/>
  <c r="U752" i="61"/>
  <c r="V752" i="61"/>
  <c r="X752" i="61"/>
  <c r="P753" i="61"/>
  <c r="Q753" i="61"/>
  <c r="R753" i="61"/>
  <c r="S753" i="61"/>
  <c r="T753" i="61"/>
  <c r="U753" i="61"/>
  <c r="V753" i="61"/>
  <c r="X753" i="61"/>
  <c r="P754" i="61"/>
  <c r="Q754" i="61"/>
  <c r="R754" i="61"/>
  <c r="S754" i="61"/>
  <c r="T754" i="61"/>
  <c r="U754" i="61"/>
  <c r="V754" i="61"/>
  <c r="X754" i="61"/>
  <c r="P755" i="61"/>
  <c r="Q755" i="61"/>
  <c r="R755" i="61"/>
  <c r="S755" i="61"/>
  <c r="T755" i="61"/>
  <c r="U755" i="61"/>
  <c r="V755" i="61"/>
  <c r="X755" i="61"/>
  <c r="P756" i="61"/>
  <c r="Q756" i="61"/>
  <c r="R756" i="61"/>
  <c r="S756" i="61"/>
  <c r="T756" i="61"/>
  <c r="U756" i="61"/>
  <c r="V756" i="61"/>
  <c r="X756" i="61"/>
  <c r="P757" i="61"/>
  <c r="R757" i="61"/>
  <c r="S757" i="61"/>
  <c r="T757" i="61"/>
  <c r="U757" i="61"/>
  <c r="V757" i="61"/>
  <c r="X757" i="61"/>
  <c r="P758" i="61"/>
  <c r="Q758" i="61"/>
  <c r="R758" i="61"/>
  <c r="S758" i="61"/>
  <c r="T758" i="61"/>
  <c r="U758" i="61"/>
  <c r="V758" i="61"/>
  <c r="X758" i="61"/>
  <c r="P759" i="61"/>
  <c r="Q759" i="61"/>
  <c r="R759" i="61"/>
  <c r="S759" i="61"/>
  <c r="T759" i="61"/>
  <c r="U759" i="61"/>
  <c r="V759" i="61"/>
  <c r="X759" i="61"/>
  <c r="P760" i="61"/>
  <c r="Q760" i="61"/>
  <c r="R760" i="61"/>
  <c r="S760" i="61"/>
  <c r="T760" i="61"/>
  <c r="U760" i="61"/>
  <c r="V760" i="61"/>
  <c r="X760" i="61"/>
  <c r="P761" i="61"/>
  <c r="Q761" i="61"/>
  <c r="R761" i="61"/>
  <c r="S761" i="61"/>
  <c r="T761" i="61"/>
  <c r="U761" i="61"/>
  <c r="V761" i="61"/>
  <c r="X761" i="61"/>
  <c r="P762" i="61"/>
  <c r="Q762" i="61"/>
  <c r="R762" i="61"/>
  <c r="S762" i="61"/>
  <c r="T762" i="61"/>
  <c r="U762" i="61"/>
  <c r="V762" i="61"/>
  <c r="X762" i="61"/>
  <c r="P763" i="61"/>
  <c r="Q763" i="61"/>
  <c r="R763" i="61"/>
  <c r="S763" i="61"/>
  <c r="T763" i="61"/>
  <c r="U763" i="61"/>
  <c r="V763" i="61"/>
  <c r="X763" i="61"/>
  <c r="P764" i="61"/>
  <c r="Q764" i="61"/>
  <c r="R764" i="61"/>
  <c r="S764" i="61"/>
  <c r="T764" i="61"/>
  <c r="U764" i="61"/>
  <c r="V764" i="61"/>
  <c r="X764" i="61"/>
  <c r="P765" i="61"/>
  <c r="Q765" i="61"/>
  <c r="R765" i="61"/>
  <c r="S765" i="61"/>
  <c r="T765" i="61"/>
  <c r="U765" i="61"/>
  <c r="V765" i="61"/>
  <c r="X765" i="61"/>
  <c r="P766" i="61"/>
  <c r="Q766" i="61"/>
  <c r="R766" i="61"/>
  <c r="S766" i="61"/>
  <c r="T766" i="61"/>
  <c r="U766" i="61"/>
  <c r="V766" i="61"/>
  <c r="X766" i="61"/>
  <c r="P767" i="61"/>
  <c r="Q767" i="61"/>
  <c r="R767" i="61"/>
  <c r="S767" i="61"/>
  <c r="T767" i="61"/>
  <c r="U767" i="61"/>
  <c r="V767" i="61"/>
  <c r="X767" i="61"/>
  <c r="P768" i="61"/>
  <c r="Q768" i="61"/>
  <c r="R768" i="61"/>
  <c r="S768" i="61"/>
  <c r="T768" i="61"/>
  <c r="U768" i="61"/>
  <c r="V768" i="61"/>
  <c r="X768" i="61"/>
  <c r="P769" i="61"/>
  <c r="Q769" i="61"/>
  <c r="R769" i="61"/>
  <c r="S769" i="61"/>
  <c r="T769" i="61"/>
  <c r="U769" i="61"/>
  <c r="V769" i="61"/>
  <c r="X769" i="61"/>
  <c r="P770" i="61"/>
  <c r="Q770" i="61"/>
  <c r="R770" i="61"/>
  <c r="S770" i="61"/>
  <c r="T770" i="61"/>
  <c r="U770" i="61"/>
  <c r="V770" i="61"/>
  <c r="X770" i="61"/>
  <c r="P771" i="61"/>
  <c r="Q771" i="61"/>
  <c r="R771" i="61"/>
  <c r="S771" i="61"/>
  <c r="T771" i="61"/>
  <c r="U771" i="61"/>
  <c r="V771" i="61"/>
  <c r="X771" i="61"/>
  <c r="P772" i="61"/>
  <c r="Q772" i="61"/>
  <c r="R772" i="61"/>
  <c r="S772" i="61"/>
  <c r="T772" i="61"/>
  <c r="U772" i="61"/>
  <c r="V772" i="61"/>
  <c r="X772" i="61"/>
  <c r="P773" i="61"/>
  <c r="Q773" i="61"/>
  <c r="R773" i="61"/>
  <c r="S773" i="61"/>
  <c r="T773" i="61"/>
  <c r="U773" i="61"/>
  <c r="V773" i="61"/>
  <c r="X773" i="61"/>
  <c r="P774" i="61"/>
  <c r="Q774" i="61"/>
  <c r="R774" i="61"/>
  <c r="S774" i="61"/>
  <c r="T774" i="61"/>
  <c r="U774" i="61"/>
  <c r="V774" i="61"/>
  <c r="X774" i="61"/>
  <c r="P775" i="61"/>
  <c r="Q775" i="61"/>
  <c r="R775" i="61"/>
  <c r="S775" i="61"/>
  <c r="T775" i="61"/>
  <c r="U775" i="61"/>
  <c r="V775" i="61"/>
  <c r="X775" i="61"/>
  <c r="P776" i="61"/>
  <c r="Q776" i="61"/>
  <c r="R776" i="61"/>
  <c r="S776" i="61"/>
  <c r="T776" i="61"/>
  <c r="U776" i="61"/>
  <c r="V776" i="61"/>
  <c r="X776" i="61"/>
  <c r="P777" i="61"/>
  <c r="Q777" i="61"/>
  <c r="R777" i="61"/>
  <c r="S777" i="61"/>
  <c r="T777" i="61"/>
  <c r="U777" i="61"/>
  <c r="V777" i="61"/>
  <c r="X777" i="61"/>
  <c r="P778" i="61"/>
  <c r="Q778" i="61"/>
  <c r="R778" i="61"/>
  <c r="S778" i="61"/>
  <c r="T778" i="61"/>
  <c r="U778" i="61"/>
  <c r="V778" i="61"/>
  <c r="X778" i="61"/>
  <c r="P779" i="61"/>
  <c r="Q779" i="61"/>
  <c r="R779" i="61"/>
  <c r="S779" i="61"/>
  <c r="T779" i="61"/>
  <c r="U779" i="61"/>
  <c r="V779" i="61"/>
  <c r="X779" i="61"/>
  <c r="P780" i="61"/>
  <c r="Q780" i="61"/>
  <c r="R780" i="61"/>
  <c r="S780" i="61"/>
  <c r="T780" i="61"/>
  <c r="U780" i="61"/>
  <c r="V780" i="61"/>
  <c r="X780" i="61"/>
  <c r="P781" i="61"/>
  <c r="Q781" i="61"/>
  <c r="R781" i="61"/>
  <c r="S781" i="61"/>
  <c r="T781" i="61"/>
  <c r="U781" i="61"/>
  <c r="V781" i="61"/>
  <c r="X781" i="61"/>
  <c r="P782" i="61"/>
  <c r="Q782" i="61"/>
  <c r="R782" i="61"/>
  <c r="S782" i="61"/>
  <c r="T782" i="61"/>
  <c r="U782" i="61"/>
  <c r="V782" i="61"/>
  <c r="X782" i="61"/>
  <c r="P783" i="61"/>
  <c r="Q783" i="61"/>
  <c r="R783" i="61"/>
  <c r="S783" i="61"/>
  <c r="T783" i="61"/>
  <c r="U783" i="61"/>
  <c r="V783" i="61"/>
  <c r="X783" i="61"/>
  <c r="P784" i="61"/>
  <c r="Q784" i="61"/>
  <c r="R784" i="61"/>
  <c r="S784" i="61"/>
  <c r="T784" i="61"/>
  <c r="U784" i="61"/>
  <c r="V784" i="61"/>
  <c r="X784" i="61"/>
  <c r="P785" i="61"/>
  <c r="Q785" i="61"/>
  <c r="R785" i="61"/>
  <c r="S785" i="61"/>
  <c r="T785" i="61"/>
  <c r="U785" i="61"/>
  <c r="V785" i="61"/>
  <c r="X785" i="61"/>
  <c r="P786" i="61"/>
  <c r="Q786" i="61"/>
  <c r="R786" i="61"/>
  <c r="S786" i="61"/>
  <c r="T786" i="61"/>
  <c r="U786" i="61"/>
  <c r="V786" i="61"/>
  <c r="X786" i="61"/>
  <c r="P787" i="61"/>
  <c r="Q787" i="61"/>
  <c r="R787" i="61"/>
  <c r="S787" i="61"/>
  <c r="T787" i="61"/>
  <c r="U787" i="61"/>
  <c r="V787" i="61"/>
  <c r="X787" i="61"/>
  <c r="P788" i="61"/>
  <c r="Q788" i="61"/>
  <c r="R788" i="61"/>
  <c r="S788" i="61"/>
  <c r="T788" i="61"/>
  <c r="U788" i="61"/>
  <c r="V788" i="61"/>
  <c r="X788" i="61"/>
  <c r="P789" i="61"/>
  <c r="Q789" i="61"/>
  <c r="R789" i="61"/>
  <c r="S789" i="61"/>
  <c r="T789" i="61"/>
  <c r="U789" i="61"/>
  <c r="V789" i="61"/>
  <c r="X789" i="61"/>
  <c r="P790" i="61"/>
  <c r="Q790" i="61"/>
  <c r="R790" i="61"/>
  <c r="S790" i="61"/>
  <c r="T790" i="61"/>
  <c r="U790" i="61"/>
  <c r="V790" i="61"/>
  <c r="X790" i="61"/>
  <c r="P791" i="61"/>
  <c r="Q791" i="61"/>
  <c r="R791" i="61"/>
  <c r="S791" i="61"/>
  <c r="T791" i="61"/>
  <c r="U791" i="61"/>
  <c r="V791" i="61"/>
  <c r="X791" i="61"/>
  <c r="P792" i="61"/>
  <c r="Q792" i="61"/>
  <c r="R792" i="61"/>
  <c r="S792" i="61"/>
  <c r="T792" i="61"/>
  <c r="U792" i="61"/>
  <c r="V792" i="61"/>
  <c r="X792" i="61"/>
  <c r="P793" i="61"/>
  <c r="Q793" i="61"/>
  <c r="R793" i="61"/>
  <c r="S793" i="61"/>
  <c r="T793" i="61"/>
  <c r="U793" i="61"/>
  <c r="V793" i="61"/>
  <c r="X793" i="61"/>
  <c r="P794" i="61"/>
  <c r="Q794" i="61"/>
  <c r="R794" i="61"/>
  <c r="S794" i="61"/>
  <c r="T794" i="61"/>
  <c r="U794" i="61"/>
  <c r="V794" i="61"/>
  <c r="X794" i="61"/>
  <c r="P795" i="61"/>
  <c r="Q795" i="61"/>
  <c r="R795" i="61"/>
  <c r="S795" i="61"/>
  <c r="T795" i="61"/>
  <c r="U795" i="61"/>
  <c r="V795" i="61"/>
  <c r="X795" i="61"/>
  <c r="P796" i="61"/>
  <c r="Q796" i="61"/>
  <c r="R796" i="61"/>
  <c r="S796" i="61"/>
  <c r="T796" i="61"/>
  <c r="U796" i="61"/>
  <c r="V796" i="61"/>
  <c r="X796" i="61"/>
  <c r="P797" i="61"/>
  <c r="Q797" i="61"/>
  <c r="R797" i="61"/>
  <c r="S797" i="61"/>
  <c r="T797" i="61"/>
  <c r="U797" i="61"/>
  <c r="V797" i="61"/>
  <c r="X797" i="61"/>
  <c r="P798" i="61"/>
  <c r="Q798" i="61"/>
  <c r="R798" i="61"/>
  <c r="S798" i="61"/>
  <c r="T798" i="61"/>
  <c r="U798" i="61"/>
  <c r="V798" i="61"/>
  <c r="X798" i="61"/>
  <c r="P799" i="61"/>
  <c r="Q799" i="61"/>
  <c r="R799" i="61"/>
  <c r="S799" i="61"/>
  <c r="T799" i="61"/>
  <c r="U799" i="61"/>
  <c r="V799" i="61"/>
  <c r="X799" i="61"/>
  <c r="P800" i="61"/>
  <c r="Q800" i="61"/>
  <c r="R800" i="61"/>
  <c r="S800" i="61"/>
  <c r="T800" i="61"/>
  <c r="U800" i="61"/>
  <c r="V800" i="61"/>
  <c r="X800" i="61"/>
  <c r="P801" i="61"/>
  <c r="Q801" i="61"/>
  <c r="R801" i="61"/>
  <c r="S801" i="61"/>
  <c r="T801" i="61"/>
  <c r="U801" i="61"/>
  <c r="V801" i="61"/>
  <c r="X801" i="61"/>
  <c r="P802" i="61"/>
  <c r="Q802" i="61"/>
  <c r="R802" i="61"/>
  <c r="S802" i="61"/>
  <c r="T802" i="61"/>
  <c r="U802" i="61"/>
  <c r="V802" i="61"/>
  <c r="X802" i="61"/>
  <c r="P803" i="61"/>
  <c r="Q803" i="61"/>
  <c r="R803" i="61"/>
  <c r="S803" i="61"/>
  <c r="T803" i="61"/>
  <c r="U803" i="61"/>
  <c r="V803" i="61"/>
  <c r="X803" i="61"/>
  <c r="P804" i="61"/>
  <c r="Q804" i="61"/>
  <c r="R804" i="61"/>
  <c r="S804" i="61"/>
  <c r="T804" i="61"/>
  <c r="U804" i="61"/>
  <c r="V804" i="61"/>
  <c r="X804" i="61"/>
  <c r="P805" i="61"/>
  <c r="Q805" i="61"/>
  <c r="R805" i="61"/>
  <c r="S805" i="61"/>
  <c r="T805" i="61"/>
  <c r="U805" i="61"/>
  <c r="V805" i="61"/>
  <c r="X805" i="61"/>
  <c r="P806" i="61"/>
  <c r="Q806" i="61"/>
  <c r="R806" i="61"/>
  <c r="S806" i="61"/>
  <c r="T806" i="61"/>
  <c r="U806" i="61"/>
  <c r="V806" i="61"/>
  <c r="X806" i="61"/>
  <c r="P807" i="61"/>
  <c r="Q807" i="61"/>
  <c r="R807" i="61"/>
  <c r="S807" i="61"/>
  <c r="T807" i="61"/>
  <c r="U807" i="61"/>
  <c r="V807" i="61"/>
  <c r="X807" i="61"/>
  <c r="P808" i="61"/>
  <c r="Q808" i="61"/>
  <c r="R808" i="61"/>
  <c r="S808" i="61"/>
  <c r="T808" i="61"/>
  <c r="U808" i="61"/>
  <c r="V808" i="61"/>
  <c r="X808" i="61"/>
  <c r="P809" i="61"/>
  <c r="Q809" i="61"/>
  <c r="R809" i="61"/>
  <c r="S809" i="61"/>
  <c r="T809" i="61"/>
  <c r="U809" i="61"/>
  <c r="V809" i="61"/>
  <c r="X809" i="61"/>
  <c r="P810" i="61"/>
  <c r="Q810" i="61"/>
  <c r="R810" i="61"/>
  <c r="S810" i="61"/>
  <c r="T810" i="61"/>
  <c r="U810" i="61"/>
  <c r="V810" i="61"/>
  <c r="X810" i="61"/>
  <c r="P811" i="61"/>
  <c r="Q811" i="61"/>
  <c r="R811" i="61"/>
  <c r="S811" i="61"/>
  <c r="T811" i="61"/>
  <c r="U811" i="61"/>
  <c r="V811" i="61"/>
  <c r="X811" i="61"/>
  <c r="P812" i="61"/>
  <c r="Q812" i="61"/>
  <c r="R812" i="61"/>
  <c r="S812" i="61"/>
  <c r="T812" i="61"/>
  <c r="U812" i="61"/>
  <c r="V812" i="61"/>
  <c r="X812" i="61"/>
  <c r="P813" i="61"/>
  <c r="Q813" i="61"/>
  <c r="R813" i="61"/>
  <c r="S813" i="61"/>
  <c r="T813" i="61"/>
  <c r="U813" i="61"/>
  <c r="V813" i="61"/>
  <c r="X813" i="61"/>
  <c r="P814" i="61"/>
  <c r="Q814" i="61"/>
  <c r="R814" i="61"/>
  <c r="S814" i="61"/>
  <c r="T814" i="61"/>
  <c r="U814" i="61"/>
  <c r="V814" i="61"/>
  <c r="X814" i="61"/>
  <c r="P815" i="61"/>
  <c r="Q815" i="61"/>
  <c r="R815" i="61"/>
  <c r="S815" i="61"/>
  <c r="T815" i="61"/>
  <c r="U815" i="61"/>
  <c r="V815" i="61"/>
  <c r="X815" i="61"/>
  <c r="P816" i="61"/>
  <c r="Q816" i="61"/>
  <c r="R816" i="61"/>
  <c r="S816" i="61"/>
  <c r="T816" i="61"/>
  <c r="U816" i="61"/>
  <c r="V816" i="61"/>
  <c r="X816" i="61"/>
  <c r="P817" i="61"/>
  <c r="Q817" i="61"/>
  <c r="R817" i="61"/>
  <c r="S817" i="61"/>
  <c r="T817" i="61"/>
  <c r="U817" i="61"/>
  <c r="V817" i="61"/>
  <c r="X817" i="61"/>
  <c r="P818" i="61"/>
  <c r="Q818" i="61"/>
  <c r="R818" i="61"/>
  <c r="S818" i="61"/>
  <c r="T818" i="61"/>
  <c r="U818" i="61"/>
  <c r="V818" i="61"/>
  <c r="X818" i="61"/>
  <c r="P819" i="61"/>
  <c r="Q819" i="61"/>
  <c r="R819" i="61"/>
  <c r="S819" i="61"/>
  <c r="T819" i="61"/>
  <c r="U819" i="61"/>
  <c r="V819" i="61"/>
  <c r="X819" i="61"/>
  <c r="P820" i="61"/>
  <c r="Q820" i="61"/>
  <c r="R820" i="61"/>
  <c r="S820" i="61"/>
  <c r="T820" i="61"/>
  <c r="U820" i="61"/>
  <c r="V820" i="61"/>
  <c r="X820" i="61"/>
  <c r="P821" i="61"/>
  <c r="Q821" i="61"/>
  <c r="R821" i="61"/>
  <c r="S821" i="61"/>
  <c r="T821" i="61"/>
  <c r="U821" i="61"/>
  <c r="V821" i="61"/>
  <c r="X821" i="61"/>
  <c r="P822" i="61"/>
  <c r="Q822" i="61"/>
  <c r="R822" i="61"/>
  <c r="S822" i="61"/>
  <c r="T822" i="61"/>
  <c r="U822" i="61"/>
  <c r="V822" i="61"/>
  <c r="X822" i="61"/>
  <c r="P823" i="61"/>
  <c r="Q823" i="61"/>
  <c r="R823" i="61"/>
  <c r="S823" i="61"/>
  <c r="T823" i="61"/>
  <c r="U823" i="61"/>
  <c r="V823" i="61"/>
  <c r="X823" i="61"/>
  <c r="P824" i="61"/>
  <c r="Q824" i="61"/>
  <c r="R824" i="61"/>
  <c r="S824" i="61"/>
  <c r="T824" i="61"/>
  <c r="U824" i="61"/>
  <c r="V824" i="61"/>
  <c r="X824" i="61"/>
  <c r="P825" i="61"/>
  <c r="Q825" i="61"/>
  <c r="R825" i="61"/>
  <c r="S825" i="61"/>
  <c r="T825" i="61"/>
  <c r="U825" i="61"/>
  <c r="V825" i="61"/>
  <c r="X825" i="61"/>
  <c r="P826" i="61"/>
  <c r="R826" i="61"/>
  <c r="S826" i="61"/>
  <c r="T826" i="61"/>
  <c r="U826" i="61"/>
  <c r="X826" i="61"/>
  <c r="P827" i="61"/>
  <c r="Q827" i="61"/>
  <c r="R827" i="61"/>
  <c r="S827" i="61"/>
  <c r="T827" i="61"/>
  <c r="U827" i="61"/>
  <c r="V827" i="61"/>
  <c r="X827" i="61"/>
  <c r="P828" i="61"/>
  <c r="Q828" i="61"/>
  <c r="R828" i="61"/>
  <c r="S828" i="61"/>
  <c r="T828" i="61"/>
  <c r="U828" i="61"/>
  <c r="V828" i="61"/>
  <c r="X828" i="61"/>
  <c r="P829" i="61"/>
  <c r="Q829" i="61"/>
  <c r="R829" i="61"/>
  <c r="S829" i="61"/>
  <c r="T829" i="61"/>
  <c r="U829" i="61"/>
  <c r="V829" i="61"/>
  <c r="X829" i="61"/>
  <c r="P830" i="61"/>
  <c r="Q830" i="61"/>
  <c r="R830" i="61"/>
  <c r="S830" i="61"/>
  <c r="T830" i="61"/>
  <c r="U830" i="61"/>
  <c r="V830" i="61"/>
  <c r="X830" i="61"/>
  <c r="P831" i="61"/>
  <c r="Q831" i="61"/>
  <c r="R831" i="61"/>
  <c r="S831" i="61"/>
  <c r="T831" i="61"/>
  <c r="U831" i="61"/>
  <c r="V831" i="61"/>
  <c r="X831" i="61"/>
  <c r="P832" i="61"/>
  <c r="Q832" i="61"/>
  <c r="R832" i="61"/>
  <c r="S832" i="61"/>
  <c r="T832" i="61"/>
  <c r="U832" i="61"/>
  <c r="V832" i="61"/>
  <c r="X832" i="61"/>
  <c r="P833" i="61"/>
  <c r="Q833" i="61"/>
  <c r="R833" i="61"/>
  <c r="S833" i="61"/>
  <c r="T833" i="61"/>
  <c r="U833" i="61"/>
  <c r="V833" i="61"/>
  <c r="X833" i="61"/>
  <c r="P834" i="61"/>
  <c r="Q834" i="61"/>
  <c r="R834" i="61"/>
  <c r="S834" i="61"/>
  <c r="T834" i="61"/>
  <c r="U834" i="61"/>
  <c r="V834" i="61"/>
  <c r="X834" i="61"/>
  <c r="P835" i="61"/>
  <c r="Q835" i="61"/>
  <c r="R835" i="61"/>
  <c r="S835" i="61"/>
  <c r="T835" i="61"/>
  <c r="U835" i="61"/>
  <c r="V835" i="61"/>
  <c r="X835" i="61"/>
  <c r="P836" i="61"/>
  <c r="Q836" i="61"/>
  <c r="R836" i="61"/>
  <c r="S836" i="61"/>
  <c r="T836" i="61"/>
  <c r="U836" i="61"/>
  <c r="V836" i="61"/>
  <c r="X836" i="61"/>
  <c r="P837" i="61"/>
  <c r="Q837" i="61"/>
  <c r="R837" i="61"/>
  <c r="S837" i="61"/>
  <c r="T837" i="61"/>
  <c r="U837" i="61"/>
  <c r="V837" i="61"/>
  <c r="X837" i="61"/>
  <c r="P838" i="61"/>
  <c r="Q838" i="61"/>
  <c r="R838" i="61"/>
  <c r="S838" i="61"/>
  <c r="T838" i="61"/>
  <c r="U838" i="61"/>
  <c r="V838" i="61"/>
  <c r="X838" i="61"/>
  <c r="P839" i="61"/>
  <c r="Q839" i="61"/>
  <c r="R839" i="61"/>
  <c r="S839" i="61"/>
  <c r="T839" i="61"/>
  <c r="U839" i="61"/>
  <c r="V839" i="61"/>
  <c r="X839" i="61"/>
  <c r="P840" i="61"/>
  <c r="Q840" i="61"/>
  <c r="R840" i="61"/>
  <c r="S840" i="61"/>
  <c r="T840" i="61"/>
  <c r="U840" i="61"/>
  <c r="V840" i="61"/>
  <c r="X840" i="61"/>
  <c r="P841" i="61"/>
  <c r="Q841" i="61"/>
  <c r="R841" i="61"/>
  <c r="S841" i="61"/>
  <c r="T841" i="61"/>
  <c r="U841" i="61"/>
  <c r="V841" i="61"/>
  <c r="X841" i="61"/>
  <c r="P842" i="61"/>
  <c r="Q842" i="61"/>
  <c r="R842" i="61"/>
  <c r="S842" i="61"/>
  <c r="T842" i="61"/>
  <c r="U842" i="61"/>
  <c r="V842" i="61"/>
  <c r="X842" i="61"/>
  <c r="P843" i="61"/>
  <c r="Q843" i="61"/>
  <c r="R843" i="61"/>
  <c r="S843" i="61"/>
  <c r="T843" i="61"/>
  <c r="U843" i="61"/>
  <c r="V843" i="61"/>
  <c r="X843" i="61"/>
  <c r="P844" i="61"/>
  <c r="Q844" i="61"/>
  <c r="R844" i="61"/>
  <c r="S844" i="61"/>
  <c r="T844" i="61"/>
  <c r="U844" i="61"/>
  <c r="V844" i="61"/>
  <c r="X844" i="61"/>
  <c r="P845" i="61"/>
  <c r="Q845" i="61"/>
  <c r="R845" i="61"/>
  <c r="S845" i="61"/>
  <c r="T845" i="61"/>
  <c r="U845" i="61"/>
  <c r="V845" i="61"/>
  <c r="X845" i="61"/>
  <c r="P846" i="61"/>
  <c r="Q846" i="61"/>
  <c r="R846" i="61"/>
  <c r="S846" i="61"/>
  <c r="T846" i="61"/>
  <c r="U846" i="61"/>
  <c r="V846" i="61"/>
  <c r="X846" i="61"/>
  <c r="P847" i="61"/>
  <c r="Q847" i="61"/>
  <c r="R847" i="61"/>
  <c r="S847" i="61"/>
  <c r="T847" i="61"/>
  <c r="U847" i="61"/>
  <c r="V847" i="61"/>
  <c r="X847" i="61"/>
  <c r="P848" i="61"/>
  <c r="Q848" i="61"/>
  <c r="R848" i="61"/>
  <c r="S848" i="61"/>
  <c r="T848" i="61"/>
  <c r="U848" i="61"/>
  <c r="V848" i="61"/>
  <c r="X848" i="61"/>
  <c r="P849" i="61"/>
  <c r="Q849" i="61"/>
  <c r="R849" i="61"/>
  <c r="S849" i="61"/>
  <c r="T849" i="61"/>
  <c r="U849" i="61"/>
  <c r="V849" i="61"/>
  <c r="X849" i="61"/>
  <c r="P850" i="61"/>
  <c r="Q850" i="61"/>
  <c r="R850" i="61"/>
  <c r="S850" i="61"/>
  <c r="T850" i="61"/>
  <c r="U850" i="61"/>
  <c r="V850" i="61"/>
  <c r="X850" i="61"/>
  <c r="P851" i="61"/>
  <c r="Q851" i="61"/>
  <c r="R851" i="61"/>
  <c r="S851" i="61"/>
  <c r="T851" i="61"/>
  <c r="U851" i="61"/>
  <c r="V851" i="61"/>
  <c r="X851" i="61"/>
  <c r="P852" i="61"/>
  <c r="Q852" i="61"/>
  <c r="R852" i="61"/>
  <c r="S852" i="61"/>
  <c r="T852" i="61"/>
  <c r="U852" i="61"/>
  <c r="V852" i="61"/>
  <c r="X852" i="61"/>
  <c r="P853" i="61"/>
  <c r="Q853" i="61"/>
  <c r="R853" i="61"/>
  <c r="S853" i="61"/>
  <c r="T853" i="61"/>
  <c r="U853" i="61"/>
  <c r="V853" i="61"/>
  <c r="X853" i="61"/>
  <c r="P854" i="61"/>
  <c r="Q854" i="61"/>
  <c r="R854" i="61"/>
  <c r="S854" i="61"/>
  <c r="T854" i="61"/>
  <c r="U854" i="61"/>
  <c r="V854" i="61"/>
  <c r="X854" i="61"/>
  <c r="P855" i="61"/>
  <c r="Q855" i="61"/>
  <c r="R855" i="61"/>
  <c r="S855" i="61"/>
  <c r="T855" i="61"/>
  <c r="U855" i="61"/>
  <c r="V855" i="61"/>
  <c r="X855" i="61"/>
  <c r="P856" i="61"/>
  <c r="Q856" i="61"/>
  <c r="R856" i="61"/>
  <c r="S856" i="61"/>
  <c r="T856" i="61"/>
  <c r="U856" i="61"/>
  <c r="V856" i="61"/>
  <c r="X856" i="61"/>
  <c r="P857" i="61"/>
  <c r="Q857" i="61"/>
  <c r="R857" i="61"/>
  <c r="S857" i="61"/>
  <c r="T857" i="61"/>
  <c r="U857" i="61"/>
  <c r="V857" i="61"/>
  <c r="X857" i="61"/>
  <c r="P858" i="61"/>
  <c r="Q858" i="61"/>
  <c r="R858" i="61"/>
  <c r="S858" i="61"/>
  <c r="T858" i="61"/>
  <c r="U858" i="61"/>
  <c r="V858" i="61"/>
  <c r="X858" i="61"/>
  <c r="P859" i="61"/>
  <c r="Q859" i="61"/>
  <c r="R859" i="61"/>
  <c r="S859" i="61"/>
  <c r="T859" i="61"/>
  <c r="U859" i="61"/>
  <c r="V859" i="61"/>
  <c r="X859" i="61"/>
  <c r="P860" i="61"/>
  <c r="Q860" i="61"/>
  <c r="R860" i="61"/>
  <c r="S860" i="61"/>
  <c r="T860" i="61"/>
  <c r="U860" i="61"/>
  <c r="V860" i="61"/>
  <c r="X860" i="61"/>
  <c r="P861" i="61"/>
  <c r="Q861" i="61"/>
  <c r="R861" i="61"/>
  <c r="S861" i="61"/>
  <c r="T861" i="61"/>
  <c r="U861" i="61"/>
  <c r="V861" i="61"/>
  <c r="X861" i="61"/>
  <c r="P862" i="61"/>
  <c r="Q862" i="61"/>
  <c r="R862" i="61"/>
  <c r="S862" i="61"/>
  <c r="T862" i="61"/>
  <c r="U862" i="61"/>
  <c r="V862" i="61"/>
  <c r="X862" i="61"/>
  <c r="P863" i="61"/>
  <c r="Q863" i="61"/>
  <c r="R863" i="61"/>
  <c r="S863" i="61"/>
  <c r="T863" i="61"/>
  <c r="U863" i="61"/>
  <c r="V863" i="61"/>
  <c r="X863" i="61"/>
  <c r="P864" i="61"/>
  <c r="Q864" i="61"/>
  <c r="R864" i="61"/>
  <c r="S864" i="61"/>
  <c r="T864" i="61"/>
  <c r="U864" i="61"/>
  <c r="V864" i="61"/>
  <c r="X864" i="61"/>
  <c r="P865" i="61"/>
  <c r="Q865" i="61"/>
  <c r="R865" i="61"/>
  <c r="S865" i="61"/>
  <c r="T865" i="61"/>
  <c r="U865" i="61"/>
  <c r="V865" i="61"/>
  <c r="X865" i="61"/>
  <c r="P866" i="61"/>
  <c r="Q866" i="61"/>
  <c r="R866" i="61"/>
  <c r="S866" i="61"/>
  <c r="T866" i="61"/>
  <c r="U866" i="61"/>
  <c r="V866" i="61"/>
  <c r="X866" i="61"/>
  <c r="P867" i="61"/>
  <c r="Q867" i="61"/>
  <c r="R867" i="61"/>
  <c r="S867" i="61"/>
  <c r="T867" i="61"/>
  <c r="U867" i="61"/>
  <c r="V867" i="61"/>
  <c r="X867" i="61"/>
  <c r="P868" i="61"/>
  <c r="Q868" i="61"/>
  <c r="R868" i="61"/>
  <c r="S868" i="61"/>
  <c r="T868" i="61"/>
  <c r="U868" i="61"/>
  <c r="V868" i="61"/>
  <c r="X868" i="61"/>
  <c r="P869" i="61"/>
  <c r="Q869" i="61"/>
  <c r="R869" i="61"/>
  <c r="S869" i="61"/>
  <c r="T869" i="61"/>
  <c r="U869" i="61"/>
  <c r="V869" i="61"/>
  <c r="X869" i="61"/>
  <c r="P870" i="61"/>
  <c r="S870" i="61"/>
  <c r="T870" i="61"/>
  <c r="U870" i="61"/>
  <c r="X870" i="61"/>
  <c r="P871" i="61"/>
  <c r="Q871" i="61"/>
  <c r="R871" i="61"/>
  <c r="S871" i="61"/>
  <c r="T871" i="61"/>
  <c r="U871" i="61"/>
  <c r="V871" i="61"/>
  <c r="X871" i="61"/>
  <c r="P872" i="61"/>
  <c r="Q872" i="61"/>
  <c r="R872" i="61"/>
  <c r="S872" i="61"/>
  <c r="T872" i="61"/>
  <c r="U872" i="61"/>
  <c r="V872" i="61"/>
  <c r="X872" i="61"/>
  <c r="P873" i="61"/>
  <c r="Q873" i="61"/>
  <c r="R873" i="61"/>
  <c r="S873" i="61"/>
  <c r="T873" i="61"/>
  <c r="U873" i="61"/>
  <c r="V873" i="61"/>
  <c r="X873" i="61"/>
  <c r="P874" i="61"/>
  <c r="Q874" i="61"/>
  <c r="R874" i="61"/>
  <c r="S874" i="61"/>
  <c r="T874" i="61"/>
  <c r="U874" i="61"/>
  <c r="V874" i="61"/>
  <c r="X874" i="61"/>
  <c r="P875" i="61"/>
  <c r="Q875" i="61"/>
  <c r="R875" i="61"/>
  <c r="S875" i="61"/>
  <c r="T875" i="61"/>
  <c r="U875" i="61"/>
  <c r="V875" i="61"/>
  <c r="X875" i="61"/>
  <c r="P876" i="61"/>
  <c r="Q876" i="61"/>
  <c r="R876" i="61"/>
  <c r="S876" i="61"/>
  <c r="T876" i="61"/>
  <c r="U876" i="61"/>
  <c r="V876" i="61"/>
  <c r="X876" i="61"/>
  <c r="P877" i="61"/>
  <c r="Q877" i="61"/>
  <c r="R877" i="61"/>
  <c r="S877" i="61"/>
  <c r="T877" i="61"/>
  <c r="U877" i="61"/>
  <c r="V877" i="61"/>
  <c r="X877" i="61"/>
  <c r="P878" i="61"/>
  <c r="Q878" i="61"/>
  <c r="R878" i="61"/>
  <c r="S878" i="61"/>
  <c r="T878" i="61"/>
  <c r="U878" i="61"/>
  <c r="V878" i="61"/>
  <c r="X878" i="61"/>
  <c r="P879" i="61"/>
  <c r="Q879" i="61"/>
  <c r="R879" i="61"/>
  <c r="S879" i="61"/>
  <c r="T879" i="61"/>
  <c r="U879" i="61"/>
  <c r="V879" i="61"/>
  <c r="X879" i="61"/>
  <c r="P880" i="61"/>
  <c r="Q880" i="61"/>
  <c r="R880" i="61"/>
  <c r="S880" i="61"/>
  <c r="T880" i="61"/>
  <c r="U880" i="61"/>
  <c r="V880" i="61"/>
  <c r="X880" i="61"/>
  <c r="P881" i="61"/>
  <c r="Q881" i="61"/>
  <c r="R881" i="61"/>
  <c r="S881" i="61"/>
  <c r="T881" i="61"/>
  <c r="U881" i="61"/>
  <c r="V881" i="61"/>
  <c r="X881" i="61"/>
  <c r="P882" i="61"/>
  <c r="Q882" i="61"/>
  <c r="R882" i="61"/>
  <c r="S882" i="61"/>
  <c r="T882" i="61"/>
  <c r="U882" i="61"/>
  <c r="V882" i="61"/>
  <c r="X882" i="61"/>
  <c r="P883" i="61"/>
  <c r="Q883" i="61"/>
  <c r="R883" i="61"/>
  <c r="S883" i="61"/>
  <c r="T883" i="61"/>
  <c r="U883" i="61"/>
  <c r="V883" i="61"/>
  <c r="X883" i="61"/>
  <c r="P884" i="61"/>
  <c r="Q884" i="61"/>
  <c r="R884" i="61"/>
  <c r="S884" i="61"/>
  <c r="T884" i="61"/>
  <c r="U884" i="61"/>
  <c r="V884" i="61"/>
  <c r="X884" i="61"/>
  <c r="P885" i="61"/>
  <c r="Q885" i="61"/>
  <c r="R885" i="61"/>
  <c r="S885" i="61"/>
  <c r="T885" i="61"/>
  <c r="U885" i="61"/>
  <c r="V885" i="61"/>
  <c r="X885" i="61"/>
  <c r="P886" i="61"/>
  <c r="Q886" i="61"/>
  <c r="R886" i="61"/>
  <c r="S886" i="61"/>
  <c r="T886" i="61"/>
  <c r="U886" i="61"/>
  <c r="V886" i="61"/>
  <c r="X886" i="61"/>
  <c r="P887" i="61"/>
  <c r="Q887" i="61"/>
  <c r="R887" i="61"/>
  <c r="S887" i="61"/>
  <c r="T887" i="61"/>
  <c r="U887" i="61"/>
  <c r="V887" i="61"/>
  <c r="X887" i="61"/>
  <c r="P888" i="61"/>
  <c r="Q888" i="61"/>
  <c r="R888" i="61"/>
  <c r="S888" i="61"/>
  <c r="T888" i="61"/>
  <c r="U888" i="61"/>
  <c r="V888" i="61"/>
  <c r="X888" i="61"/>
  <c r="P889" i="61"/>
  <c r="Q889" i="61"/>
  <c r="R889" i="61"/>
  <c r="S889" i="61"/>
  <c r="T889" i="61"/>
  <c r="U889" i="61"/>
  <c r="V889" i="61"/>
  <c r="X889" i="61"/>
  <c r="P890" i="61"/>
  <c r="Q890" i="61"/>
  <c r="R890" i="61"/>
  <c r="S890" i="61"/>
  <c r="T890" i="61"/>
  <c r="U890" i="61"/>
  <c r="V890" i="61"/>
  <c r="X890" i="61"/>
  <c r="P891" i="61"/>
  <c r="Q891" i="61"/>
  <c r="R891" i="61"/>
  <c r="S891" i="61"/>
  <c r="T891" i="61"/>
  <c r="U891" i="61"/>
  <c r="V891" i="61"/>
  <c r="X891" i="61"/>
  <c r="P892" i="61"/>
  <c r="Q892" i="61"/>
  <c r="R892" i="61"/>
  <c r="S892" i="61"/>
  <c r="T892" i="61"/>
  <c r="U892" i="61"/>
  <c r="V892" i="61"/>
  <c r="X892" i="61"/>
  <c r="P893" i="61"/>
  <c r="Q893" i="61"/>
  <c r="R893" i="61"/>
  <c r="S893" i="61"/>
  <c r="T893" i="61"/>
  <c r="U893" i="61"/>
  <c r="V893" i="61"/>
  <c r="X893" i="61"/>
  <c r="P894" i="61"/>
  <c r="Q894" i="61"/>
  <c r="R894" i="61"/>
  <c r="S894" i="61"/>
  <c r="T894" i="61"/>
  <c r="U894" i="61"/>
  <c r="V894" i="61"/>
  <c r="X894" i="61"/>
  <c r="P895" i="61"/>
  <c r="Q895" i="61"/>
  <c r="R895" i="61"/>
  <c r="S895" i="61"/>
  <c r="T895" i="61"/>
  <c r="U895" i="61"/>
  <c r="V895" i="61"/>
  <c r="X895" i="61"/>
  <c r="P896" i="61"/>
  <c r="Q896" i="61"/>
  <c r="R896" i="61"/>
  <c r="S896" i="61"/>
  <c r="T896" i="61"/>
  <c r="U896" i="61"/>
  <c r="V896" i="61"/>
  <c r="X896" i="61"/>
  <c r="P897" i="61"/>
  <c r="Q897" i="61"/>
  <c r="R897" i="61"/>
  <c r="S897" i="61"/>
  <c r="T897" i="61"/>
  <c r="U897" i="61"/>
  <c r="V897" i="61"/>
  <c r="X897" i="61"/>
  <c r="P898" i="61"/>
  <c r="Q898" i="61"/>
  <c r="R898" i="61"/>
  <c r="S898" i="61"/>
  <c r="T898" i="61"/>
  <c r="U898" i="61"/>
  <c r="V898" i="61"/>
  <c r="X898" i="61"/>
  <c r="P899" i="61"/>
  <c r="Q899" i="61"/>
  <c r="R899" i="61"/>
  <c r="S899" i="61"/>
  <c r="T899" i="61"/>
  <c r="U899" i="61"/>
  <c r="V899" i="61"/>
  <c r="X899" i="61"/>
  <c r="P900" i="61"/>
  <c r="Q900" i="61"/>
  <c r="R900" i="61"/>
  <c r="S900" i="61"/>
  <c r="T900" i="61"/>
  <c r="U900" i="61"/>
  <c r="V900" i="61"/>
  <c r="X900" i="61"/>
  <c r="P901" i="61"/>
  <c r="Q901" i="61"/>
  <c r="R901" i="61"/>
  <c r="S901" i="61"/>
  <c r="T901" i="61"/>
  <c r="U901" i="61"/>
  <c r="V901" i="61"/>
  <c r="X901" i="61"/>
  <c r="P902" i="61"/>
  <c r="Q902" i="61"/>
  <c r="R902" i="61"/>
  <c r="S902" i="61"/>
  <c r="T902" i="61"/>
  <c r="U902" i="61"/>
  <c r="V902" i="61"/>
  <c r="X902" i="61"/>
  <c r="P903" i="61"/>
  <c r="Q903" i="61"/>
  <c r="R903" i="61"/>
  <c r="S903" i="61"/>
  <c r="T903" i="61"/>
  <c r="U903" i="61"/>
  <c r="V903" i="61"/>
  <c r="X903" i="61"/>
  <c r="P904" i="61"/>
  <c r="Q904" i="61"/>
  <c r="R904" i="61"/>
  <c r="S904" i="61"/>
  <c r="T904" i="61"/>
  <c r="U904" i="61"/>
  <c r="V904" i="61"/>
  <c r="X904" i="61"/>
  <c r="P905" i="61"/>
  <c r="Q905" i="61"/>
  <c r="R905" i="61"/>
  <c r="S905" i="61"/>
  <c r="T905" i="61"/>
  <c r="U905" i="61"/>
  <c r="V905" i="61"/>
  <c r="X905" i="61"/>
  <c r="P906" i="61"/>
  <c r="Q906" i="61"/>
  <c r="R906" i="61"/>
  <c r="S906" i="61"/>
  <c r="T906" i="61"/>
  <c r="U906" i="61"/>
  <c r="V906" i="61"/>
  <c r="X906" i="61"/>
  <c r="P907" i="61"/>
  <c r="Q907" i="61"/>
  <c r="R907" i="61"/>
  <c r="S907" i="61"/>
  <c r="T907" i="61"/>
  <c r="U907" i="61"/>
  <c r="V907" i="61"/>
  <c r="X907" i="61"/>
  <c r="P908" i="61"/>
  <c r="Q908" i="61"/>
  <c r="R908" i="61"/>
  <c r="S908" i="61"/>
  <c r="T908" i="61"/>
  <c r="U908" i="61"/>
  <c r="V908" i="61"/>
  <c r="X908" i="61"/>
  <c r="P909" i="61"/>
  <c r="R909" i="61"/>
  <c r="S909" i="61"/>
  <c r="T909" i="61"/>
  <c r="U909" i="61"/>
  <c r="X909" i="61"/>
  <c r="P910" i="61"/>
  <c r="Q910" i="61"/>
  <c r="R910" i="61"/>
  <c r="S910" i="61"/>
  <c r="T910" i="61"/>
  <c r="U910" i="61"/>
  <c r="V910" i="61"/>
  <c r="X910" i="61"/>
  <c r="P911" i="61"/>
  <c r="Q911" i="61"/>
  <c r="R911" i="61"/>
  <c r="S911" i="61"/>
  <c r="T911" i="61"/>
  <c r="U911" i="61"/>
  <c r="V911" i="61"/>
  <c r="X911" i="61"/>
  <c r="P912" i="61"/>
  <c r="Q912" i="61"/>
  <c r="R912" i="61"/>
  <c r="S912" i="61"/>
  <c r="T912" i="61"/>
  <c r="U912" i="61"/>
  <c r="V912" i="61"/>
  <c r="X912" i="61"/>
  <c r="P913" i="61"/>
  <c r="Q913" i="61"/>
  <c r="R913" i="61"/>
  <c r="S913" i="61"/>
  <c r="T913" i="61"/>
  <c r="U913" i="61"/>
  <c r="V913" i="61"/>
  <c r="X913" i="61"/>
  <c r="P914" i="61"/>
  <c r="Q914" i="61"/>
  <c r="R914" i="61"/>
  <c r="S914" i="61"/>
  <c r="T914" i="61"/>
  <c r="U914" i="61"/>
  <c r="V914" i="61"/>
  <c r="X914" i="61"/>
  <c r="P915" i="61"/>
  <c r="Q915" i="61"/>
  <c r="R915" i="61"/>
  <c r="S915" i="61"/>
  <c r="T915" i="61"/>
  <c r="U915" i="61"/>
  <c r="V915" i="61"/>
  <c r="X915" i="61"/>
  <c r="P916" i="61"/>
  <c r="Q916" i="61"/>
  <c r="R916" i="61"/>
  <c r="S916" i="61"/>
  <c r="T916" i="61"/>
  <c r="U916" i="61"/>
  <c r="V916" i="61"/>
  <c r="X916" i="61"/>
  <c r="P917" i="61"/>
  <c r="Q917" i="61"/>
  <c r="R917" i="61"/>
  <c r="S917" i="61"/>
  <c r="T917" i="61"/>
  <c r="U917" i="61"/>
  <c r="V917" i="61"/>
  <c r="X917" i="61"/>
  <c r="P918" i="61"/>
  <c r="Q918" i="61"/>
  <c r="R918" i="61"/>
  <c r="S918" i="61"/>
  <c r="T918" i="61"/>
  <c r="U918" i="61"/>
  <c r="V918" i="61"/>
  <c r="X918" i="61"/>
  <c r="P919" i="61"/>
  <c r="Q919" i="61"/>
  <c r="R919" i="61"/>
  <c r="S919" i="61"/>
  <c r="T919" i="61"/>
  <c r="U919" i="61"/>
  <c r="V919" i="61"/>
  <c r="X919" i="61"/>
  <c r="P920" i="61"/>
  <c r="Q920" i="61"/>
  <c r="R920" i="61"/>
  <c r="S920" i="61"/>
  <c r="T920" i="61"/>
  <c r="U920" i="61"/>
  <c r="V920" i="61"/>
  <c r="X920" i="61"/>
  <c r="P921" i="61"/>
  <c r="Q921" i="61"/>
  <c r="R921" i="61"/>
  <c r="S921" i="61"/>
  <c r="T921" i="61"/>
  <c r="U921" i="61"/>
  <c r="V921" i="61"/>
  <c r="X921" i="61"/>
  <c r="P922" i="61"/>
  <c r="Q922" i="61"/>
  <c r="R922" i="61"/>
  <c r="S922" i="61"/>
  <c r="T922" i="61"/>
  <c r="U922" i="61"/>
  <c r="V922" i="61"/>
  <c r="X922" i="61"/>
  <c r="P923" i="61"/>
  <c r="Q923" i="61"/>
  <c r="R923" i="61"/>
  <c r="S923" i="61"/>
  <c r="T923" i="61"/>
  <c r="U923" i="61"/>
  <c r="V923" i="61"/>
  <c r="X923" i="61"/>
  <c r="P924" i="61"/>
  <c r="Q924" i="61"/>
  <c r="R924" i="61"/>
  <c r="S924" i="61"/>
  <c r="T924" i="61"/>
  <c r="U924" i="61"/>
  <c r="V924" i="61"/>
  <c r="X924" i="61"/>
  <c r="P925" i="61"/>
  <c r="Q925" i="61"/>
  <c r="R925" i="61"/>
  <c r="S925" i="61"/>
  <c r="T925" i="61"/>
  <c r="U925" i="61"/>
  <c r="V925" i="61"/>
  <c r="X925" i="61"/>
  <c r="P926" i="61"/>
  <c r="Q926" i="61"/>
  <c r="R926" i="61"/>
  <c r="S926" i="61"/>
  <c r="T926" i="61"/>
  <c r="U926" i="61"/>
  <c r="V926" i="61"/>
  <c r="X926" i="61"/>
  <c r="P927" i="61"/>
  <c r="Q927" i="61"/>
  <c r="R927" i="61"/>
  <c r="S927" i="61"/>
  <c r="T927" i="61"/>
  <c r="U927" i="61"/>
  <c r="V927" i="61"/>
  <c r="X927" i="61"/>
  <c r="P928" i="61"/>
  <c r="Q928" i="61"/>
  <c r="R928" i="61"/>
  <c r="S928" i="61"/>
  <c r="T928" i="61"/>
  <c r="U928" i="61"/>
  <c r="V928" i="61"/>
  <c r="X928" i="61"/>
  <c r="P929" i="61"/>
  <c r="Q929" i="61"/>
  <c r="R929" i="61"/>
  <c r="S929" i="61"/>
  <c r="T929" i="61"/>
  <c r="U929" i="61"/>
  <c r="V929" i="61"/>
  <c r="X929" i="61"/>
  <c r="P930" i="61"/>
  <c r="Q930" i="61"/>
  <c r="R930" i="61"/>
  <c r="S930" i="61"/>
  <c r="T930" i="61"/>
  <c r="U930" i="61"/>
  <c r="V930" i="61"/>
  <c r="X930" i="61"/>
  <c r="P931" i="61"/>
  <c r="Q931" i="61"/>
  <c r="R931" i="61"/>
  <c r="S931" i="61"/>
  <c r="T931" i="61"/>
  <c r="U931" i="61"/>
  <c r="V931" i="61"/>
  <c r="X931" i="61"/>
  <c r="P932" i="61"/>
  <c r="Q932" i="61"/>
  <c r="R932" i="61"/>
  <c r="S932" i="61"/>
  <c r="T932" i="61"/>
  <c r="U932" i="61"/>
  <c r="V932" i="61"/>
  <c r="X932" i="61"/>
  <c r="P933" i="61"/>
  <c r="Q933" i="61"/>
  <c r="R933" i="61"/>
  <c r="S933" i="61"/>
  <c r="T933" i="61"/>
  <c r="U933" i="61"/>
  <c r="V933" i="61"/>
  <c r="X933" i="61"/>
  <c r="P934" i="61"/>
  <c r="Q934" i="61"/>
  <c r="R934" i="61"/>
  <c r="S934" i="61"/>
  <c r="T934" i="61"/>
  <c r="U934" i="61"/>
  <c r="V934" i="61"/>
  <c r="X934" i="61"/>
  <c r="P935" i="61"/>
  <c r="Q935" i="61"/>
  <c r="R935" i="61"/>
  <c r="S935" i="61"/>
  <c r="T935" i="61"/>
  <c r="U935" i="61"/>
  <c r="V935" i="61"/>
  <c r="X935" i="61"/>
  <c r="P936" i="61"/>
  <c r="Q936" i="61"/>
  <c r="R936" i="61"/>
  <c r="S936" i="61"/>
  <c r="T936" i="61"/>
  <c r="U936" i="61"/>
  <c r="V936" i="61"/>
  <c r="X936" i="61"/>
  <c r="P937" i="61"/>
  <c r="Q937" i="61"/>
  <c r="R937" i="61"/>
  <c r="S937" i="61"/>
  <c r="T937" i="61"/>
  <c r="U937" i="61"/>
  <c r="V937" i="61"/>
  <c r="X937" i="61"/>
  <c r="P938" i="61"/>
  <c r="Q938" i="61"/>
  <c r="R938" i="61"/>
  <c r="S938" i="61"/>
  <c r="T938" i="61"/>
  <c r="U938" i="61"/>
  <c r="V938" i="61"/>
  <c r="X938" i="61"/>
  <c r="P939" i="61"/>
  <c r="Q939" i="61"/>
  <c r="R939" i="61"/>
  <c r="S939" i="61"/>
  <c r="T939" i="61"/>
  <c r="U939" i="61"/>
  <c r="V939" i="61"/>
  <c r="X939" i="61"/>
  <c r="P940" i="61"/>
  <c r="Q940" i="61"/>
  <c r="R940" i="61"/>
  <c r="S940" i="61"/>
  <c r="T940" i="61"/>
  <c r="U940" i="61"/>
  <c r="V940" i="61"/>
  <c r="X940" i="61"/>
  <c r="P941" i="61"/>
  <c r="Q941" i="61"/>
  <c r="R941" i="61"/>
  <c r="S941" i="61"/>
  <c r="T941" i="61"/>
  <c r="U941" i="61"/>
  <c r="V941" i="61"/>
  <c r="X941" i="61"/>
  <c r="P942" i="61"/>
  <c r="Q942" i="61"/>
  <c r="R942" i="61"/>
  <c r="S942" i="61"/>
  <c r="T942" i="61"/>
  <c r="U942" i="61"/>
  <c r="V942" i="61"/>
  <c r="X942" i="61"/>
  <c r="P943" i="61"/>
  <c r="Q943" i="61"/>
  <c r="R943" i="61"/>
  <c r="S943" i="61"/>
  <c r="T943" i="61"/>
  <c r="U943" i="61"/>
  <c r="V943" i="61"/>
  <c r="X943" i="61"/>
  <c r="P944" i="61"/>
  <c r="Q944" i="61"/>
  <c r="R944" i="61"/>
  <c r="S944" i="61"/>
  <c r="T944" i="61"/>
  <c r="U944" i="61"/>
  <c r="V944" i="61"/>
  <c r="X944" i="61"/>
  <c r="P945" i="61"/>
  <c r="Q945" i="61"/>
  <c r="R945" i="61"/>
  <c r="S945" i="61"/>
  <c r="T945" i="61"/>
  <c r="U945" i="61"/>
  <c r="V945" i="61"/>
  <c r="X945" i="61"/>
  <c r="P946" i="61"/>
  <c r="Q946" i="61"/>
  <c r="R946" i="61"/>
  <c r="S946" i="61"/>
  <c r="T946" i="61"/>
  <c r="U946" i="61"/>
  <c r="V946" i="61"/>
  <c r="X946" i="61"/>
  <c r="P947" i="61"/>
  <c r="Q947" i="61"/>
  <c r="R947" i="61"/>
  <c r="S947" i="61"/>
  <c r="T947" i="61"/>
  <c r="U947" i="61"/>
  <c r="V947" i="61"/>
  <c r="X947" i="61"/>
  <c r="P948" i="61"/>
  <c r="Q948" i="61"/>
  <c r="R948" i="61"/>
  <c r="S948" i="61"/>
  <c r="T948" i="61"/>
  <c r="U948" i="61"/>
  <c r="V948" i="61"/>
  <c r="X948" i="61"/>
  <c r="P949" i="61"/>
  <c r="Q949" i="61"/>
  <c r="R949" i="61"/>
  <c r="S949" i="61"/>
  <c r="T949" i="61"/>
  <c r="U949" i="61"/>
  <c r="V949" i="61"/>
  <c r="X949" i="61"/>
  <c r="P950" i="61"/>
  <c r="R950" i="61"/>
  <c r="S950" i="61"/>
  <c r="T950" i="61"/>
  <c r="U950" i="61"/>
  <c r="V950" i="61"/>
  <c r="X950" i="61"/>
  <c r="P951" i="61"/>
  <c r="Q951" i="61"/>
  <c r="R951" i="61"/>
  <c r="S951" i="61"/>
  <c r="T951" i="61"/>
  <c r="U951" i="61"/>
  <c r="V951" i="61"/>
  <c r="X951" i="61"/>
  <c r="P952" i="61"/>
  <c r="Q952" i="61"/>
  <c r="R952" i="61"/>
  <c r="S952" i="61"/>
  <c r="T952" i="61"/>
  <c r="U952" i="61"/>
  <c r="V952" i="61"/>
  <c r="X952" i="61"/>
  <c r="P953" i="61"/>
  <c r="Q953" i="61"/>
  <c r="R953" i="61"/>
  <c r="S953" i="61"/>
  <c r="T953" i="61"/>
  <c r="U953" i="61"/>
  <c r="V953" i="61"/>
  <c r="X953" i="61"/>
  <c r="P954" i="61"/>
  <c r="Q954" i="61"/>
  <c r="R954" i="61"/>
  <c r="S954" i="61"/>
  <c r="T954" i="61"/>
  <c r="U954" i="61"/>
  <c r="V954" i="61"/>
  <c r="X954" i="61"/>
  <c r="P955" i="61"/>
  <c r="Q955" i="61"/>
  <c r="R955" i="61"/>
  <c r="S955" i="61"/>
  <c r="T955" i="61"/>
  <c r="U955" i="61"/>
  <c r="V955" i="61"/>
  <c r="X955" i="61"/>
  <c r="P956" i="61"/>
  <c r="Q956" i="61"/>
  <c r="R956" i="61"/>
  <c r="S956" i="61"/>
  <c r="T956" i="61"/>
  <c r="U956" i="61"/>
  <c r="V956" i="61"/>
  <c r="X956" i="61"/>
  <c r="P957" i="61"/>
  <c r="Q957" i="61"/>
  <c r="R957" i="61"/>
  <c r="S957" i="61"/>
  <c r="T957" i="61"/>
  <c r="U957" i="61"/>
  <c r="V957" i="61"/>
  <c r="X957" i="61"/>
  <c r="P958" i="61"/>
  <c r="Q958" i="61"/>
  <c r="R958" i="61"/>
  <c r="S958" i="61"/>
  <c r="T958" i="61"/>
  <c r="U958" i="61"/>
  <c r="V958" i="61"/>
  <c r="X958" i="61"/>
  <c r="P959" i="61"/>
  <c r="Q959" i="61"/>
  <c r="R959" i="61"/>
  <c r="S959" i="61"/>
  <c r="T959" i="61"/>
  <c r="U959" i="61"/>
  <c r="V959" i="61"/>
  <c r="X959" i="61"/>
  <c r="P960" i="61"/>
  <c r="Q960" i="61"/>
  <c r="R960" i="61"/>
  <c r="S960" i="61"/>
  <c r="T960" i="61"/>
  <c r="U960" i="61"/>
  <c r="V960" i="61"/>
  <c r="X960" i="61"/>
  <c r="P961" i="61"/>
  <c r="Q961" i="61"/>
  <c r="R961" i="61"/>
  <c r="S961" i="61"/>
  <c r="T961" i="61"/>
  <c r="U961" i="61"/>
  <c r="V961" i="61"/>
  <c r="X961" i="61"/>
  <c r="P962" i="61"/>
  <c r="Q962" i="61"/>
  <c r="R962" i="61"/>
  <c r="S962" i="61"/>
  <c r="T962" i="61"/>
  <c r="U962" i="61"/>
  <c r="V962" i="61"/>
  <c r="X962" i="61"/>
  <c r="P963" i="61"/>
  <c r="Q963" i="61"/>
  <c r="R963" i="61"/>
  <c r="S963" i="61"/>
  <c r="T963" i="61"/>
  <c r="U963" i="61"/>
  <c r="V963" i="61"/>
  <c r="X963" i="61"/>
  <c r="P964" i="61"/>
  <c r="Q964" i="61"/>
  <c r="R964" i="61"/>
  <c r="S964" i="61"/>
  <c r="T964" i="61"/>
  <c r="U964" i="61"/>
  <c r="V964" i="61"/>
  <c r="X964" i="61"/>
  <c r="P965" i="61"/>
  <c r="Q965" i="61"/>
  <c r="R965" i="61"/>
  <c r="S965" i="61"/>
  <c r="T965" i="61"/>
  <c r="U965" i="61"/>
  <c r="V965" i="61"/>
  <c r="X965" i="61"/>
  <c r="P966" i="61"/>
  <c r="Q966" i="61"/>
  <c r="R966" i="61"/>
  <c r="S966" i="61"/>
  <c r="T966" i="61"/>
  <c r="U966" i="61"/>
  <c r="V966" i="61"/>
  <c r="X966" i="61"/>
  <c r="P967" i="61"/>
  <c r="Q967" i="61"/>
  <c r="R967" i="61"/>
  <c r="S967" i="61"/>
  <c r="T967" i="61"/>
  <c r="U967" i="61"/>
  <c r="V967" i="61"/>
  <c r="X967" i="61"/>
  <c r="P968" i="61"/>
  <c r="Q968" i="61"/>
  <c r="R968" i="61"/>
  <c r="S968" i="61"/>
  <c r="T968" i="61"/>
  <c r="U968" i="61"/>
  <c r="V968" i="61"/>
  <c r="X968" i="61"/>
  <c r="P969" i="61"/>
  <c r="Q969" i="61"/>
  <c r="R969" i="61"/>
  <c r="S969" i="61"/>
  <c r="T969" i="61"/>
  <c r="U969" i="61"/>
  <c r="V969" i="61"/>
  <c r="X969" i="61"/>
  <c r="P970" i="61"/>
  <c r="Q970" i="61"/>
  <c r="R970" i="61"/>
  <c r="S970" i="61"/>
  <c r="T970" i="61"/>
  <c r="U970" i="61"/>
  <c r="V970" i="61"/>
  <c r="X970" i="61"/>
  <c r="P971" i="61"/>
  <c r="Q971" i="61"/>
  <c r="R971" i="61"/>
  <c r="S971" i="61"/>
  <c r="T971" i="61"/>
  <c r="U971" i="61"/>
  <c r="V971" i="61"/>
  <c r="X971" i="61"/>
  <c r="P972" i="61"/>
  <c r="Q972" i="61"/>
  <c r="R972" i="61"/>
  <c r="S972" i="61"/>
  <c r="T972" i="61"/>
  <c r="U972" i="61"/>
  <c r="V972" i="61"/>
  <c r="X972" i="61"/>
  <c r="P973" i="61"/>
  <c r="Q973" i="61"/>
  <c r="R973" i="61"/>
  <c r="S973" i="61"/>
  <c r="T973" i="61"/>
  <c r="U973" i="61"/>
  <c r="V973" i="61"/>
  <c r="X973" i="61"/>
  <c r="P974" i="61"/>
  <c r="Q974" i="61"/>
  <c r="R974" i="61"/>
  <c r="S974" i="61"/>
  <c r="T974" i="61"/>
  <c r="U974" i="61"/>
  <c r="V974" i="61"/>
  <c r="X974" i="61"/>
  <c r="P975" i="61"/>
  <c r="Q975" i="61"/>
  <c r="R975" i="61"/>
  <c r="S975" i="61"/>
  <c r="T975" i="61"/>
  <c r="U975" i="61"/>
  <c r="V975" i="61"/>
  <c r="X975" i="61"/>
  <c r="P976" i="61"/>
  <c r="Q976" i="61"/>
  <c r="R976" i="61"/>
  <c r="S976" i="61"/>
  <c r="T976" i="61"/>
  <c r="U976" i="61"/>
  <c r="V976" i="61"/>
  <c r="X976" i="61"/>
  <c r="P977" i="61"/>
  <c r="Q977" i="61"/>
  <c r="R977" i="61"/>
  <c r="S977" i="61"/>
  <c r="T977" i="61"/>
  <c r="U977" i="61"/>
  <c r="V977" i="61"/>
  <c r="X977" i="61"/>
  <c r="P978" i="61"/>
  <c r="Q978" i="61"/>
  <c r="R978" i="61"/>
  <c r="S978" i="61"/>
  <c r="T978" i="61"/>
  <c r="U978" i="61"/>
  <c r="V978" i="61"/>
  <c r="X978" i="61"/>
  <c r="P979" i="61"/>
  <c r="Q979" i="61"/>
  <c r="R979" i="61"/>
  <c r="S979" i="61"/>
  <c r="T979" i="61"/>
  <c r="U979" i="61"/>
  <c r="V979" i="61"/>
  <c r="X979" i="61"/>
  <c r="P980" i="61"/>
  <c r="Q980" i="61"/>
  <c r="R980" i="61"/>
  <c r="S980" i="61"/>
  <c r="T980" i="61"/>
  <c r="U980" i="61"/>
  <c r="V980" i="61"/>
  <c r="X980" i="61"/>
  <c r="P981" i="61"/>
  <c r="Q981" i="61"/>
  <c r="R981" i="61"/>
  <c r="S981" i="61"/>
  <c r="T981" i="61"/>
  <c r="U981" i="61"/>
  <c r="X981" i="61"/>
  <c r="P982" i="61"/>
  <c r="Q982" i="61"/>
  <c r="R982" i="61"/>
  <c r="S982" i="61"/>
  <c r="T982" i="61"/>
  <c r="U982" i="61"/>
  <c r="V982" i="61"/>
  <c r="X982" i="61"/>
  <c r="P983" i="61"/>
  <c r="Q983" i="61"/>
  <c r="R983" i="61"/>
  <c r="S983" i="61"/>
  <c r="T983" i="61"/>
  <c r="U983" i="61"/>
  <c r="X983" i="61"/>
  <c r="P984" i="61"/>
  <c r="Q984" i="61"/>
  <c r="R984" i="61"/>
  <c r="S984" i="61"/>
  <c r="T984" i="61"/>
  <c r="U984" i="61"/>
  <c r="V984" i="61"/>
  <c r="X984" i="61"/>
  <c r="P985" i="61"/>
  <c r="Q985" i="61"/>
  <c r="R985" i="61"/>
  <c r="S985" i="61"/>
  <c r="T985" i="61"/>
  <c r="U985" i="61"/>
  <c r="V985" i="61"/>
  <c r="X985" i="61"/>
  <c r="P986" i="61"/>
  <c r="Q986" i="61"/>
  <c r="R986" i="61"/>
  <c r="S986" i="61"/>
  <c r="T986" i="61"/>
  <c r="U986" i="61"/>
  <c r="V986" i="61"/>
  <c r="X986" i="61"/>
  <c r="P987" i="61"/>
  <c r="Q987" i="61"/>
  <c r="R987" i="61"/>
  <c r="S987" i="61"/>
  <c r="T987" i="61"/>
  <c r="U987" i="61"/>
  <c r="V987" i="61"/>
  <c r="X987" i="61"/>
  <c r="P988" i="61"/>
  <c r="Q988" i="61"/>
  <c r="R988" i="61"/>
  <c r="S988" i="61"/>
  <c r="T988" i="61"/>
  <c r="U988" i="61"/>
  <c r="V988" i="61"/>
  <c r="X988" i="61"/>
  <c r="P989" i="61"/>
  <c r="Q989" i="61"/>
  <c r="R989" i="61"/>
  <c r="S989" i="61"/>
  <c r="T989" i="61"/>
  <c r="U989" i="61"/>
  <c r="V989" i="61"/>
  <c r="X989" i="61"/>
  <c r="P990" i="61"/>
  <c r="Q990" i="61"/>
  <c r="R990" i="61"/>
  <c r="S990" i="61"/>
  <c r="T990" i="61"/>
  <c r="U990" i="61"/>
  <c r="V990" i="61"/>
  <c r="X990" i="61"/>
  <c r="P991" i="61"/>
  <c r="Q991" i="61"/>
  <c r="R991" i="61"/>
  <c r="S991" i="61"/>
  <c r="T991" i="61"/>
  <c r="U991" i="61"/>
  <c r="V991" i="61"/>
  <c r="X991" i="61"/>
  <c r="P992" i="61"/>
  <c r="Q992" i="61"/>
  <c r="R992" i="61"/>
  <c r="S992" i="61"/>
  <c r="T992" i="61"/>
  <c r="U992" i="61"/>
  <c r="V992" i="61"/>
  <c r="X992" i="61"/>
  <c r="P993" i="61"/>
  <c r="Q993" i="61"/>
  <c r="R993" i="61"/>
  <c r="S993" i="61"/>
  <c r="T993" i="61"/>
  <c r="U993" i="61"/>
  <c r="V993" i="61"/>
  <c r="X993" i="61"/>
  <c r="P994" i="61"/>
  <c r="Q994" i="61"/>
  <c r="R994" i="61"/>
  <c r="S994" i="61"/>
  <c r="T994" i="61"/>
  <c r="U994" i="61"/>
  <c r="V994" i="61"/>
  <c r="X994" i="61"/>
  <c r="Q995" i="61"/>
  <c r="R995" i="61"/>
  <c r="S995" i="61"/>
  <c r="T995" i="61"/>
  <c r="U995" i="61"/>
  <c r="P996" i="61"/>
  <c r="Q996" i="61"/>
  <c r="R996" i="61"/>
  <c r="S996" i="61"/>
  <c r="T996" i="61"/>
  <c r="U996" i="61"/>
  <c r="V996" i="61"/>
  <c r="X996" i="61"/>
  <c r="P997" i="61"/>
  <c r="Q997" i="61"/>
  <c r="R997" i="61"/>
  <c r="S997" i="61"/>
  <c r="T997" i="61"/>
  <c r="U997" i="61"/>
  <c r="V997" i="61"/>
  <c r="X997" i="61"/>
  <c r="P998" i="61"/>
  <c r="Q998" i="61"/>
  <c r="R998" i="61"/>
  <c r="S998" i="61"/>
  <c r="T998" i="61"/>
  <c r="U998" i="61"/>
  <c r="V998" i="61"/>
  <c r="X998" i="61"/>
  <c r="P999" i="61"/>
  <c r="Q999" i="61"/>
  <c r="R999" i="61"/>
  <c r="S999" i="61"/>
  <c r="T999" i="61"/>
  <c r="U999" i="61"/>
  <c r="V999" i="61"/>
  <c r="X999" i="61"/>
  <c r="P1000" i="61"/>
  <c r="Q1000" i="61"/>
  <c r="R1000" i="61"/>
  <c r="S1000" i="61"/>
  <c r="T1000" i="61"/>
  <c r="U1000" i="61"/>
  <c r="V1000" i="61"/>
  <c r="X1000" i="61"/>
  <c r="Q1001" i="61"/>
  <c r="R1001" i="61"/>
  <c r="S1001" i="61"/>
  <c r="T1001" i="61"/>
  <c r="U1001" i="61"/>
  <c r="Q1002" i="61"/>
  <c r="S1002" i="61"/>
  <c r="T1002" i="61"/>
  <c r="U1002" i="61"/>
  <c r="P1003" i="61"/>
  <c r="Q1003" i="61"/>
  <c r="R1003" i="61"/>
  <c r="S1003" i="61"/>
  <c r="T1003" i="61"/>
  <c r="U1003" i="61"/>
  <c r="V1003" i="61"/>
  <c r="X1003" i="61"/>
  <c r="Q1004" i="61"/>
  <c r="S1004" i="61"/>
  <c r="U1004" i="61"/>
  <c r="Q1005" i="61"/>
  <c r="S1005" i="61"/>
  <c r="T1005" i="61"/>
  <c r="U1005" i="61"/>
  <c r="Q1006" i="61"/>
  <c r="S1006" i="61"/>
  <c r="T1006" i="61"/>
  <c r="U1006" i="61"/>
  <c r="P1007" i="61"/>
  <c r="Q1007" i="61"/>
  <c r="R1007" i="61"/>
  <c r="S1007" i="61"/>
  <c r="T1007" i="61"/>
  <c r="U1007" i="61"/>
  <c r="V1007" i="61"/>
  <c r="X1007" i="61"/>
  <c r="Q1008" i="61"/>
  <c r="S1008" i="61"/>
  <c r="T1008" i="61"/>
  <c r="U1008" i="61"/>
  <c r="P1009" i="61"/>
  <c r="Q1009" i="61"/>
  <c r="R1009" i="61"/>
  <c r="S1009" i="61"/>
  <c r="T1009" i="61"/>
  <c r="U1009" i="61"/>
  <c r="V1009" i="61"/>
  <c r="X1009" i="61"/>
  <c r="P1010" i="61"/>
  <c r="Q1010" i="61"/>
  <c r="R1010" i="61"/>
  <c r="S1010" i="61"/>
  <c r="T1010" i="61"/>
  <c r="U1010" i="61"/>
  <c r="V1010" i="61"/>
  <c r="X1010" i="61"/>
  <c r="Q1011" i="61"/>
  <c r="S1011" i="61"/>
  <c r="U1011" i="61"/>
  <c r="P1012" i="61"/>
  <c r="Q1012" i="61"/>
  <c r="R1012" i="61"/>
  <c r="S1012" i="61"/>
  <c r="T1012" i="61"/>
  <c r="U1012" i="61"/>
  <c r="V1012" i="61"/>
  <c r="X1012" i="61"/>
  <c r="P1013" i="61"/>
  <c r="Q1013" i="61"/>
  <c r="R1013" i="61"/>
  <c r="S1013" i="61"/>
  <c r="T1013" i="61"/>
  <c r="U1013" i="61"/>
  <c r="V1013" i="61"/>
  <c r="X1013" i="61"/>
  <c r="P1014" i="61"/>
  <c r="Q1014" i="61"/>
  <c r="R1014" i="61"/>
  <c r="S1014" i="61"/>
  <c r="T1014" i="61"/>
  <c r="U1014" i="61"/>
  <c r="V1014" i="61"/>
  <c r="X1014" i="61"/>
  <c r="P1015" i="61"/>
  <c r="Q1015" i="61"/>
  <c r="R1015" i="61"/>
  <c r="S1015" i="61"/>
  <c r="T1015" i="61"/>
  <c r="U1015" i="61"/>
  <c r="V1015" i="61"/>
  <c r="X1015" i="61"/>
  <c r="P1016" i="61"/>
  <c r="Q1016" i="61"/>
  <c r="R1016" i="61"/>
  <c r="S1016" i="61"/>
  <c r="T1016" i="61"/>
  <c r="U1016" i="61"/>
  <c r="V1016" i="61"/>
  <c r="X1016" i="61"/>
  <c r="P1017" i="61"/>
  <c r="Q1017" i="61"/>
  <c r="R1017" i="61"/>
  <c r="S1017" i="61"/>
  <c r="T1017" i="61"/>
  <c r="U1017" i="61"/>
  <c r="V1017" i="61"/>
  <c r="X1017" i="61"/>
  <c r="P1018" i="61"/>
  <c r="Q1018" i="61"/>
  <c r="R1018" i="61"/>
  <c r="S1018" i="61"/>
  <c r="T1018" i="61"/>
  <c r="U1018" i="61"/>
  <c r="V1018" i="61"/>
  <c r="X1018" i="61"/>
  <c r="P1019" i="61"/>
  <c r="Q1019" i="61"/>
  <c r="R1019" i="61"/>
  <c r="S1019" i="61"/>
  <c r="T1019" i="61"/>
  <c r="U1019" i="61"/>
  <c r="V1019" i="61"/>
  <c r="X1019" i="61"/>
  <c r="P1020" i="61"/>
  <c r="Q1020" i="61"/>
  <c r="R1020" i="61"/>
  <c r="S1020" i="61"/>
  <c r="T1020" i="61"/>
  <c r="U1020" i="61"/>
  <c r="V1020" i="61"/>
  <c r="X1020" i="61"/>
  <c r="P1021" i="61"/>
  <c r="Q1021" i="61"/>
  <c r="R1021" i="61"/>
  <c r="S1021" i="61"/>
  <c r="T1021" i="61"/>
  <c r="U1021" i="61"/>
  <c r="V1021" i="61"/>
  <c r="X1021" i="61"/>
  <c r="P1022" i="61"/>
  <c r="Q1022" i="61"/>
  <c r="R1022" i="61"/>
  <c r="S1022" i="61"/>
  <c r="T1022" i="61"/>
  <c r="U1022" i="61"/>
  <c r="V1022" i="61"/>
  <c r="X1022" i="61"/>
  <c r="Q1023" i="61"/>
  <c r="R1023" i="61"/>
  <c r="S1023" i="61"/>
  <c r="T1023" i="61"/>
  <c r="U1023" i="61"/>
  <c r="R1024" i="61"/>
  <c r="S1024" i="61"/>
  <c r="T1024" i="61"/>
  <c r="U1024" i="61"/>
  <c r="Q1025" i="61"/>
  <c r="R1025" i="61"/>
  <c r="S1025" i="61"/>
  <c r="T1025" i="61"/>
  <c r="U1025" i="61"/>
  <c r="P1026" i="61"/>
  <c r="Q1026" i="61"/>
  <c r="R1026" i="61"/>
  <c r="S1026" i="61"/>
  <c r="T1026" i="61"/>
  <c r="U1026" i="61"/>
  <c r="V1026" i="61"/>
  <c r="X1026" i="61"/>
  <c r="P1027" i="61"/>
  <c r="Q1027" i="61"/>
  <c r="R1027" i="61"/>
  <c r="S1027" i="61"/>
  <c r="T1027" i="61"/>
  <c r="U1027" i="61"/>
  <c r="V1027" i="61"/>
  <c r="X1027" i="61"/>
  <c r="P1028" i="61"/>
  <c r="Q1028" i="61"/>
  <c r="R1028" i="61"/>
  <c r="S1028" i="61"/>
  <c r="T1028" i="61"/>
  <c r="U1028" i="61"/>
  <c r="V1028" i="61"/>
  <c r="X1028" i="61"/>
  <c r="P1029" i="61"/>
  <c r="Q1029" i="61"/>
  <c r="R1029" i="61"/>
  <c r="S1029" i="61"/>
  <c r="T1029" i="61"/>
  <c r="U1029" i="61"/>
  <c r="V1029" i="61"/>
  <c r="X1029" i="61"/>
  <c r="P1030" i="61"/>
  <c r="Q1030" i="61"/>
  <c r="R1030" i="61"/>
  <c r="S1030" i="61"/>
  <c r="T1030" i="61"/>
  <c r="U1030" i="61"/>
  <c r="V1030" i="61"/>
  <c r="X1030" i="61"/>
  <c r="P1031" i="61"/>
  <c r="Q1031" i="61"/>
  <c r="R1031" i="61"/>
  <c r="S1031" i="61"/>
  <c r="T1031" i="61"/>
  <c r="U1031" i="61"/>
  <c r="X1031" i="61"/>
  <c r="P1032" i="61"/>
  <c r="Q1032" i="61"/>
  <c r="R1032" i="61"/>
  <c r="S1032" i="61"/>
  <c r="T1032" i="61"/>
  <c r="U1032" i="61"/>
  <c r="V1032" i="61"/>
  <c r="X1032" i="61"/>
  <c r="P1033" i="61"/>
  <c r="Q1033" i="61"/>
  <c r="R1033" i="61"/>
  <c r="S1033" i="61"/>
  <c r="T1033" i="61"/>
  <c r="U1033" i="61"/>
  <c r="X1033" i="61"/>
  <c r="P1034" i="61"/>
  <c r="Q1034" i="61"/>
  <c r="R1034" i="61"/>
  <c r="S1034" i="61"/>
  <c r="T1034" i="61"/>
  <c r="U1034" i="61"/>
  <c r="V1034" i="61"/>
  <c r="X1034" i="61"/>
  <c r="P1035" i="61"/>
  <c r="Q1035" i="61"/>
  <c r="R1035" i="61"/>
  <c r="S1035" i="61"/>
  <c r="T1035" i="61"/>
  <c r="U1035" i="61"/>
  <c r="V1035" i="61"/>
  <c r="X1035" i="61"/>
  <c r="P1036" i="61"/>
  <c r="Q1036" i="61"/>
  <c r="R1036" i="61"/>
  <c r="S1036" i="61"/>
  <c r="T1036" i="61"/>
  <c r="U1036" i="61"/>
  <c r="V1036" i="61"/>
  <c r="X1036" i="61"/>
  <c r="Q1037" i="61"/>
  <c r="R1037" i="61"/>
  <c r="S1037" i="61"/>
  <c r="T1037" i="61"/>
  <c r="U1037" i="61"/>
  <c r="P1038" i="61"/>
  <c r="Q1038" i="61"/>
  <c r="R1038" i="61"/>
  <c r="S1038" i="61"/>
  <c r="T1038" i="61"/>
  <c r="U1038" i="61"/>
  <c r="V1038" i="61"/>
  <c r="X1038" i="61"/>
  <c r="P1039" i="61"/>
  <c r="Q1039" i="61"/>
  <c r="R1039" i="61"/>
  <c r="S1039" i="61"/>
  <c r="T1039" i="61"/>
  <c r="U1039" i="61"/>
  <c r="V1039" i="61"/>
  <c r="X1039" i="61"/>
  <c r="P1040" i="61"/>
  <c r="Q1040" i="61"/>
  <c r="R1040" i="61"/>
  <c r="S1040" i="61"/>
  <c r="T1040" i="61"/>
  <c r="U1040" i="61"/>
  <c r="V1040" i="61"/>
  <c r="X1040" i="61"/>
  <c r="P1041" i="61"/>
  <c r="Q1041" i="61"/>
  <c r="R1041" i="61"/>
  <c r="S1041" i="61"/>
  <c r="T1041" i="61"/>
  <c r="U1041" i="61"/>
  <c r="V1041" i="61"/>
  <c r="X1041" i="61"/>
  <c r="P1042" i="61"/>
  <c r="Q1042" i="61"/>
  <c r="R1042" i="61"/>
  <c r="S1042" i="61"/>
  <c r="T1042" i="61"/>
  <c r="U1042" i="61"/>
  <c r="V1042" i="61"/>
  <c r="X1042" i="61"/>
  <c r="P1043" i="61"/>
  <c r="Q1043" i="61"/>
  <c r="R1043" i="61"/>
  <c r="S1043" i="61"/>
  <c r="T1043" i="61"/>
  <c r="U1043" i="61"/>
  <c r="X1043" i="61"/>
  <c r="P1044" i="61"/>
  <c r="Q1044" i="61"/>
  <c r="R1044" i="61"/>
  <c r="S1044" i="61"/>
  <c r="T1044" i="61"/>
  <c r="U1044" i="61"/>
  <c r="V1044" i="61"/>
  <c r="X1044" i="61"/>
  <c r="P1045" i="61"/>
  <c r="Q1045" i="61"/>
  <c r="R1045" i="61"/>
  <c r="S1045" i="61"/>
  <c r="T1045" i="61"/>
  <c r="U1045" i="61"/>
  <c r="V1045" i="61"/>
  <c r="X1045" i="61"/>
  <c r="P1046" i="61"/>
  <c r="Q1046" i="61"/>
  <c r="R1046" i="61"/>
  <c r="S1046" i="61"/>
  <c r="T1046" i="61"/>
  <c r="U1046" i="61"/>
  <c r="V1046" i="61"/>
  <c r="X1046" i="61"/>
  <c r="P1047" i="61"/>
  <c r="Q1047" i="61"/>
  <c r="R1047" i="61"/>
  <c r="S1047" i="61"/>
  <c r="T1047" i="61"/>
  <c r="U1047" i="61"/>
  <c r="V1047" i="61"/>
  <c r="X1047" i="61"/>
  <c r="P1048" i="61"/>
  <c r="Q1048" i="61"/>
  <c r="R1048" i="61"/>
  <c r="S1048" i="61"/>
  <c r="T1048" i="61"/>
  <c r="U1048" i="61"/>
  <c r="V1048" i="61"/>
  <c r="X1048" i="61"/>
  <c r="P1049" i="61"/>
  <c r="Q1049" i="61"/>
  <c r="R1049" i="61"/>
  <c r="S1049" i="61"/>
  <c r="T1049" i="61"/>
  <c r="U1049" i="61"/>
  <c r="V1049" i="61"/>
  <c r="X1049" i="61"/>
  <c r="P1050" i="61"/>
  <c r="Q1050" i="61"/>
  <c r="R1050" i="61"/>
  <c r="S1050" i="61"/>
  <c r="T1050" i="61"/>
  <c r="U1050" i="61"/>
  <c r="X1050" i="61"/>
  <c r="Q1051" i="61"/>
  <c r="S1051" i="61"/>
  <c r="U1051" i="61"/>
  <c r="P1052" i="61"/>
  <c r="Q1052" i="61"/>
  <c r="R1052" i="61"/>
  <c r="S1052" i="61"/>
  <c r="T1052" i="61"/>
  <c r="U1052" i="61"/>
  <c r="V1052" i="61"/>
  <c r="X1052" i="61"/>
  <c r="P1053" i="61"/>
  <c r="Q1053" i="61"/>
  <c r="R1053" i="61"/>
  <c r="S1053" i="61"/>
  <c r="T1053" i="61"/>
  <c r="U1053" i="61"/>
  <c r="V1053" i="61"/>
  <c r="X1053" i="61"/>
  <c r="Q1054" i="61"/>
  <c r="R1054" i="61"/>
  <c r="S1054" i="61"/>
  <c r="T1054" i="61"/>
  <c r="U1054" i="61"/>
  <c r="Q1055" i="61"/>
  <c r="R1055" i="61"/>
  <c r="S1055" i="61"/>
  <c r="T1055" i="61"/>
  <c r="U1055" i="61"/>
  <c r="P1056" i="61"/>
  <c r="Q1056" i="61"/>
  <c r="R1056" i="61"/>
  <c r="S1056" i="61"/>
  <c r="T1056" i="61"/>
  <c r="U1056" i="61"/>
  <c r="V1056" i="61"/>
  <c r="X1056" i="61"/>
  <c r="Q1057" i="61"/>
  <c r="R1057" i="61"/>
  <c r="S1057" i="61"/>
  <c r="T1057" i="61"/>
  <c r="U1057" i="61"/>
  <c r="P1058" i="61"/>
  <c r="Q1058" i="61"/>
  <c r="R1058" i="61"/>
  <c r="S1058" i="61"/>
  <c r="T1058" i="61"/>
  <c r="U1058" i="61"/>
  <c r="V1058" i="61"/>
  <c r="X1058" i="61"/>
  <c r="P1059" i="61"/>
  <c r="Q1059" i="61"/>
  <c r="R1059" i="61"/>
  <c r="S1059" i="61"/>
  <c r="T1059" i="61"/>
  <c r="U1059" i="61"/>
  <c r="V1059" i="61"/>
  <c r="X1059" i="61"/>
  <c r="P1060" i="61"/>
  <c r="Q1060" i="61"/>
  <c r="R1060" i="61"/>
  <c r="S1060" i="61"/>
  <c r="T1060" i="61"/>
  <c r="U1060" i="61"/>
  <c r="V1060" i="61"/>
  <c r="X1060" i="61"/>
  <c r="P1061" i="61"/>
  <c r="Q1061" i="61"/>
  <c r="R1061" i="61"/>
  <c r="S1061" i="61"/>
  <c r="T1061" i="61"/>
  <c r="U1061" i="61"/>
  <c r="X1061" i="61"/>
  <c r="Q1062" i="61"/>
  <c r="S1062" i="61"/>
  <c r="U1062" i="61"/>
  <c r="P1063" i="61"/>
  <c r="Q1063" i="61"/>
  <c r="R1063" i="61"/>
  <c r="S1063" i="61"/>
  <c r="T1063" i="61"/>
  <c r="U1063" i="61"/>
  <c r="V1063" i="61"/>
  <c r="X1063" i="61"/>
  <c r="P1064" i="61"/>
  <c r="Q1064" i="61"/>
  <c r="R1064" i="61"/>
  <c r="S1064" i="61"/>
  <c r="T1064" i="61"/>
  <c r="U1064" i="61"/>
  <c r="X1064" i="61"/>
  <c r="P1065" i="61"/>
  <c r="Q1065" i="61"/>
  <c r="R1065" i="61"/>
  <c r="S1065" i="61"/>
  <c r="T1065" i="61"/>
  <c r="U1065" i="61"/>
  <c r="V1065" i="61"/>
  <c r="X1065" i="61"/>
  <c r="P1066" i="61"/>
  <c r="Q1066" i="61"/>
  <c r="R1066" i="61"/>
  <c r="S1066" i="61"/>
  <c r="T1066" i="61"/>
  <c r="U1066" i="61"/>
  <c r="V1066" i="61"/>
  <c r="X1066" i="61"/>
  <c r="P1067" i="61"/>
  <c r="Q1067" i="61"/>
  <c r="R1067" i="61"/>
  <c r="S1067" i="61"/>
  <c r="T1067" i="61"/>
  <c r="U1067" i="61"/>
  <c r="V1067" i="61"/>
  <c r="X1067" i="61"/>
  <c r="S1068" i="61"/>
  <c r="U1068" i="61"/>
  <c r="P1069" i="61"/>
  <c r="Q1069" i="61"/>
  <c r="R1069" i="61"/>
  <c r="S1069" i="61"/>
  <c r="T1069" i="61"/>
  <c r="U1069" i="61"/>
  <c r="V1069" i="61"/>
  <c r="X1069" i="61"/>
  <c r="P1070" i="61"/>
  <c r="Q1070" i="61"/>
  <c r="R1070" i="61"/>
  <c r="S1070" i="61"/>
  <c r="T1070" i="61"/>
  <c r="U1070" i="61"/>
  <c r="V1070" i="61"/>
  <c r="X1070" i="61"/>
  <c r="P1071" i="61"/>
  <c r="Q1071" i="61"/>
  <c r="R1071" i="61"/>
  <c r="S1071" i="61"/>
  <c r="T1071" i="61"/>
  <c r="U1071" i="61"/>
  <c r="V1071" i="61"/>
  <c r="X1071" i="61"/>
  <c r="P1072" i="61"/>
  <c r="R1072" i="61"/>
  <c r="S1072" i="61"/>
  <c r="T1072" i="61"/>
  <c r="U1072" i="61"/>
  <c r="X1072" i="61"/>
  <c r="P1073" i="61"/>
  <c r="Q1073" i="61"/>
  <c r="R1073" i="61"/>
  <c r="S1073" i="61"/>
  <c r="T1073" i="61"/>
  <c r="U1073" i="61"/>
  <c r="V1073" i="61"/>
  <c r="X1073" i="61"/>
  <c r="P1074" i="61"/>
  <c r="Q1074" i="61"/>
  <c r="R1074" i="61"/>
  <c r="S1074" i="61"/>
  <c r="T1074" i="61"/>
  <c r="U1074" i="61"/>
  <c r="V1074" i="61"/>
  <c r="X1074" i="61"/>
  <c r="P1075" i="61"/>
  <c r="Q1075" i="61"/>
  <c r="R1075" i="61"/>
  <c r="S1075" i="61"/>
  <c r="T1075" i="61"/>
  <c r="U1075" i="61"/>
  <c r="V1075" i="61"/>
  <c r="X1075" i="61"/>
  <c r="P1076" i="61"/>
  <c r="Q1076" i="61"/>
  <c r="R1076" i="61"/>
  <c r="S1076" i="61"/>
  <c r="T1076" i="61"/>
  <c r="U1076" i="61"/>
  <c r="V1076" i="61"/>
  <c r="X1076" i="61"/>
  <c r="P1077" i="61"/>
  <c r="Q1077" i="61"/>
  <c r="R1077" i="61"/>
  <c r="S1077" i="61"/>
  <c r="T1077" i="61"/>
  <c r="U1077" i="61"/>
  <c r="V1077" i="61"/>
  <c r="X1077" i="61"/>
  <c r="P1078" i="61"/>
  <c r="Q1078" i="61"/>
  <c r="R1078" i="61"/>
  <c r="S1078" i="61"/>
  <c r="T1078" i="61"/>
  <c r="U1078" i="61"/>
  <c r="V1078" i="61"/>
  <c r="X1078" i="61"/>
  <c r="P1079" i="61"/>
  <c r="S1079" i="61"/>
  <c r="U1079" i="61"/>
  <c r="X1079" i="61"/>
  <c r="P1080" i="61"/>
  <c r="Q1080" i="61"/>
  <c r="S1080" i="61"/>
  <c r="U1080" i="61"/>
  <c r="X1080" i="61"/>
  <c r="P1081" i="61"/>
  <c r="Q1081" i="61"/>
  <c r="R1081" i="61"/>
  <c r="S1081" i="61"/>
  <c r="T1081" i="61"/>
  <c r="U1081" i="61"/>
  <c r="V1081" i="61"/>
  <c r="X1081" i="61"/>
  <c r="P1082" i="61"/>
  <c r="Q1082" i="61"/>
  <c r="R1082" i="61"/>
  <c r="S1082" i="61"/>
  <c r="T1082" i="61"/>
  <c r="U1082" i="61"/>
  <c r="X1082" i="61"/>
  <c r="P1083" i="61"/>
  <c r="Q1083" i="61"/>
  <c r="R1083" i="61"/>
  <c r="S1083" i="61"/>
  <c r="T1083" i="61"/>
  <c r="U1083" i="61"/>
  <c r="V1083" i="61"/>
  <c r="X1083" i="61"/>
  <c r="P1084" i="61"/>
  <c r="Q1084" i="61"/>
  <c r="R1084" i="61"/>
  <c r="S1084" i="61"/>
  <c r="T1084" i="61"/>
  <c r="U1084" i="61"/>
  <c r="V1084" i="61"/>
  <c r="X1084" i="61"/>
  <c r="P1085" i="61"/>
  <c r="Q1085" i="61"/>
  <c r="R1085" i="61"/>
  <c r="S1085" i="61"/>
  <c r="T1085" i="61"/>
  <c r="U1085" i="61"/>
  <c r="V1085" i="61"/>
  <c r="X1085" i="61"/>
  <c r="P1086" i="61"/>
  <c r="Q1086" i="61"/>
  <c r="R1086" i="61"/>
  <c r="S1086" i="61"/>
  <c r="T1086" i="61"/>
  <c r="U1086" i="61"/>
  <c r="V1086" i="61"/>
  <c r="X1086" i="61"/>
  <c r="P1087" i="61"/>
  <c r="Q1087" i="61"/>
  <c r="R1087" i="61"/>
  <c r="S1087" i="61"/>
  <c r="T1087" i="61"/>
  <c r="U1087" i="61"/>
  <c r="V1087" i="61"/>
  <c r="X1087" i="61"/>
  <c r="P1088" i="61"/>
  <c r="Q1088" i="61"/>
  <c r="R1088" i="61"/>
  <c r="S1088" i="61"/>
  <c r="T1088" i="61"/>
  <c r="U1088" i="61"/>
  <c r="V1088" i="61"/>
  <c r="X1088" i="61"/>
  <c r="P1089" i="61"/>
  <c r="Q1089" i="61"/>
  <c r="R1089" i="61"/>
  <c r="S1089" i="61"/>
  <c r="T1089" i="61"/>
  <c r="U1089" i="61"/>
  <c r="V1089" i="61"/>
  <c r="X1089" i="61"/>
  <c r="P1090" i="61"/>
  <c r="S1090" i="61"/>
  <c r="U1090" i="61"/>
  <c r="X1090" i="61"/>
  <c r="P1091" i="61"/>
  <c r="Q1091" i="61"/>
  <c r="R1091" i="61"/>
  <c r="S1091" i="61"/>
  <c r="T1091" i="61"/>
  <c r="U1091" i="61"/>
  <c r="V1091" i="61"/>
  <c r="X1091" i="61"/>
  <c r="P1092" i="61"/>
  <c r="Q1092" i="61"/>
  <c r="R1092" i="61"/>
  <c r="S1092" i="61"/>
  <c r="T1092" i="61"/>
  <c r="U1092" i="61"/>
  <c r="V1092" i="61"/>
  <c r="X1092" i="61"/>
  <c r="P1093" i="61"/>
  <c r="Q1093" i="61"/>
  <c r="R1093" i="61"/>
  <c r="S1093" i="61"/>
  <c r="T1093" i="61"/>
  <c r="U1093" i="61"/>
  <c r="V1093" i="61"/>
  <c r="X1093" i="61"/>
  <c r="P1094" i="61"/>
  <c r="Q1094" i="61"/>
  <c r="R1094" i="61"/>
  <c r="S1094" i="61"/>
  <c r="T1094" i="61"/>
  <c r="U1094" i="61"/>
  <c r="V1094" i="61"/>
  <c r="X1094" i="61"/>
  <c r="P1095" i="61"/>
  <c r="Q1095" i="61"/>
  <c r="R1095" i="61"/>
  <c r="S1095" i="61"/>
  <c r="T1095" i="61"/>
  <c r="U1095" i="61"/>
  <c r="V1095" i="61"/>
  <c r="X1095" i="61"/>
  <c r="P1096" i="61"/>
  <c r="Q1096" i="61"/>
  <c r="R1096" i="61"/>
  <c r="S1096" i="61"/>
  <c r="T1096" i="61"/>
  <c r="U1096" i="61"/>
  <c r="V1096" i="61"/>
  <c r="X1096" i="61"/>
  <c r="P1097" i="61"/>
  <c r="Q1097" i="61"/>
  <c r="R1097" i="61"/>
  <c r="S1097" i="61"/>
  <c r="T1097" i="61"/>
  <c r="U1097" i="61"/>
  <c r="X1097" i="61"/>
  <c r="P1098" i="61"/>
  <c r="Q1098" i="61"/>
  <c r="R1098" i="61"/>
  <c r="S1098" i="61"/>
  <c r="T1098" i="61"/>
  <c r="U1098" i="61"/>
  <c r="V1098" i="61"/>
  <c r="X1098" i="61"/>
  <c r="P1099" i="61"/>
  <c r="Q1099" i="61"/>
  <c r="R1099" i="61"/>
  <c r="S1099" i="61"/>
  <c r="T1099" i="61"/>
  <c r="U1099" i="61"/>
  <c r="V1099" i="61"/>
  <c r="X1099" i="61"/>
  <c r="P1100" i="61"/>
  <c r="Q1100" i="61"/>
  <c r="R1100" i="61"/>
  <c r="S1100" i="61"/>
  <c r="T1100" i="61"/>
  <c r="U1100" i="61"/>
  <c r="V1100" i="61"/>
  <c r="X1100" i="61"/>
  <c r="P1101" i="61"/>
  <c r="Q1101" i="61"/>
  <c r="R1101" i="61"/>
  <c r="S1101" i="61"/>
  <c r="T1101" i="61"/>
  <c r="U1101" i="61"/>
  <c r="V1101" i="61"/>
  <c r="X1101" i="61"/>
  <c r="P1102" i="61"/>
  <c r="Q1102" i="61"/>
  <c r="R1102" i="61"/>
  <c r="S1102" i="61"/>
  <c r="T1102" i="61"/>
  <c r="U1102" i="61"/>
  <c r="V1102" i="61"/>
  <c r="X1102" i="61"/>
  <c r="P1103" i="61"/>
  <c r="Q1103" i="61"/>
  <c r="R1103" i="61"/>
  <c r="S1103" i="61"/>
  <c r="T1103" i="61"/>
  <c r="U1103" i="61"/>
  <c r="V1103" i="61"/>
  <c r="X1103" i="61"/>
  <c r="P1104" i="61"/>
  <c r="Q1104" i="61"/>
  <c r="R1104" i="61"/>
  <c r="S1104" i="61"/>
  <c r="T1104" i="61"/>
  <c r="U1104" i="61"/>
  <c r="V1104" i="61"/>
  <c r="X1104" i="61"/>
  <c r="P1105" i="61"/>
  <c r="Q1105" i="61"/>
  <c r="R1105" i="61"/>
  <c r="S1105" i="61"/>
  <c r="T1105" i="61"/>
  <c r="U1105" i="61"/>
  <c r="V1105" i="61"/>
  <c r="X1105" i="61"/>
  <c r="P1106" i="61"/>
  <c r="Q1106" i="61"/>
  <c r="R1106" i="61"/>
  <c r="S1106" i="61"/>
  <c r="T1106" i="61"/>
  <c r="U1106" i="61"/>
  <c r="V1106" i="61"/>
  <c r="X1106" i="61"/>
  <c r="P1107" i="61"/>
  <c r="Q1107" i="61"/>
  <c r="R1107" i="61"/>
  <c r="S1107" i="61"/>
  <c r="T1107" i="61"/>
  <c r="U1107" i="61"/>
  <c r="V1107" i="61"/>
  <c r="X1107" i="61"/>
  <c r="P1108" i="61"/>
  <c r="Q1108" i="61"/>
  <c r="R1108" i="61"/>
  <c r="S1108" i="61"/>
  <c r="T1108" i="61"/>
  <c r="U1108" i="61"/>
  <c r="V1108" i="61"/>
  <c r="X1108" i="61"/>
  <c r="P1109" i="61"/>
  <c r="Q1109" i="61"/>
  <c r="R1109" i="61"/>
  <c r="S1109" i="61"/>
  <c r="T1109" i="61"/>
  <c r="U1109" i="61"/>
  <c r="V1109" i="61"/>
  <c r="X1109" i="61"/>
  <c r="P1110" i="61"/>
  <c r="S1110" i="61"/>
  <c r="U1110" i="61"/>
  <c r="X1110" i="61"/>
  <c r="P1111" i="61"/>
  <c r="Q1111" i="61"/>
  <c r="R1111" i="61"/>
  <c r="S1111" i="61"/>
  <c r="T1111" i="61"/>
  <c r="U1111" i="61"/>
  <c r="V1111" i="61"/>
  <c r="X1111" i="61"/>
  <c r="P1112" i="61"/>
  <c r="Q1112" i="61"/>
  <c r="R1112" i="61"/>
  <c r="S1112" i="61"/>
  <c r="T1112" i="61"/>
  <c r="U1112" i="61"/>
  <c r="V1112" i="61"/>
  <c r="X1112" i="61"/>
  <c r="P1113" i="61"/>
  <c r="Q1113" i="61"/>
  <c r="R1113" i="61"/>
  <c r="S1113" i="61"/>
  <c r="T1113" i="61"/>
  <c r="U1113" i="61"/>
  <c r="V1113" i="61"/>
  <c r="X1113" i="61"/>
  <c r="P1114" i="61"/>
  <c r="Q1114" i="61"/>
  <c r="R1114" i="61"/>
  <c r="S1114" i="61"/>
  <c r="T1114" i="61"/>
  <c r="U1114" i="61"/>
  <c r="V1114" i="61"/>
  <c r="X1114" i="61"/>
  <c r="P1115" i="61"/>
  <c r="Q1115" i="61"/>
  <c r="R1115" i="61"/>
  <c r="S1115" i="61"/>
  <c r="T1115" i="61"/>
  <c r="U1115" i="61"/>
  <c r="V1115" i="61"/>
  <c r="X1115" i="61"/>
  <c r="P1116" i="61"/>
  <c r="Q1116" i="61"/>
  <c r="R1116" i="61"/>
  <c r="S1116" i="61"/>
  <c r="T1116" i="61"/>
  <c r="U1116" i="61"/>
  <c r="V1116" i="61"/>
  <c r="X1116" i="61"/>
  <c r="P1117" i="61"/>
  <c r="Q1117" i="61"/>
  <c r="R1117" i="61"/>
  <c r="S1117" i="61"/>
  <c r="T1117" i="61"/>
  <c r="U1117" i="61"/>
  <c r="V1117" i="61"/>
  <c r="X1117" i="61"/>
  <c r="P1118" i="61"/>
  <c r="Q1118" i="61"/>
  <c r="R1118" i="61"/>
  <c r="S1118" i="61"/>
  <c r="T1118" i="61"/>
  <c r="U1118" i="61"/>
  <c r="V1118" i="61"/>
  <c r="X1118" i="61"/>
  <c r="P1119" i="61"/>
  <c r="Q1119" i="61"/>
  <c r="R1119" i="61"/>
  <c r="S1119" i="61"/>
  <c r="T1119" i="61"/>
  <c r="U1119" i="61"/>
  <c r="V1119" i="61"/>
  <c r="X1119" i="61"/>
  <c r="P1120" i="61"/>
  <c r="Q1120" i="61"/>
  <c r="R1120" i="61"/>
  <c r="S1120" i="61"/>
  <c r="T1120" i="61"/>
  <c r="U1120" i="61"/>
  <c r="V1120" i="61"/>
  <c r="X1120" i="61"/>
  <c r="P1121" i="61"/>
  <c r="Q1121" i="61"/>
  <c r="R1121" i="61"/>
  <c r="S1121" i="61"/>
  <c r="T1121" i="61"/>
  <c r="U1121" i="61"/>
  <c r="V1121" i="61"/>
  <c r="X1121" i="61"/>
  <c r="P1122" i="61"/>
  <c r="Q1122" i="61"/>
  <c r="R1122" i="61"/>
  <c r="S1122" i="61"/>
  <c r="T1122" i="61"/>
  <c r="U1122" i="61"/>
  <c r="V1122" i="61"/>
  <c r="X1122" i="61"/>
  <c r="P1123" i="61"/>
  <c r="Q1123" i="61"/>
  <c r="R1123" i="61"/>
  <c r="S1123" i="61"/>
  <c r="T1123" i="61"/>
  <c r="U1123" i="61"/>
  <c r="V1123" i="61"/>
  <c r="X1123" i="61"/>
  <c r="P1124" i="61"/>
  <c r="Q1124" i="61"/>
  <c r="R1124" i="61"/>
  <c r="S1124" i="61"/>
  <c r="T1124" i="61"/>
  <c r="U1124" i="61"/>
  <c r="V1124" i="61"/>
  <c r="X1124" i="61"/>
  <c r="P1125" i="61"/>
  <c r="Q1125" i="61"/>
  <c r="R1125" i="61"/>
  <c r="S1125" i="61"/>
  <c r="T1125" i="61"/>
  <c r="U1125" i="61"/>
  <c r="V1125" i="61"/>
  <c r="X1125" i="61"/>
  <c r="P1126" i="61"/>
  <c r="Q1126" i="61"/>
  <c r="R1126" i="61"/>
  <c r="S1126" i="61"/>
  <c r="T1126" i="61"/>
  <c r="U1126" i="61"/>
  <c r="V1126" i="61"/>
  <c r="X1126" i="61"/>
  <c r="P1127" i="61"/>
  <c r="Q1127" i="61"/>
  <c r="R1127" i="61"/>
  <c r="S1127" i="61"/>
  <c r="T1127" i="61"/>
  <c r="U1127" i="61"/>
  <c r="V1127" i="61"/>
  <c r="X1127" i="61"/>
  <c r="P1128" i="61"/>
  <c r="Q1128" i="61"/>
  <c r="R1128" i="61"/>
  <c r="S1128" i="61"/>
  <c r="T1128" i="61"/>
  <c r="U1128" i="61"/>
  <c r="V1128" i="61"/>
  <c r="X1128" i="61"/>
  <c r="P1129" i="61"/>
  <c r="Q1129" i="61"/>
  <c r="R1129" i="61"/>
  <c r="S1129" i="61"/>
  <c r="T1129" i="61"/>
  <c r="U1129" i="61"/>
  <c r="V1129" i="61"/>
  <c r="X1129" i="61"/>
  <c r="P1130" i="61"/>
  <c r="Q1130" i="61"/>
  <c r="R1130" i="61"/>
  <c r="S1130" i="61"/>
  <c r="T1130" i="61"/>
  <c r="U1130" i="61"/>
  <c r="V1130" i="61"/>
  <c r="X1130" i="61"/>
  <c r="P1131" i="61"/>
  <c r="Q1131" i="61"/>
  <c r="R1131" i="61"/>
  <c r="S1131" i="61"/>
  <c r="T1131" i="61"/>
  <c r="U1131" i="61"/>
  <c r="V1131" i="61"/>
  <c r="X1131" i="61"/>
  <c r="P1132" i="61"/>
  <c r="Q1132" i="61"/>
  <c r="R1132" i="61"/>
  <c r="S1132" i="61"/>
  <c r="T1132" i="61"/>
  <c r="U1132" i="61"/>
  <c r="V1132" i="61"/>
  <c r="X1132" i="61"/>
  <c r="P1133" i="61"/>
  <c r="Q1133" i="61"/>
  <c r="R1133" i="61"/>
  <c r="S1133" i="61"/>
  <c r="T1133" i="61"/>
  <c r="U1133" i="61"/>
  <c r="V1133" i="61"/>
  <c r="X1133" i="61"/>
  <c r="P1134" i="61"/>
  <c r="Q1134" i="61"/>
  <c r="R1134" i="61"/>
  <c r="S1134" i="61"/>
  <c r="T1134" i="61"/>
  <c r="U1134" i="61"/>
  <c r="V1134" i="61"/>
  <c r="X1134" i="61"/>
  <c r="P1135" i="61"/>
  <c r="Q1135" i="61"/>
  <c r="R1135" i="61"/>
  <c r="S1135" i="61"/>
  <c r="T1135" i="61"/>
  <c r="U1135" i="61"/>
  <c r="V1135" i="61"/>
  <c r="X1135" i="61"/>
  <c r="P1136" i="61"/>
  <c r="Q1136" i="61"/>
  <c r="R1136" i="61"/>
  <c r="S1136" i="61"/>
  <c r="T1136" i="61"/>
  <c r="U1136" i="61"/>
  <c r="V1136" i="61"/>
  <c r="X1136" i="61"/>
  <c r="P1137" i="61"/>
  <c r="Q1137" i="61"/>
  <c r="R1137" i="61"/>
  <c r="S1137" i="61"/>
  <c r="T1137" i="61"/>
  <c r="U1137" i="61"/>
  <c r="V1137" i="61"/>
  <c r="X1137" i="61"/>
  <c r="P1138" i="61"/>
  <c r="Q1138" i="61"/>
  <c r="R1138" i="61"/>
  <c r="S1138" i="61"/>
  <c r="T1138" i="61"/>
  <c r="U1138" i="61"/>
  <c r="V1138" i="61"/>
  <c r="X1138" i="61"/>
  <c r="P1139" i="61"/>
  <c r="Q1139" i="61"/>
  <c r="R1139" i="61"/>
  <c r="S1139" i="61"/>
  <c r="T1139" i="61"/>
  <c r="U1139" i="61"/>
  <c r="V1139" i="61"/>
  <c r="X1139" i="61"/>
  <c r="P1140" i="61"/>
  <c r="Q1140" i="61"/>
  <c r="R1140" i="61"/>
  <c r="S1140" i="61"/>
  <c r="T1140" i="61"/>
  <c r="U1140" i="61"/>
  <c r="V1140" i="61"/>
  <c r="X1140" i="61"/>
  <c r="P1141" i="61"/>
  <c r="Q1141" i="61"/>
  <c r="R1141" i="61"/>
  <c r="S1141" i="61"/>
  <c r="T1141" i="61"/>
  <c r="U1141" i="61"/>
  <c r="V1141" i="61"/>
  <c r="X1141" i="61"/>
  <c r="P1142" i="61"/>
  <c r="Q1142" i="61"/>
  <c r="R1142" i="61"/>
  <c r="S1142" i="61"/>
  <c r="T1142" i="61"/>
  <c r="U1142" i="61"/>
  <c r="V1142" i="61"/>
  <c r="X1142" i="61"/>
  <c r="P1143" i="61"/>
  <c r="Q1143" i="61"/>
  <c r="R1143" i="61"/>
  <c r="S1143" i="61"/>
  <c r="T1143" i="61"/>
  <c r="U1143" i="61"/>
  <c r="V1143" i="61"/>
  <c r="X1143" i="61"/>
  <c r="P1144" i="61"/>
  <c r="Q1144" i="61"/>
  <c r="R1144" i="61"/>
  <c r="S1144" i="61"/>
  <c r="T1144" i="61"/>
  <c r="U1144" i="61"/>
  <c r="V1144" i="61"/>
  <c r="X1144" i="61"/>
  <c r="P1145" i="61"/>
  <c r="Q1145" i="61"/>
  <c r="R1145" i="61"/>
  <c r="S1145" i="61"/>
  <c r="T1145" i="61"/>
  <c r="U1145" i="61"/>
  <c r="V1145" i="61"/>
  <c r="X1145" i="61"/>
  <c r="P1146" i="61"/>
  <c r="Q1146" i="61"/>
  <c r="R1146" i="61"/>
  <c r="S1146" i="61"/>
  <c r="T1146" i="61"/>
  <c r="U1146" i="61"/>
  <c r="V1146" i="61"/>
  <c r="X1146" i="61"/>
  <c r="P1147" i="61"/>
  <c r="Q1147" i="61"/>
  <c r="R1147" i="61"/>
  <c r="S1147" i="61"/>
  <c r="T1147" i="61"/>
  <c r="U1147" i="61"/>
  <c r="V1147" i="61"/>
  <c r="X1147" i="61"/>
  <c r="P1148" i="61"/>
  <c r="Q1148" i="61"/>
  <c r="R1148" i="61"/>
  <c r="S1148" i="61"/>
  <c r="T1148" i="61"/>
  <c r="U1148" i="61"/>
  <c r="V1148" i="61"/>
  <c r="X1148" i="61"/>
  <c r="P1149" i="61"/>
  <c r="Q1149" i="61"/>
  <c r="R1149" i="61"/>
  <c r="S1149" i="61"/>
  <c r="T1149" i="61"/>
  <c r="U1149" i="61"/>
  <c r="V1149" i="61"/>
  <c r="X1149" i="61"/>
  <c r="P1150" i="61"/>
  <c r="Q1150" i="61"/>
  <c r="R1150" i="61"/>
  <c r="S1150" i="61"/>
  <c r="T1150" i="61"/>
  <c r="U1150" i="61"/>
  <c r="V1150" i="61"/>
  <c r="X1150" i="61"/>
  <c r="P1151" i="61"/>
  <c r="Q1151" i="61"/>
  <c r="R1151" i="61"/>
  <c r="S1151" i="61"/>
  <c r="T1151" i="61"/>
  <c r="U1151" i="61"/>
  <c r="V1151" i="61"/>
  <c r="X1151" i="61"/>
  <c r="P1152" i="61"/>
  <c r="Q1152" i="61"/>
  <c r="R1152" i="61"/>
  <c r="S1152" i="61"/>
  <c r="T1152" i="61"/>
  <c r="U1152" i="61"/>
  <c r="V1152" i="61"/>
  <c r="X1152" i="61"/>
  <c r="P1153" i="61"/>
  <c r="Q1153" i="61"/>
  <c r="R1153" i="61"/>
  <c r="S1153" i="61"/>
  <c r="T1153" i="61"/>
  <c r="U1153" i="61"/>
  <c r="V1153" i="61"/>
  <c r="X1153" i="61"/>
  <c r="P1154" i="61"/>
  <c r="Q1154" i="61"/>
  <c r="R1154" i="61"/>
  <c r="S1154" i="61"/>
  <c r="T1154" i="61"/>
  <c r="U1154" i="61"/>
  <c r="V1154" i="61"/>
  <c r="X1154" i="61"/>
  <c r="P1155" i="61"/>
  <c r="Q1155" i="61"/>
  <c r="R1155" i="61"/>
  <c r="S1155" i="61"/>
  <c r="T1155" i="61"/>
  <c r="U1155" i="61"/>
  <c r="V1155" i="61"/>
  <c r="X1155" i="61"/>
  <c r="P1156" i="61"/>
  <c r="Q1156" i="61"/>
  <c r="R1156" i="61"/>
  <c r="S1156" i="61"/>
  <c r="T1156" i="61"/>
  <c r="U1156" i="61"/>
  <c r="V1156" i="61"/>
  <c r="X1156" i="61"/>
  <c r="P1157" i="61"/>
  <c r="Q1157" i="61"/>
  <c r="R1157" i="61"/>
  <c r="S1157" i="61"/>
  <c r="T1157" i="61"/>
  <c r="U1157" i="61"/>
  <c r="V1157" i="61"/>
  <c r="X1157" i="61"/>
  <c r="P1158" i="61"/>
  <c r="Q1158" i="61"/>
  <c r="R1158" i="61"/>
  <c r="S1158" i="61"/>
  <c r="T1158" i="61"/>
  <c r="U1158" i="61"/>
  <c r="V1158" i="61"/>
  <c r="X1158" i="61"/>
  <c r="P1159" i="61"/>
  <c r="Q1159" i="61"/>
  <c r="R1159" i="61"/>
  <c r="S1159" i="61"/>
  <c r="T1159" i="61"/>
  <c r="U1159" i="61"/>
  <c r="V1159" i="61"/>
  <c r="X1159" i="61"/>
  <c r="P1160" i="61"/>
  <c r="Q1160" i="61"/>
  <c r="R1160" i="61"/>
  <c r="S1160" i="61"/>
  <c r="T1160" i="61"/>
  <c r="U1160" i="61"/>
  <c r="V1160" i="61"/>
  <c r="X1160" i="61"/>
  <c r="P1161" i="61"/>
  <c r="Q1161" i="61"/>
  <c r="R1161" i="61"/>
  <c r="S1161" i="61"/>
  <c r="T1161" i="61"/>
  <c r="U1161" i="61"/>
  <c r="V1161" i="61"/>
  <c r="X1161" i="61"/>
  <c r="P1162" i="61"/>
  <c r="Q1162" i="61"/>
  <c r="R1162" i="61"/>
  <c r="S1162" i="61"/>
  <c r="T1162" i="61"/>
  <c r="U1162" i="61"/>
  <c r="V1162" i="61"/>
  <c r="X1162" i="61"/>
  <c r="P1163" i="61"/>
  <c r="Q1163" i="61"/>
  <c r="R1163" i="61"/>
  <c r="S1163" i="61"/>
  <c r="T1163" i="61"/>
  <c r="U1163" i="61"/>
  <c r="V1163" i="61"/>
  <c r="X1163" i="61"/>
  <c r="P1164" i="61"/>
  <c r="Q1164" i="61"/>
  <c r="R1164" i="61"/>
  <c r="S1164" i="61"/>
  <c r="T1164" i="61"/>
  <c r="U1164" i="61"/>
  <c r="V1164" i="61"/>
  <c r="X1164" i="61"/>
  <c r="P1165" i="61"/>
  <c r="Q1165" i="61"/>
  <c r="R1165" i="61"/>
  <c r="S1165" i="61"/>
  <c r="T1165" i="61"/>
  <c r="U1165" i="61"/>
  <c r="V1165" i="61"/>
  <c r="X1165" i="61"/>
  <c r="P1166" i="61"/>
  <c r="Q1166" i="61"/>
  <c r="R1166" i="61"/>
  <c r="S1166" i="61"/>
  <c r="T1166" i="61"/>
  <c r="U1166" i="61"/>
  <c r="V1166" i="61"/>
  <c r="X1166" i="61"/>
  <c r="P1167" i="61"/>
  <c r="Q1167" i="61"/>
  <c r="R1167" i="61"/>
  <c r="S1167" i="61"/>
  <c r="T1167" i="61"/>
  <c r="U1167" i="61"/>
  <c r="V1167" i="61"/>
  <c r="X1167" i="61"/>
  <c r="P1168" i="61"/>
  <c r="Q1168" i="61"/>
  <c r="R1168" i="61"/>
  <c r="S1168" i="61"/>
  <c r="T1168" i="61"/>
  <c r="U1168" i="61"/>
  <c r="V1168" i="61"/>
  <c r="X1168" i="61"/>
  <c r="P1169" i="61"/>
  <c r="Q1169" i="61"/>
  <c r="R1169" i="61"/>
  <c r="S1169" i="61"/>
  <c r="T1169" i="61"/>
  <c r="U1169" i="61"/>
  <c r="V1169" i="61"/>
  <c r="X1169" i="61"/>
  <c r="P1170" i="61"/>
  <c r="Q1170" i="61"/>
  <c r="R1170" i="61"/>
  <c r="S1170" i="61"/>
  <c r="T1170" i="61"/>
  <c r="U1170" i="61"/>
  <c r="V1170" i="61"/>
  <c r="X1170" i="61"/>
  <c r="P1171" i="61"/>
  <c r="Q1171" i="61"/>
  <c r="R1171" i="61"/>
  <c r="S1171" i="61"/>
  <c r="T1171" i="61"/>
  <c r="U1171" i="61"/>
  <c r="V1171" i="61"/>
  <c r="X1171" i="61"/>
  <c r="P1172" i="61"/>
  <c r="Q1172" i="61"/>
  <c r="R1172" i="61"/>
  <c r="S1172" i="61"/>
  <c r="T1172" i="61"/>
  <c r="U1172" i="61"/>
  <c r="V1172" i="61"/>
  <c r="X1172" i="61"/>
  <c r="P1173" i="61"/>
  <c r="Q1173" i="61"/>
  <c r="R1173" i="61"/>
  <c r="S1173" i="61"/>
  <c r="T1173" i="61"/>
  <c r="U1173" i="61"/>
  <c r="V1173" i="61"/>
  <c r="X1173" i="61"/>
  <c r="P1174" i="61"/>
  <c r="Q1174" i="61"/>
  <c r="R1174" i="61"/>
  <c r="S1174" i="61"/>
  <c r="T1174" i="61"/>
  <c r="U1174" i="61"/>
  <c r="V1174" i="61"/>
  <c r="X1174" i="61"/>
  <c r="Q1175" i="61"/>
  <c r="S1175" i="61"/>
  <c r="U1175" i="61"/>
  <c r="P1176" i="61"/>
  <c r="Q1176" i="61"/>
  <c r="R1176" i="61"/>
  <c r="S1176" i="61"/>
  <c r="T1176" i="61"/>
  <c r="U1176" i="61"/>
  <c r="V1176" i="61"/>
  <c r="X1176" i="61"/>
  <c r="P1177" i="61"/>
  <c r="Q1177" i="61"/>
  <c r="R1177" i="61"/>
  <c r="S1177" i="61"/>
  <c r="T1177" i="61"/>
  <c r="U1177" i="61"/>
  <c r="V1177" i="61"/>
  <c r="X1177" i="61"/>
  <c r="P1178" i="61"/>
  <c r="Q1178" i="61"/>
  <c r="R1178" i="61"/>
  <c r="S1178" i="61"/>
  <c r="T1178" i="61"/>
  <c r="U1178" i="61"/>
  <c r="V1178" i="61"/>
  <c r="X1178" i="61"/>
  <c r="P1179" i="61"/>
  <c r="Q1179" i="61"/>
  <c r="R1179" i="61"/>
  <c r="S1179" i="61"/>
  <c r="T1179" i="61"/>
  <c r="U1179" i="61"/>
  <c r="V1179" i="61"/>
  <c r="X1179" i="61"/>
  <c r="P1180" i="61"/>
  <c r="Q1180" i="61"/>
  <c r="R1180" i="61"/>
  <c r="S1180" i="61"/>
  <c r="T1180" i="61"/>
  <c r="U1180" i="61"/>
  <c r="V1180" i="61"/>
  <c r="X1180" i="61"/>
  <c r="P1181" i="61"/>
  <c r="Q1181" i="61"/>
  <c r="R1181" i="61"/>
  <c r="S1181" i="61"/>
  <c r="T1181" i="61"/>
  <c r="U1181" i="61"/>
  <c r="V1181" i="61"/>
  <c r="X1181" i="61"/>
  <c r="P1182" i="61"/>
  <c r="Q1182" i="61"/>
  <c r="R1182" i="61"/>
  <c r="S1182" i="61"/>
  <c r="T1182" i="61"/>
  <c r="U1182" i="61"/>
  <c r="V1182" i="61"/>
  <c r="X1182" i="61"/>
  <c r="P1183" i="61"/>
  <c r="Q1183" i="61"/>
  <c r="R1183" i="61"/>
  <c r="S1183" i="61"/>
  <c r="T1183" i="61"/>
  <c r="U1183" i="61"/>
  <c r="V1183" i="61"/>
  <c r="X1183" i="61"/>
  <c r="P1184" i="61"/>
  <c r="Q1184" i="61"/>
  <c r="R1184" i="61"/>
  <c r="S1184" i="61"/>
  <c r="T1184" i="61"/>
  <c r="U1184" i="61"/>
  <c r="V1184" i="61"/>
  <c r="X1184" i="61"/>
  <c r="P1185" i="61"/>
  <c r="Q1185" i="61"/>
  <c r="R1185" i="61"/>
  <c r="S1185" i="61"/>
  <c r="T1185" i="61"/>
  <c r="U1185" i="61"/>
  <c r="V1185" i="61"/>
  <c r="X1185" i="61"/>
  <c r="P1186" i="61"/>
  <c r="Q1186" i="61"/>
  <c r="R1186" i="61"/>
  <c r="S1186" i="61"/>
  <c r="T1186" i="61"/>
  <c r="U1186" i="61"/>
  <c r="X1186" i="61"/>
  <c r="P1187" i="61"/>
  <c r="R1187" i="61"/>
  <c r="S1187" i="61"/>
  <c r="T1187" i="61"/>
  <c r="U1187" i="61"/>
  <c r="V1187" i="61"/>
  <c r="X1187" i="61"/>
  <c r="P1188" i="61"/>
  <c r="Q1188" i="61"/>
  <c r="R1188" i="61"/>
  <c r="S1188" i="61"/>
  <c r="T1188" i="61"/>
  <c r="U1188" i="61"/>
  <c r="V1188" i="61"/>
  <c r="X1188" i="61"/>
  <c r="P1189" i="61"/>
  <c r="Q1189" i="61"/>
  <c r="R1189" i="61"/>
  <c r="S1189" i="61"/>
  <c r="T1189" i="61"/>
  <c r="U1189" i="61"/>
  <c r="V1189" i="61"/>
  <c r="X1189" i="61"/>
  <c r="P1190" i="61"/>
  <c r="Q1190" i="61"/>
  <c r="R1190" i="61"/>
  <c r="S1190" i="61"/>
  <c r="T1190" i="61"/>
  <c r="U1190" i="61"/>
  <c r="V1190" i="61"/>
  <c r="X1190" i="61"/>
  <c r="P1191" i="61"/>
  <c r="Q1191" i="61"/>
  <c r="R1191" i="61"/>
  <c r="S1191" i="61"/>
  <c r="T1191" i="61"/>
  <c r="U1191" i="61"/>
  <c r="V1191" i="61"/>
  <c r="X1191" i="61"/>
  <c r="P1192" i="61"/>
  <c r="Q1192" i="61"/>
  <c r="R1192" i="61"/>
  <c r="S1192" i="61"/>
  <c r="T1192" i="61"/>
  <c r="U1192" i="61"/>
  <c r="V1192" i="61"/>
  <c r="X1192" i="61"/>
  <c r="P1193" i="61"/>
  <c r="Q1193" i="61"/>
  <c r="R1193" i="61"/>
  <c r="S1193" i="61"/>
  <c r="T1193" i="61"/>
  <c r="U1193" i="61"/>
  <c r="X1193" i="61"/>
  <c r="R1194" i="61"/>
  <c r="S1194" i="61"/>
  <c r="T1194" i="61"/>
  <c r="U1194" i="61"/>
  <c r="P1195" i="61"/>
  <c r="Q1195" i="61"/>
  <c r="R1195" i="61"/>
  <c r="S1195" i="61"/>
  <c r="T1195" i="61"/>
  <c r="U1195" i="61"/>
  <c r="V1195" i="61"/>
  <c r="X1195" i="61"/>
  <c r="P1196" i="61"/>
  <c r="Q1196" i="61"/>
  <c r="R1196" i="61"/>
  <c r="S1196" i="61"/>
  <c r="T1196" i="61"/>
  <c r="U1196" i="61"/>
  <c r="V1196" i="61"/>
  <c r="X1196" i="61"/>
  <c r="P1197" i="61"/>
  <c r="Q1197" i="61"/>
  <c r="R1197" i="61"/>
  <c r="S1197" i="61"/>
  <c r="T1197" i="61"/>
  <c r="U1197" i="61"/>
  <c r="X1197" i="61"/>
  <c r="P1198" i="61"/>
  <c r="Q1198" i="61"/>
  <c r="R1198" i="61"/>
  <c r="S1198" i="61"/>
  <c r="T1198" i="61"/>
  <c r="U1198" i="61"/>
  <c r="V1198" i="61"/>
  <c r="X1198" i="61"/>
  <c r="P1199" i="61"/>
  <c r="Q1199" i="61"/>
  <c r="R1199" i="61"/>
  <c r="S1199" i="61"/>
  <c r="T1199" i="61"/>
  <c r="U1199" i="61"/>
  <c r="V1199" i="61"/>
  <c r="X1199" i="61"/>
  <c r="P1200" i="61"/>
  <c r="Q1200" i="61"/>
  <c r="R1200" i="61"/>
  <c r="S1200" i="61"/>
  <c r="T1200" i="61"/>
  <c r="U1200" i="61"/>
  <c r="V1200" i="61"/>
  <c r="X1200" i="61"/>
  <c r="P1201" i="61"/>
  <c r="Q1201" i="61"/>
  <c r="R1201" i="61"/>
  <c r="S1201" i="61"/>
  <c r="T1201" i="61"/>
  <c r="U1201" i="61"/>
  <c r="X1201" i="61"/>
  <c r="P1203" i="61"/>
  <c r="Q1203" i="61"/>
  <c r="R1203" i="61"/>
  <c r="S1203" i="61"/>
  <c r="T1203" i="61"/>
  <c r="U1203" i="61"/>
  <c r="V1203" i="61"/>
  <c r="X1203" i="61"/>
  <c r="P1204" i="61"/>
  <c r="Q1204" i="61"/>
  <c r="R1204" i="61"/>
  <c r="S1204" i="61"/>
  <c r="T1204" i="61"/>
  <c r="U1204" i="61"/>
  <c r="V1204" i="61"/>
  <c r="X1204" i="61"/>
  <c r="P1205" i="61"/>
  <c r="Q1205" i="61"/>
  <c r="R1205" i="61"/>
  <c r="S1205" i="61"/>
  <c r="T1205" i="61"/>
  <c r="U1205" i="61"/>
  <c r="V1205" i="61"/>
  <c r="X1205" i="61"/>
  <c r="P1206" i="61"/>
  <c r="Q1206" i="61"/>
  <c r="R1206" i="61"/>
  <c r="S1206" i="61"/>
  <c r="T1206" i="61"/>
  <c r="U1206" i="61"/>
  <c r="V1206" i="61"/>
  <c r="X1206" i="61"/>
  <c r="P1207" i="61"/>
  <c r="Q1207" i="61"/>
  <c r="R1207" i="61"/>
  <c r="S1207" i="61"/>
  <c r="T1207" i="61"/>
  <c r="U1207" i="61"/>
  <c r="V1207" i="61"/>
  <c r="X1207" i="61"/>
  <c r="P1208" i="61"/>
  <c r="Q1208" i="61"/>
  <c r="R1208" i="61"/>
  <c r="S1208" i="61"/>
  <c r="T1208" i="61"/>
  <c r="U1208" i="61"/>
  <c r="V1208" i="61"/>
  <c r="X1208" i="61"/>
  <c r="P1209" i="61"/>
  <c r="Q1209" i="61"/>
  <c r="R1209" i="61"/>
  <c r="S1209" i="61"/>
  <c r="T1209" i="61"/>
  <c r="U1209" i="61"/>
  <c r="V1209" i="61"/>
  <c r="X1209" i="61"/>
  <c r="S1210" i="61"/>
  <c r="U1210" i="61"/>
  <c r="P1211" i="61"/>
  <c r="Q1211" i="61"/>
  <c r="R1211" i="61"/>
  <c r="S1211" i="61"/>
  <c r="T1211" i="61"/>
  <c r="U1211" i="61"/>
  <c r="V1211" i="61"/>
  <c r="X1211" i="61"/>
  <c r="U1212" i="61"/>
  <c r="P1213" i="61"/>
  <c r="Q1213" i="61"/>
  <c r="R1213" i="61"/>
  <c r="S1213" i="61"/>
  <c r="T1213" i="61"/>
  <c r="U1213" i="61"/>
  <c r="V1213" i="61"/>
  <c r="X1213" i="61"/>
  <c r="P1214" i="61"/>
  <c r="Q1214" i="61"/>
  <c r="R1214" i="61"/>
  <c r="S1214" i="61"/>
  <c r="T1214" i="61"/>
  <c r="U1214" i="61"/>
  <c r="V1214" i="61"/>
  <c r="X1214" i="61"/>
  <c r="P1215" i="61"/>
  <c r="Q1215" i="61"/>
  <c r="R1215" i="61"/>
  <c r="S1215" i="61"/>
  <c r="T1215" i="61"/>
  <c r="U1215" i="61"/>
  <c r="V1215" i="61"/>
  <c r="X1215" i="61"/>
  <c r="P1216" i="61"/>
  <c r="Q1216" i="61"/>
  <c r="R1216" i="61"/>
  <c r="S1216" i="61"/>
  <c r="T1216" i="61"/>
  <c r="U1216" i="61"/>
  <c r="V1216" i="61"/>
  <c r="X1216" i="61"/>
  <c r="P1217" i="61"/>
  <c r="Q1217" i="61"/>
  <c r="R1217" i="61"/>
  <c r="S1217" i="61"/>
  <c r="T1217" i="61"/>
  <c r="U1217" i="61"/>
  <c r="V1217" i="61"/>
  <c r="X1217" i="61"/>
  <c r="P1218" i="61"/>
  <c r="Q1218" i="61"/>
  <c r="R1218" i="61"/>
  <c r="S1218" i="61"/>
  <c r="T1218" i="61"/>
  <c r="U1218" i="61"/>
  <c r="V1218" i="61"/>
  <c r="X1218" i="61"/>
  <c r="P1219" i="61"/>
  <c r="Q1219" i="61"/>
  <c r="R1219" i="61"/>
  <c r="S1219" i="61"/>
  <c r="T1219" i="61"/>
  <c r="U1219" i="61"/>
  <c r="V1219" i="61"/>
  <c r="X1219" i="61"/>
  <c r="P1220" i="61"/>
  <c r="Q1220" i="61"/>
  <c r="R1220" i="61"/>
  <c r="S1220" i="61"/>
  <c r="T1220" i="61"/>
  <c r="U1220" i="61"/>
  <c r="V1220" i="61"/>
  <c r="X1220" i="61"/>
  <c r="P1221" i="61"/>
  <c r="Q1221" i="61"/>
  <c r="R1221" i="61"/>
  <c r="S1221" i="61"/>
  <c r="T1221" i="61"/>
  <c r="U1221" i="61"/>
  <c r="V1221" i="61"/>
  <c r="X1221" i="61"/>
  <c r="Q1222" i="61"/>
  <c r="R1222" i="61"/>
  <c r="S1222" i="61"/>
  <c r="T1222" i="61"/>
  <c r="U1222" i="61"/>
  <c r="Q1223" i="61"/>
  <c r="R1223" i="61"/>
  <c r="S1223" i="61"/>
  <c r="T1223" i="61"/>
  <c r="U1223" i="61"/>
  <c r="P1224" i="61"/>
  <c r="Q1224" i="61"/>
  <c r="R1224" i="61"/>
  <c r="S1224" i="61"/>
  <c r="T1224" i="61"/>
  <c r="U1224" i="61"/>
  <c r="V1224" i="61"/>
  <c r="X1224" i="61"/>
  <c r="Q1225" i="61"/>
  <c r="R1225" i="61"/>
  <c r="S1225" i="61"/>
  <c r="T1225" i="61"/>
  <c r="U1225" i="61"/>
  <c r="P1226" i="61"/>
  <c r="Q1226" i="61"/>
  <c r="R1226" i="61"/>
  <c r="S1226" i="61"/>
  <c r="T1226" i="61"/>
  <c r="U1226" i="61"/>
  <c r="V1226" i="61"/>
  <c r="X1226" i="61"/>
  <c r="P1227" i="61"/>
  <c r="Q1227" i="61"/>
  <c r="R1227" i="61"/>
  <c r="S1227" i="61"/>
  <c r="T1227" i="61"/>
  <c r="U1227" i="61"/>
  <c r="V1227" i="61"/>
  <c r="X1227" i="61"/>
  <c r="P1228" i="61"/>
  <c r="R1228" i="61"/>
  <c r="S1228" i="61"/>
  <c r="T1228" i="61"/>
  <c r="U1228" i="61"/>
  <c r="V1228" i="61"/>
  <c r="X1228" i="61"/>
  <c r="P1229" i="61"/>
  <c r="Q1229" i="61"/>
  <c r="R1229" i="61"/>
  <c r="S1229" i="61"/>
  <c r="T1229" i="61"/>
  <c r="U1229" i="61"/>
  <c r="V1229" i="61"/>
  <c r="X1229" i="61"/>
  <c r="P1230" i="61"/>
  <c r="Q1230" i="61"/>
  <c r="R1230" i="61"/>
  <c r="S1230" i="61"/>
  <c r="T1230" i="61"/>
  <c r="U1230" i="61"/>
  <c r="V1230" i="61"/>
  <c r="X1230" i="61"/>
  <c r="P1231" i="61"/>
  <c r="Q1231" i="61"/>
  <c r="R1231" i="61"/>
  <c r="S1231" i="61"/>
  <c r="T1231" i="61"/>
  <c r="U1231" i="61"/>
  <c r="V1231" i="61"/>
  <c r="X1231" i="61"/>
  <c r="P1232" i="61"/>
  <c r="Q1232" i="61"/>
  <c r="R1232" i="61"/>
  <c r="S1232" i="61"/>
  <c r="T1232" i="61"/>
  <c r="U1232" i="61"/>
  <c r="V1232" i="61"/>
  <c r="X1232" i="61"/>
  <c r="P1233" i="61"/>
  <c r="Q1233" i="61"/>
  <c r="R1233" i="61"/>
  <c r="S1233" i="61"/>
  <c r="T1233" i="61"/>
  <c r="U1233" i="61"/>
  <c r="V1233" i="61"/>
  <c r="X1233" i="61"/>
  <c r="P1234" i="61"/>
  <c r="Q1234" i="61"/>
  <c r="R1234" i="61"/>
  <c r="S1234" i="61"/>
  <c r="T1234" i="61"/>
  <c r="U1234" i="61"/>
  <c r="V1234" i="61"/>
  <c r="X1234" i="61"/>
  <c r="P1235" i="61"/>
  <c r="Q1235" i="61"/>
  <c r="R1235" i="61"/>
  <c r="S1235" i="61"/>
  <c r="T1235" i="61"/>
  <c r="U1235" i="61"/>
  <c r="V1235" i="61"/>
  <c r="X1235" i="61"/>
  <c r="P1236" i="61"/>
  <c r="Q1236" i="61"/>
  <c r="R1236" i="61"/>
  <c r="S1236" i="61"/>
  <c r="T1236" i="61"/>
  <c r="U1236" i="61"/>
  <c r="V1236" i="61"/>
  <c r="X1236" i="61"/>
  <c r="P1237" i="61"/>
  <c r="Q1237" i="61"/>
  <c r="R1237" i="61"/>
  <c r="S1237" i="61"/>
  <c r="T1237" i="61"/>
  <c r="U1237" i="61"/>
  <c r="V1237" i="61"/>
  <c r="X1237" i="61"/>
  <c r="P1238" i="61"/>
  <c r="Q1238" i="61"/>
  <c r="R1238" i="61"/>
  <c r="S1238" i="61"/>
  <c r="T1238" i="61"/>
  <c r="U1238" i="61"/>
  <c r="V1238" i="61"/>
  <c r="X1238" i="61"/>
  <c r="P1239" i="61"/>
  <c r="Q1239" i="61"/>
  <c r="R1239" i="61"/>
  <c r="S1239" i="61"/>
  <c r="T1239" i="61"/>
  <c r="U1239" i="61"/>
  <c r="V1239" i="61"/>
  <c r="X1239" i="61"/>
  <c r="P1240" i="61"/>
  <c r="Q1240" i="61"/>
  <c r="R1240" i="61"/>
  <c r="S1240" i="61"/>
  <c r="T1240" i="61"/>
  <c r="U1240" i="61"/>
  <c r="V1240" i="61"/>
  <c r="X1240" i="61"/>
  <c r="P1241" i="61"/>
  <c r="Q1241" i="61"/>
  <c r="R1241" i="61"/>
  <c r="S1241" i="61"/>
  <c r="T1241" i="61"/>
  <c r="U1241" i="61"/>
  <c r="V1241" i="61"/>
  <c r="X1241" i="61"/>
  <c r="P1242" i="61"/>
  <c r="Q1242" i="61"/>
  <c r="R1242" i="61"/>
  <c r="S1242" i="61"/>
  <c r="T1242" i="61"/>
  <c r="U1242" i="61"/>
  <c r="V1242" i="61"/>
  <c r="X1242" i="61"/>
  <c r="P1243" i="61"/>
  <c r="Q1243" i="61"/>
  <c r="R1243" i="61"/>
  <c r="S1243" i="61"/>
  <c r="T1243" i="61"/>
  <c r="U1243" i="61"/>
  <c r="V1243" i="61"/>
  <c r="X1243" i="61"/>
  <c r="P1244" i="61"/>
  <c r="Q1244" i="61"/>
  <c r="R1244" i="61"/>
  <c r="S1244" i="61"/>
  <c r="T1244" i="61"/>
  <c r="U1244" i="61"/>
  <c r="V1244" i="61"/>
  <c r="X1244" i="61"/>
  <c r="Q1245" i="61"/>
  <c r="R1245" i="61"/>
  <c r="S1245" i="61"/>
  <c r="T1245" i="61"/>
  <c r="U1245" i="61"/>
  <c r="P1246" i="61"/>
  <c r="Q1246" i="61"/>
  <c r="R1246" i="61"/>
  <c r="S1246" i="61"/>
  <c r="T1246" i="61"/>
  <c r="U1246" i="61"/>
  <c r="V1246" i="61"/>
  <c r="X1246" i="61"/>
  <c r="P1247" i="61"/>
  <c r="Q1247" i="61"/>
  <c r="R1247" i="61"/>
  <c r="S1247" i="61"/>
  <c r="T1247" i="61"/>
  <c r="U1247" i="61"/>
  <c r="V1247" i="61"/>
  <c r="X1247" i="61"/>
  <c r="P1248" i="61"/>
  <c r="Q1248" i="61"/>
  <c r="R1248" i="61"/>
  <c r="S1248" i="61"/>
  <c r="T1248" i="61"/>
  <c r="U1248" i="61"/>
  <c r="V1248" i="61"/>
  <c r="X1248" i="61"/>
  <c r="P1249" i="61"/>
  <c r="Q1249" i="61"/>
  <c r="R1249" i="61"/>
  <c r="S1249" i="61"/>
  <c r="T1249" i="61"/>
  <c r="U1249" i="61"/>
  <c r="V1249" i="61"/>
  <c r="X1249" i="61"/>
  <c r="P1250" i="61"/>
  <c r="Q1250" i="61"/>
  <c r="R1250" i="61"/>
  <c r="S1250" i="61"/>
  <c r="T1250" i="61"/>
  <c r="U1250" i="61"/>
  <c r="V1250" i="61"/>
  <c r="X1250" i="61"/>
  <c r="P1251" i="61"/>
  <c r="Q1251" i="61"/>
  <c r="R1251" i="61"/>
  <c r="S1251" i="61"/>
  <c r="T1251" i="61"/>
  <c r="U1251" i="61"/>
  <c r="V1251" i="61"/>
  <c r="X1251" i="61"/>
  <c r="P1252" i="61"/>
  <c r="Q1252" i="61"/>
  <c r="R1252" i="61"/>
  <c r="S1252" i="61"/>
  <c r="T1252" i="61"/>
  <c r="U1252" i="61"/>
  <c r="V1252" i="61"/>
  <c r="X1252" i="61"/>
  <c r="P1253" i="61"/>
  <c r="Q1253" i="61"/>
  <c r="R1253" i="61"/>
  <c r="S1253" i="61"/>
  <c r="T1253" i="61"/>
  <c r="U1253" i="61"/>
  <c r="V1253" i="61"/>
  <c r="X1253" i="61"/>
  <c r="P1254" i="61"/>
  <c r="Q1254" i="61"/>
  <c r="R1254" i="61"/>
  <c r="S1254" i="61"/>
  <c r="T1254" i="61"/>
  <c r="U1254" i="61"/>
  <c r="V1254" i="61"/>
  <c r="X1254" i="61"/>
  <c r="P1255" i="61"/>
  <c r="Q1255" i="61"/>
  <c r="R1255" i="61"/>
  <c r="S1255" i="61"/>
  <c r="T1255" i="61"/>
  <c r="U1255" i="61"/>
  <c r="V1255" i="61"/>
  <c r="X1255" i="61"/>
  <c r="P1256" i="61"/>
  <c r="Q1256" i="61"/>
  <c r="R1256" i="61"/>
  <c r="S1256" i="61"/>
  <c r="T1256" i="61"/>
  <c r="U1256" i="61"/>
  <c r="V1256" i="61"/>
  <c r="X1256" i="61"/>
  <c r="P1257" i="61"/>
  <c r="Q1257" i="61"/>
  <c r="R1257" i="61"/>
  <c r="S1257" i="61"/>
  <c r="T1257" i="61"/>
  <c r="U1257" i="61"/>
  <c r="V1257" i="61"/>
  <c r="X1257" i="61"/>
  <c r="P1258" i="61"/>
  <c r="Q1258" i="61"/>
  <c r="R1258" i="61"/>
  <c r="S1258" i="61"/>
  <c r="T1258" i="61"/>
  <c r="U1258" i="61"/>
  <c r="V1258" i="61"/>
  <c r="X1258" i="61"/>
  <c r="P1259" i="61"/>
  <c r="Q1259" i="61"/>
  <c r="R1259" i="61"/>
  <c r="S1259" i="61"/>
  <c r="T1259" i="61"/>
  <c r="U1259" i="61"/>
  <c r="V1259" i="61"/>
  <c r="X1259" i="61"/>
  <c r="P1260" i="61"/>
  <c r="Q1260" i="61"/>
  <c r="R1260" i="61"/>
  <c r="S1260" i="61"/>
  <c r="T1260" i="61"/>
  <c r="U1260" i="61"/>
  <c r="V1260" i="61"/>
  <c r="X1260" i="61"/>
  <c r="P1261" i="61"/>
  <c r="Q1261" i="61"/>
  <c r="R1261" i="61"/>
  <c r="S1261" i="61"/>
  <c r="T1261" i="61"/>
  <c r="U1261" i="61"/>
  <c r="V1261" i="61"/>
  <c r="X1261" i="61"/>
  <c r="P1262" i="61"/>
  <c r="Q1262" i="61"/>
  <c r="R1262" i="61"/>
  <c r="S1262" i="61"/>
  <c r="T1262" i="61"/>
  <c r="U1262" i="61"/>
  <c r="V1262" i="61"/>
  <c r="X1262" i="61"/>
  <c r="P1263" i="61"/>
  <c r="Q1263" i="61"/>
  <c r="R1263" i="61"/>
  <c r="S1263" i="61"/>
  <c r="T1263" i="61"/>
  <c r="U1263" i="61"/>
  <c r="V1263" i="61"/>
  <c r="X1263" i="61"/>
  <c r="P1264" i="61"/>
  <c r="Q1264" i="61"/>
  <c r="R1264" i="61"/>
  <c r="S1264" i="61"/>
  <c r="T1264" i="61"/>
  <c r="U1264" i="61"/>
  <c r="V1264" i="61"/>
  <c r="X1264" i="61"/>
  <c r="P1265" i="61"/>
  <c r="Q1265" i="61"/>
  <c r="R1265" i="61"/>
  <c r="S1265" i="61"/>
  <c r="T1265" i="61"/>
  <c r="U1265" i="61"/>
  <c r="V1265" i="61"/>
  <c r="X1265" i="61"/>
  <c r="P1266" i="61"/>
  <c r="Q1266" i="61"/>
  <c r="R1266" i="61"/>
  <c r="S1266" i="61"/>
  <c r="T1266" i="61"/>
  <c r="U1266" i="61"/>
  <c r="V1266" i="61"/>
  <c r="X1266" i="61"/>
  <c r="P1267" i="61"/>
  <c r="Q1267" i="61"/>
  <c r="R1267" i="61"/>
  <c r="S1267" i="61"/>
  <c r="T1267" i="61"/>
  <c r="U1267" i="61"/>
  <c r="V1267" i="61"/>
  <c r="X1267" i="61"/>
  <c r="P1268" i="61"/>
  <c r="Q1268" i="61"/>
  <c r="R1268" i="61"/>
  <c r="S1268" i="61"/>
  <c r="T1268" i="61"/>
  <c r="U1268" i="61"/>
  <c r="V1268" i="61"/>
  <c r="X1268" i="61"/>
  <c r="P1269" i="61"/>
  <c r="Q1269" i="61"/>
  <c r="R1269" i="61"/>
  <c r="S1269" i="61"/>
  <c r="T1269" i="61"/>
  <c r="U1269" i="61"/>
  <c r="V1269" i="61"/>
  <c r="X1269" i="61"/>
  <c r="P1270" i="61"/>
  <c r="Q1270" i="61"/>
  <c r="R1270" i="61"/>
  <c r="S1270" i="61"/>
  <c r="T1270" i="61"/>
  <c r="U1270" i="61"/>
  <c r="V1270" i="61"/>
  <c r="X1270" i="61"/>
  <c r="P1271" i="61"/>
  <c r="Q1271" i="61"/>
  <c r="R1271" i="61"/>
  <c r="S1271" i="61"/>
  <c r="T1271" i="61"/>
  <c r="U1271" i="61"/>
  <c r="V1271" i="61"/>
  <c r="X1271" i="61"/>
  <c r="P1272" i="61"/>
  <c r="Q1272" i="61"/>
  <c r="R1272" i="61"/>
  <c r="S1272" i="61"/>
  <c r="T1272" i="61"/>
  <c r="U1272" i="61"/>
  <c r="V1272" i="61"/>
  <c r="X1272" i="61"/>
  <c r="P1273" i="61"/>
  <c r="Q1273" i="61"/>
  <c r="R1273" i="61"/>
  <c r="S1273" i="61"/>
  <c r="T1273" i="61"/>
  <c r="U1273" i="61"/>
  <c r="V1273" i="61"/>
  <c r="X1273" i="61"/>
  <c r="P1274" i="61"/>
  <c r="Q1274" i="61"/>
  <c r="R1274" i="61"/>
  <c r="S1274" i="61"/>
  <c r="T1274" i="61"/>
  <c r="U1274" i="61"/>
  <c r="V1274" i="61"/>
  <c r="X1274" i="61"/>
  <c r="P1275" i="61"/>
  <c r="Q1275" i="61"/>
  <c r="R1275" i="61"/>
  <c r="S1275" i="61"/>
  <c r="T1275" i="61"/>
  <c r="U1275" i="61"/>
  <c r="V1275" i="61"/>
  <c r="X1275" i="61"/>
  <c r="P1276" i="61"/>
  <c r="Q1276" i="61"/>
  <c r="R1276" i="61"/>
  <c r="S1276" i="61"/>
  <c r="T1276" i="61"/>
  <c r="U1276" i="61"/>
  <c r="V1276" i="61"/>
  <c r="X1276" i="61"/>
  <c r="P1277" i="61"/>
  <c r="Q1277" i="61"/>
  <c r="R1277" i="61"/>
  <c r="S1277" i="61"/>
  <c r="T1277" i="61"/>
  <c r="U1277" i="61"/>
  <c r="V1277" i="61"/>
  <c r="X1277" i="61"/>
  <c r="P1278" i="61"/>
  <c r="Q1278" i="61"/>
  <c r="R1278" i="61"/>
  <c r="S1278" i="61"/>
  <c r="T1278" i="61"/>
  <c r="U1278" i="61"/>
  <c r="V1278" i="61"/>
  <c r="X1278" i="61"/>
  <c r="P1279" i="61"/>
  <c r="Q1279" i="61"/>
  <c r="R1279" i="61"/>
  <c r="S1279" i="61"/>
  <c r="T1279" i="61"/>
  <c r="U1279" i="61"/>
  <c r="V1279" i="61"/>
  <c r="X1279" i="61"/>
  <c r="P1280" i="61"/>
  <c r="Q1280" i="61"/>
  <c r="R1280" i="61"/>
  <c r="S1280" i="61"/>
  <c r="T1280" i="61"/>
  <c r="U1280" i="61"/>
  <c r="V1280" i="61"/>
  <c r="X1280" i="61"/>
  <c r="P1281" i="61"/>
  <c r="Q1281" i="61"/>
  <c r="R1281" i="61"/>
  <c r="S1281" i="61"/>
  <c r="T1281" i="61"/>
  <c r="U1281" i="61"/>
  <c r="V1281" i="61"/>
  <c r="X1281" i="61"/>
  <c r="P1282" i="61"/>
  <c r="Q1282" i="61"/>
  <c r="R1282" i="61"/>
  <c r="S1282" i="61"/>
  <c r="T1282" i="61"/>
  <c r="U1282" i="61"/>
  <c r="V1282" i="61"/>
  <c r="X1282" i="61"/>
  <c r="P1283" i="61"/>
  <c r="Q1283" i="61"/>
  <c r="R1283" i="61"/>
  <c r="S1283" i="61"/>
  <c r="T1283" i="61"/>
  <c r="U1283" i="61"/>
  <c r="V1283" i="61"/>
  <c r="X1283" i="61"/>
  <c r="P1284" i="61"/>
  <c r="Q1284" i="61"/>
  <c r="R1284" i="61"/>
  <c r="S1284" i="61"/>
  <c r="T1284" i="61"/>
  <c r="U1284" i="61"/>
  <c r="V1284" i="61"/>
  <c r="X1284" i="61"/>
  <c r="P1285" i="61"/>
  <c r="Q1285" i="61"/>
  <c r="R1285" i="61"/>
  <c r="S1285" i="61"/>
  <c r="T1285" i="61"/>
  <c r="U1285" i="61"/>
  <c r="V1285" i="61"/>
  <c r="X1285" i="61"/>
  <c r="P1286" i="61"/>
  <c r="Q1286" i="61"/>
  <c r="R1286" i="61"/>
  <c r="S1286" i="61"/>
  <c r="T1286" i="61"/>
  <c r="U1286" i="61"/>
  <c r="V1286" i="61"/>
  <c r="X1286" i="61"/>
  <c r="P1287" i="61"/>
  <c r="Q1287" i="61"/>
  <c r="R1287" i="61"/>
  <c r="S1287" i="61"/>
  <c r="T1287" i="61"/>
  <c r="U1287" i="61"/>
  <c r="V1287" i="61"/>
  <c r="X1287" i="61"/>
  <c r="P1288" i="61"/>
  <c r="Q1288" i="61"/>
  <c r="R1288" i="61"/>
  <c r="S1288" i="61"/>
  <c r="T1288" i="61"/>
  <c r="U1288" i="61"/>
  <c r="V1288" i="61"/>
  <c r="X1288" i="61"/>
  <c r="P1289" i="61"/>
  <c r="Q1289" i="61"/>
  <c r="R1289" i="61"/>
  <c r="S1289" i="61"/>
  <c r="T1289" i="61"/>
  <c r="U1289" i="61"/>
  <c r="V1289" i="61"/>
  <c r="X1289" i="61"/>
  <c r="P1290" i="61"/>
  <c r="Q1290" i="61"/>
  <c r="S1290" i="61"/>
  <c r="T1290" i="61"/>
  <c r="U1290" i="61"/>
  <c r="X1290" i="61"/>
  <c r="P1291" i="61"/>
  <c r="Q1291" i="61"/>
  <c r="R1291" i="61"/>
  <c r="S1291" i="61"/>
  <c r="T1291" i="61"/>
  <c r="U1291" i="61"/>
  <c r="V1291" i="61"/>
  <c r="X1291" i="61"/>
  <c r="P1292" i="61"/>
  <c r="Q1292" i="61"/>
  <c r="R1292" i="61"/>
  <c r="S1292" i="61"/>
  <c r="T1292" i="61"/>
  <c r="U1292" i="61"/>
  <c r="V1292" i="61"/>
  <c r="X1292" i="61"/>
  <c r="P1293" i="61"/>
  <c r="Q1293" i="61"/>
  <c r="R1293" i="61"/>
  <c r="S1293" i="61"/>
  <c r="T1293" i="61"/>
  <c r="U1293" i="61"/>
  <c r="V1293" i="61"/>
  <c r="X1293" i="61"/>
  <c r="P1294" i="61"/>
  <c r="Q1294" i="61"/>
  <c r="R1294" i="61"/>
  <c r="S1294" i="61"/>
  <c r="T1294" i="61"/>
  <c r="U1294" i="61"/>
  <c r="V1294" i="61"/>
  <c r="X1294" i="61"/>
  <c r="P1295" i="61"/>
  <c r="Q1295" i="61"/>
  <c r="R1295" i="61"/>
  <c r="S1295" i="61"/>
  <c r="T1295" i="61"/>
  <c r="U1295" i="61"/>
  <c r="V1295" i="61"/>
  <c r="X1295" i="61"/>
  <c r="P1296" i="61"/>
  <c r="Q1296" i="61"/>
  <c r="R1296" i="61"/>
  <c r="S1296" i="61"/>
  <c r="T1296" i="61"/>
  <c r="U1296" i="61"/>
  <c r="V1296" i="61"/>
  <c r="X1296" i="61"/>
  <c r="P1297" i="61"/>
  <c r="Q1297" i="61"/>
  <c r="R1297" i="61"/>
  <c r="S1297" i="61"/>
  <c r="T1297" i="61"/>
  <c r="U1297" i="61"/>
  <c r="V1297" i="61"/>
  <c r="X1297" i="61"/>
  <c r="P1298" i="61"/>
  <c r="Q1298" i="61"/>
  <c r="R1298" i="61"/>
  <c r="S1298" i="61"/>
  <c r="T1298" i="61"/>
  <c r="U1298" i="61"/>
  <c r="V1298" i="61"/>
  <c r="X1298" i="61"/>
  <c r="P1299" i="61"/>
  <c r="Q1299" i="61"/>
  <c r="R1299" i="61"/>
  <c r="S1299" i="61"/>
  <c r="T1299" i="61"/>
  <c r="U1299" i="61"/>
  <c r="V1299" i="61"/>
  <c r="X1299" i="61"/>
  <c r="P1300" i="61"/>
  <c r="Q1300" i="61"/>
  <c r="R1300" i="61"/>
  <c r="S1300" i="61"/>
  <c r="T1300" i="61"/>
  <c r="U1300" i="61"/>
  <c r="V1300" i="61"/>
  <c r="X1300" i="61"/>
  <c r="P1301" i="61"/>
  <c r="Q1301" i="61"/>
  <c r="R1301" i="61"/>
  <c r="S1301" i="61"/>
  <c r="T1301" i="61"/>
  <c r="U1301" i="61"/>
  <c r="V1301" i="61"/>
  <c r="X1301" i="61"/>
  <c r="P1302" i="61"/>
  <c r="Q1302" i="61"/>
  <c r="R1302" i="61"/>
  <c r="S1302" i="61"/>
  <c r="T1302" i="61"/>
  <c r="U1302" i="61"/>
  <c r="V1302" i="61"/>
  <c r="X1302" i="61"/>
  <c r="P1303" i="61"/>
  <c r="Q1303" i="61"/>
  <c r="R1303" i="61"/>
  <c r="S1303" i="61"/>
  <c r="T1303" i="61"/>
  <c r="U1303" i="61"/>
  <c r="V1303" i="61"/>
  <c r="X1303" i="61"/>
  <c r="P1304" i="61"/>
  <c r="Q1304" i="61"/>
  <c r="R1304" i="61"/>
  <c r="S1304" i="61"/>
  <c r="T1304" i="61"/>
  <c r="U1304" i="61"/>
  <c r="V1304" i="61"/>
  <c r="X1304" i="61"/>
  <c r="P1305" i="61"/>
  <c r="Q1305" i="61"/>
  <c r="R1305" i="61"/>
  <c r="S1305" i="61"/>
  <c r="T1305" i="61"/>
  <c r="U1305" i="61"/>
  <c r="V1305" i="61"/>
  <c r="X1305" i="61"/>
  <c r="P1306" i="61"/>
  <c r="Q1306" i="61"/>
  <c r="S1306" i="61"/>
  <c r="U1306" i="61"/>
  <c r="X1306" i="61"/>
  <c r="P1307" i="61"/>
  <c r="Q1307" i="61"/>
  <c r="R1307" i="61"/>
  <c r="S1307" i="61"/>
  <c r="T1307" i="61"/>
  <c r="U1307" i="61"/>
  <c r="X1307" i="61"/>
  <c r="Q1308" i="61"/>
  <c r="R1308" i="61"/>
  <c r="S1308" i="61"/>
  <c r="T1308" i="61"/>
  <c r="U1308" i="61"/>
  <c r="P1309" i="61"/>
  <c r="Q1309" i="61"/>
  <c r="R1309" i="61"/>
  <c r="S1309" i="61"/>
  <c r="T1309" i="61"/>
  <c r="U1309" i="61"/>
  <c r="V1309" i="61"/>
  <c r="X1309" i="61"/>
  <c r="Q1310" i="61"/>
  <c r="R1310" i="61"/>
  <c r="S1310" i="61"/>
  <c r="T1310" i="61"/>
  <c r="U1310" i="61"/>
  <c r="P1311" i="61"/>
  <c r="Q1311" i="61"/>
  <c r="R1311" i="61"/>
  <c r="S1311" i="61"/>
  <c r="T1311" i="61"/>
  <c r="U1311" i="61"/>
  <c r="V1311" i="61"/>
  <c r="X1311" i="61"/>
  <c r="P1312" i="61"/>
  <c r="Q1312" i="61"/>
  <c r="R1312" i="61"/>
  <c r="S1312" i="61"/>
  <c r="T1312" i="61"/>
  <c r="U1312" i="61"/>
  <c r="V1312" i="61"/>
  <c r="X1312" i="61"/>
  <c r="Q1313" i="61"/>
  <c r="R1313" i="61"/>
  <c r="S1313" i="61"/>
  <c r="T1313" i="61"/>
  <c r="U1313" i="61"/>
  <c r="P1314" i="61"/>
  <c r="Q1314" i="61"/>
  <c r="R1314" i="61"/>
  <c r="S1314" i="61"/>
  <c r="T1314" i="61"/>
  <c r="U1314" i="61"/>
  <c r="V1314" i="61"/>
  <c r="X1314" i="61"/>
  <c r="P1315" i="61"/>
  <c r="Q1315" i="61"/>
  <c r="R1315" i="61"/>
  <c r="S1315" i="61"/>
  <c r="T1315" i="61"/>
  <c r="U1315" i="61"/>
  <c r="V1315" i="61"/>
  <c r="X1315" i="61"/>
  <c r="P1316" i="61"/>
  <c r="Q1316" i="61"/>
  <c r="R1316" i="61"/>
  <c r="S1316" i="61"/>
  <c r="T1316" i="61"/>
  <c r="U1316" i="61"/>
  <c r="V1316" i="61"/>
  <c r="X1316" i="61"/>
  <c r="P1317" i="61"/>
  <c r="Q1317" i="61"/>
  <c r="R1317" i="61"/>
  <c r="S1317" i="61"/>
  <c r="T1317" i="61"/>
  <c r="U1317" i="61"/>
  <c r="V1317" i="61"/>
  <c r="X1317" i="61"/>
  <c r="P1318" i="61"/>
  <c r="Q1318" i="61"/>
  <c r="R1318" i="61"/>
  <c r="S1318" i="61"/>
  <c r="T1318" i="61"/>
  <c r="U1318" i="61"/>
  <c r="V1318" i="61"/>
  <c r="X1318" i="61"/>
  <c r="P1319" i="61"/>
  <c r="Q1319" i="61"/>
  <c r="R1319" i="61"/>
  <c r="S1319" i="61"/>
  <c r="T1319" i="61"/>
  <c r="U1319" i="61"/>
  <c r="V1319" i="61"/>
  <c r="X1319" i="61"/>
  <c r="P1320" i="61"/>
  <c r="Q1320" i="61"/>
  <c r="R1320" i="61"/>
  <c r="S1320" i="61"/>
  <c r="T1320" i="61"/>
  <c r="U1320" i="61"/>
  <c r="V1320" i="61"/>
  <c r="X1320" i="61"/>
  <c r="P1321" i="61"/>
  <c r="Q1321" i="61"/>
  <c r="R1321" i="61"/>
  <c r="S1321" i="61"/>
  <c r="T1321" i="61"/>
  <c r="U1321" i="61"/>
  <c r="V1321" i="61"/>
  <c r="X1321" i="61"/>
  <c r="P1322" i="61"/>
  <c r="Q1322" i="61"/>
  <c r="R1322" i="61"/>
  <c r="S1322" i="61"/>
  <c r="T1322" i="61"/>
  <c r="U1322" i="61"/>
  <c r="V1322" i="61"/>
  <c r="X1322" i="61"/>
  <c r="P1323" i="61"/>
  <c r="Q1323" i="61"/>
  <c r="R1323" i="61"/>
  <c r="S1323" i="61"/>
  <c r="T1323" i="61"/>
  <c r="U1323" i="61"/>
  <c r="V1323" i="61"/>
  <c r="X1323" i="61"/>
  <c r="P1324" i="61"/>
  <c r="Q1324" i="61"/>
  <c r="R1324" i="61"/>
  <c r="S1324" i="61"/>
  <c r="T1324" i="61"/>
  <c r="U1324" i="61"/>
  <c r="V1324" i="61"/>
  <c r="X1324" i="61"/>
  <c r="P1325" i="61"/>
  <c r="Q1325" i="61"/>
  <c r="R1325" i="61"/>
  <c r="S1325" i="61"/>
  <c r="T1325" i="61"/>
  <c r="U1325" i="61"/>
  <c r="V1325" i="61"/>
  <c r="X1325" i="61"/>
  <c r="Q1326" i="61"/>
  <c r="R1326" i="61"/>
  <c r="S1326" i="61"/>
  <c r="T1326" i="61"/>
  <c r="U1326" i="61"/>
  <c r="P1327" i="61"/>
  <c r="Q1327" i="61"/>
  <c r="R1327" i="61"/>
  <c r="S1327" i="61"/>
  <c r="T1327" i="61"/>
  <c r="U1327" i="61"/>
  <c r="V1327" i="61"/>
  <c r="X1327" i="61"/>
  <c r="P1328" i="61"/>
  <c r="Q1328" i="61"/>
  <c r="R1328" i="61"/>
  <c r="S1328" i="61"/>
  <c r="T1328" i="61"/>
  <c r="U1328" i="61"/>
  <c r="V1328" i="61"/>
  <c r="X1328" i="61"/>
  <c r="P1329" i="61"/>
  <c r="Q1329" i="61"/>
  <c r="R1329" i="61"/>
  <c r="S1329" i="61"/>
  <c r="T1329" i="61"/>
  <c r="U1329" i="61"/>
  <c r="V1329" i="61"/>
  <c r="X1329" i="61"/>
  <c r="P1330" i="61"/>
  <c r="Q1330" i="61"/>
  <c r="R1330" i="61"/>
  <c r="S1330" i="61"/>
  <c r="T1330" i="61"/>
  <c r="U1330" i="61"/>
  <c r="V1330" i="61"/>
  <c r="X1330" i="61"/>
  <c r="P1331" i="61"/>
  <c r="Q1331" i="61"/>
  <c r="R1331" i="61"/>
  <c r="S1331" i="61"/>
  <c r="T1331" i="61"/>
  <c r="U1331" i="61"/>
  <c r="V1331" i="61"/>
  <c r="X1331" i="61"/>
  <c r="P1332" i="61"/>
  <c r="Q1332" i="61"/>
  <c r="R1332" i="61"/>
  <c r="S1332" i="61"/>
  <c r="T1332" i="61"/>
  <c r="U1332" i="61"/>
  <c r="V1332" i="61"/>
  <c r="X1332" i="61"/>
  <c r="P1333" i="61"/>
  <c r="Q1333" i="61"/>
  <c r="R1333" i="61"/>
  <c r="S1333" i="61"/>
  <c r="T1333" i="61"/>
  <c r="U1333" i="61"/>
  <c r="V1333" i="61"/>
  <c r="X1333" i="61"/>
  <c r="P1334" i="61"/>
  <c r="Q1334" i="61"/>
  <c r="R1334" i="61"/>
  <c r="S1334" i="61"/>
  <c r="T1334" i="61"/>
  <c r="U1334" i="61"/>
  <c r="V1334" i="61"/>
  <c r="X1334" i="61"/>
  <c r="P1335" i="61"/>
  <c r="Q1335" i="61"/>
  <c r="R1335" i="61"/>
  <c r="S1335" i="61"/>
  <c r="T1335" i="61"/>
  <c r="U1335" i="61"/>
  <c r="V1335" i="61"/>
  <c r="X1335" i="61"/>
  <c r="P1336" i="61"/>
  <c r="Q1336" i="61"/>
  <c r="R1336" i="61"/>
  <c r="S1336" i="61"/>
  <c r="T1336" i="61"/>
  <c r="U1336" i="61"/>
  <c r="X1336" i="61"/>
  <c r="P1337" i="61"/>
  <c r="Q1337" i="61"/>
  <c r="R1337" i="61"/>
  <c r="S1337" i="61"/>
  <c r="T1337" i="61"/>
  <c r="U1337" i="61"/>
  <c r="V1337" i="61"/>
  <c r="X1337" i="61"/>
  <c r="P1338" i="61"/>
  <c r="Q1338" i="61"/>
  <c r="R1338" i="61"/>
  <c r="S1338" i="61"/>
  <c r="T1338" i="61"/>
  <c r="U1338" i="61"/>
  <c r="V1338" i="61"/>
  <c r="X1338" i="61"/>
  <c r="P1339" i="61"/>
  <c r="Q1339" i="61"/>
  <c r="R1339" i="61"/>
  <c r="S1339" i="61"/>
  <c r="T1339" i="61"/>
  <c r="U1339" i="61"/>
  <c r="V1339" i="61"/>
  <c r="X1339" i="61"/>
  <c r="P1340" i="61"/>
  <c r="Q1340" i="61"/>
  <c r="R1340" i="61"/>
  <c r="S1340" i="61"/>
  <c r="T1340" i="61"/>
  <c r="U1340" i="61"/>
  <c r="V1340" i="61"/>
  <c r="X1340" i="61"/>
  <c r="P1341" i="61"/>
  <c r="Q1341" i="61"/>
  <c r="R1341" i="61"/>
  <c r="S1341" i="61"/>
  <c r="T1341" i="61"/>
  <c r="U1341" i="61"/>
  <c r="V1341" i="61"/>
  <c r="X1341" i="61"/>
  <c r="P1342" i="61"/>
  <c r="Q1342" i="61"/>
  <c r="R1342" i="61"/>
  <c r="S1342" i="61"/>
  <c r="T1342" i="61"/>
  <c r="U1342" i="61"/>
  <c r="V1342" i="61"/>
  <c r="X1342" i="61"/>
  <c r="P1343" i="61"/>
  <c r="Q1343" i="61"/>
  <c r="R1343" i="61"/>
  <c r="S1343" i="61"/>
  <c r="T1343" i="61"/>
  <c r="U1343" i="61"/>
  <c r="V1343" i="61"/>
  <c r="X1343" i="61"/>
  <c r="P1344" i="61"/>
  <c r="Q1344" i="61"/>
  <c r="R1344" i="61"/>
  <c r="S1344" i="61"/>
  <c r="T1344" i="61"/>
  <c r="U1344" i="61"/>
  <c r="X1344" i="61"/>
  <c r="P1345" i="61"/>
  <c r="Q1345" i="61"/>
  <c r="R1345" i="61"/>
  <c r="S1345" i="61"/>
  <c r="T1345" i="61"/>
  <c r="U1345" i="61"/>
  <c r="V1345" i="61"/>
  <c r="X1345" i="61"/>
  <c r="P1346" i="61"/>
  <c r="Q1346" i="61"/>
  <c r="R1346" i="61"/>
  <c r="S1346" i="61"/>
  <c r="T1346" i="61"/>
  <c r="U1346" i="61"/>
  <c r="V1346" i="61"/>
  <c r="X1346" i="61"/>
  <c r="P1347" i="61"/>
  <c r="Q1347" i="61"/>
  <c r="R1347" i="61"/>
  <c r="S1347" i="61"/>
  <c r="T1347" i="61"/>
  <c r="U1347" i="61"/>
  <c r="V1347" i="61"/>
  <c r="X1347" i="61"/>
  <c r="P1348" i="61"/>
  <c r="Q1348" i="61"/>
  <c r="R1348" i="61"/>
  <c r="S1348" i="61"/>
  <c r="T1348" i="61"/>
  <c r="U1348" i="61"/>
  <c r="V1348" i="61"/>
  <c r="X1348" i="61"/>
  <c r="P1349" i="61"/>
  <c r="Q1349" i="61"/>
  <c r="R1349" i="61"/>
  <c r="S1349" i="61"/>
  <c r="T1349" i="61"/>
  <c r="U1349" i="61"/>
  <c r="V1349" i="61"/>
  <c r="X1349" i="61"/>
  <c r="P1350" i="61"/>
  <c r="Q1350" i="61"/>
  <c r="R1350" i="61"/>
  <c r="S1350" i="61"/>
  <c r="T1350" i="61"/>
  <c r="U1350" i="61"/>
  <c r="V1350" i="61"/>
  <c r="X1350" i="61"/>
  <c r="P1351" i="61"/>
  <c r="Q1351" i="61"/>
  <c r="R1351" i="61"/>
  <c r="S1351" i="61"/>
  <c r="T1351" i="61"/>
  <c r="U1351" i="61"/>
  <c r="V1351" i="61"/>
  <c r="X1351" i="61"/>
  <c r="P1352" i="61"/>
  <c r="Q1352" i="61"/>
  <c r="R1352" i="61"/>
  <c r="S1352" i="61"/>
  <c r="T1352" i="61"/>
  <c r="U1352" i="61"/>
  <c r="V1352" i="61"/>
  <c r="X1352" i="61"/>
  <c r="P1353" i="61"/>
  <c r="Q1353" i="61"/>
  <c r="R1353" i="61"/>
  <c r="S1353" i="61"/>
  <c r="T1353" i="61"/>
  <c r="U1353" i="61"/>
  <c r="V1353" i="61"/>
  <c r="X1353" i="61"/>
  <c r="P1354" i="61"/>
  <c r="Q1354" i="61"/>
  <c r="R1354" i="61"/>
  <c r="S1354" i="61"/>
  <c r="T1354" i="61"/>
  <c r="U1354" i="61"/>
  <c r="V1354" i="61"/>
  <c r="X1354" i="61"/>
  <c r="P1355" i="61"/>
  <c r="Q1355" i="61"/>
  <c r="R1355" i="61"/>
  <c r="S1355" i="61"/>
  <c r="T1355" i="61"/>
  <c r="U1355" i="61"/>
  <c r="V1355" i="61"/>
  <c r="X1355" i="61"/>
  <c r="P1356" i="61"/>
  <c r="S1356" i="61"/>
  <c r="T1356" i="61"/>
  <c r="U1356" i="61"/>
  <c r="X1356" i="61"/>
  <c r="P1357" i="61"/>
  <c r="Q1357" i="61"/>
  <c r="R1357" i="61"/>
  <c r="S1357" i="61"/>
  <c r="T1357" i="61"/>
  <c r="U1357" i="61"/>
  <c r="X1357" i="61"/>
  <c r="P1358" i="61"/>
  <c r="Q1358" i="61"/>
  <c r="R1358" i="61"/>
  <c r="S1358" i="61"/>
  <c r="T1358" i="61"/>
  <c r="U1358" i="61"/>
  <c r="V1358" i="61"/>
  <c r="X1358" i="61"/>
  <c r="S1359" i="61"/>
  <c r="U1359" i="61"/>
  <c r="P1360" i="61"/>
  <c r="Q1360" i="61"/>
  <c r="R1360" i="61"/>
  <c r="S1360" i="61"/>
  <c r="T1360" i="61"/>
  <c r="U1360" i="61"/>
  <c r="X1360" i="61"/>
  <c r="P1361" i="61"/>
  <c r="Q1361" i="61"/>
  <c r="R1361" i="61"/>
  <c r="S1361" i="61"/>
  <c r="T1361" i="61"/>
  <c r="U1361" i="61"/>
  <c r="X1361" i="61"/>
  <c r="P1362" i="61"/>
  <c r="Q1362" i="61"/>
  <c r="R1362" i="61"/>
  <c r="S1362" i="61"/>
  <c r="T1362" i="61"/>
  <c r="U1362" i="61"/>
  <c r="V1362" i="61"/>
  <c r="X1362" i="61"/>
  <c r="P1363" i="61"/>
  <c r="Q1363" i="61"/>
  <c r="R1363" i="61"/>
  <c r="S1363" i="61"/>
  <c r="T1363" i="61"/>
  <c r="U1363" i="61"/>
  <c r="V1363" i="61"/>
  <c r="X1363" i="61"/>
  <c r="Q1364" i="61"/>
  <c r="R1364" i="61"/>
  <c r="S1364" i="61"/>
  <c r="T1364" i="61"/>
  <c r="U1364" i="61"/>
  <c r="P1365" i="61"/>
  <c r="Q1365" i="61"/>
  <c r="R1365" i="61"/>
  <c r="S1365" i="61"/>
  <c r="T1365" i="61"/>
  <c r="U1365" i="61"/>
  <c r="V1365" i="61"/>
  <c r="X1365" i="61"/>
  <c r="P1366" i="61"/>
  <c r="Q1366" i="61"/>
  <c r="R1366" i="61"/>
  <c r="S1366" i="61"/>
  <c r="T1366" i="61"/>
  <c r="U1366" i="61"/>
  <c r="V1366" i="61"/>
  <c r="X1366" i="61"/>
  <c r="P1367" i="61"/>
  <c r="Q1367" i="61"/>
  <c r="R1367" i="61"/>
  <c r="S1367" i="61"/>
  <c r="T1367" i="61"/>
  <c r="U1367" i="61"/>
  <c r="V1367" i="61"/>
  <c r="X1367" i="61"/>
  <c r="P1368" i="61"/>
  <c r="Q1368" i="61"/>
  <c r="R1368" i="61"/>
  <c r="S1368" i="61"/>
  <c r="T1368" i="61"/>
  <c r="U1368" i="61"/>
  <c r="V1368" i="61"/>
  <c r="X1368" i="61"/>
  <c r="P1369" i="61"/>
  <c r="Q1369" i="61"/>
  <c r="R1369" i="61"/>
  <c r="S1369" i="61"/>
  <c r="T1369" i="61"/>
  <c r="U1369" i="61"/>
  <c r="V1369" i="61"/>
  <c r="X1369" i="61"/>
  <c r="P1370" i="61"/>
  <c r="Q1370" i="61"/>
  <c r="R1370" i="61"/>
  <c r="S1370" i="61"/>
  <c r="T1370" i="61"/>
  <c r="U1370" i="61"/>
  <c r="V1370" i="61"/>
  <c r="X1370" i="61"/>
  <c r="P1371" i="61"/>
  <c r="Q1371" i="61"/>
  <c r="R1371" i="61"/>
  <c r="S1371" i="61"/>
  <c r="T1371" i="61"/>
  <c r="U1371" i="61"/>
  <c r="V1371" i="61"/>
  <c r="X1371" i="61"/>
  <c r="P1372" i="61"/>
  <c r="Q1372" i="61"/>
  <c r="R1372" i="61"/>
  <c r="S1372" i="61"/>
  <c r="T1372" i="61"/>
  <c r="U1372" i="61"/>
  <c r="V1372" i="61"/>
  <c r="X1372" i="61"/>
  <c r="S1373" i="61"/>
  <c r="U1373" i="61"/>
  <c r="P1374" i="61"/>
  <c r="Q1374" i="61"/>
  <c r="R1374" i="61"/>
  <c r="S1374" i="61"/>
  <c r="T1374" i="61"/>
  <c r="U1374" i="61"/>
  <c r="V1374" i="61"/>
  <c r="X1374" i="61"/>
  <c r="P1375" i="61"/>
  <c r="Q1375" i="61"/>
  <c r="R1375" i="61"/>
  <c r="S1375" i="61"/>
  <c r="T1375" i="61"/>
  <c r="U1375" i="61"/>
  <c r="V1375" i="61"/>
  <c r="X1375" i="61"/>
  <c r="P1376" i="61"/>
  <c r="Q1376" i="61"/>
  <c r="R1376" i="61"/>
  <c r="S1376" i="61"/>
  <c r="T1376" i="61"/>
  <c r="U1376" i="61"/>
  <c r="V1376" i="61"/>
  <c r="X1376" i="61"/>
  <c r="P1377" i="61"/>
  <c r="Q1377" i="61"/>
  <c r="R1377" i="61"/>
  <c r="S1377" i="61"/>
  <c r="T1377" i="61"/>
  <c r="U1377" i="61"/>
  <c r="V1377" i="61"/>
  <c r="X1377" i="61"/>
  <c r="P1378" i="61"/>
  <c r="Q1378" i="61"/>
  <c r="R1378" i="61"/>
  <c r="S1378" i="61"/>
  <c r="T1378" i="61"/>
  <c r="U1378" i="61"/>
  <c r="V1378" i="61"/>
  <c r="X1378" i="61"/>
  <c r="P1379" i="61"/>
  <c r="Q1379" i="61"/>
  <c r="R1379" i="61"/>
  <c r="S1379" i="61"/>
  <c r="T1379" i="61"/>
  <c r="U1379" i="61"/>
  <c r="X1379" i="61"/>
  <c r="P1380" i="61"/>
  <c r="Q1380" i="61"/>
  <c r="R1380" i="61"/>
  <c r="S1380" i="61"/>
  <c r="T1380" i="61"/>
  <c r="U1380" i="61"/>
  <c r="X1380" i="61"/>
  <c r="P1381" i="61"/>
  <c r="Q1381" i="61"/>
  <c r="R1381" i="61"/>
  <c r="S1381" i="61"/>
  <c r="T1381" i="61"/>
  <c r="U1381" i="61"/>
  <c r="X1381" i="61"/>
  <c r="P1382" i="61"/>
  <c r="Q1382" i="61"/>
  <c r="R1382" i="61"/>
  <c r="S1382" i="61"/>
  <c r="T1382" i="61"/>
  <c r="U1382" i="61"/>
  <c r="V1382" i="61"/>
  <c r="X1382" i="61"/>
  <c r="P1383" i="61"/>
  <c r="Q1383" i="61"/>
  <c r="R1383" i="61"/>
  <c r="S1383" i="61"/>
  <c r="T1383" i="61"/>
  <c r="U1383" i="61"/>
  <c r="X1383" i="61"/>
  <c r="P1384" i="61"/>
  <c r="Q1384" i="61"/>
  <c r="S1384" i="61"/>
  <c r="U1384" i="61"/>
  <c r="X1384" i="61"/>
  <c r="P1385" i="61"/>
  <c r="Q1385" i="61"/>
  <c r="R1385" i="61"/>
  <c r="S1385" i="61"/>
  <c r="T1385" i="61"/>
  <c r="U1385" i="61"/>
  <c r="X1385" i="61"/>
  <c r="P1386" i="61"/>
  <c r="Q1386" i="61"/>
  <c r="R1386" i="61"/>
  <c r="S1386" i="61"/>
  <c r="T1386" i="61"/>
  <c r="U1386" i="61"/>
  <c r="V1386" i="61"/>
  <c r="X1386" i="61"/>
  <c r="P1387" i="61"/>
  <c r="Q1387" i="61"/>
  <c r="R1387" i="61"/>
  <c r="S1387" i="61"/>
  <c r="T1387" i="61"/>
  <c r="U1387" i="61"/>
  <c r="V1387" i="61"/>
  <c r="X1387" i="61"/>
  <c r="P1388" i="61"/>
  <c r="Q1388" i="61"/>
  <c r="R1388" i="61"/>
  <c r="S1388" i="61"/>
  <c r="T1388" i="61"/>
  <c r="U1388" i="61"/>
  <c r="V1388" i="61"/>
  <c r="X1388" i="61"/>
  <c r="P1389" i="61"/>
  <c r="Q1389" i="61"/>
  <c r="R1389" i="61"/>
  <c r="S1389" i="61"/>
  <c r="T1389" i="61"/>
  <c r="U1389" i="61"/>
  <c r="V1389" i="61"/>
  <c r="X1389" i="61"/>
  <c r="P1390" i="61"/>
  <c r="Q1390" i="61"/>
  <c r="R1390" i="61"/>
  <c r="S1390" i="61"/>
  <c r="T1390" i="61"/>
  <c r="U1390" i="61"/>
  <c r="V1390" i="61"/>
  <c r="X1390" i="61"/>
  <c r="P1391" i="61"/>
  <c r="Q1391" i="61"/>
  <c r="R1391" i="61"/>
  <c r="S1391" i="61"/>
  <c r="T1391" i="61"/>
  <c r="U1391" i="61"/>
  <c r="V1391" i="61"/>
  <c r="X1391" i="61"/>
  <c r="P1392" i="61"/>
  <c r="Q1392" i="61"/>
  <c r="R1392" i="61"/>
  <c r="S1392" i="61"/>
  <c r="T1392" i="61"/>
  <c r="U1392" i="61"/>
  <c r="V1392" i="61"/>
  <c r="X1392" i="61"/>
  <c r="P1393" i="61"/>
  <c r="Q1393" i="61"/>
  <c r="R1393" i="61"/>
  <c r="S1393" i="61"/>
  <c r="T1393" i="61"/>
  <c r="U1393" i="61"/>
  <c r="V1393" i="61"/>
  <c r="X1393" i="61"/>
  <c r="P1394" i="61"/>
  <c r="Q1394" i="61"/>
  <c r="R1394" i="61"/>
  <c r="S1394" i="61"/>
  <c r="T1394" i="61"/>
  <c r="U1394" i="61"/>
  <c r="V1394" i="61"/>
  <c r="X1394" i="61"/>
  <c r="P1395" i="61"/>
  <c r="Q1395" i="61"/>
  <c r="R1395" i="61"/>
  <c r="S1395" i="61"/>
  <c r="T1395" i="61"/>
  <c r="U1395" i="61"/>
  <c r="V1395" i="61"/>
  <c r="X1395" i="61"/>
  <c r="P1396" i="61"/>
  <c r="Q1396" i="61"/>
  <c r="R1396" i="61"/>
  <c r="S1396" i="61"/>
  <c r="T1396" i="61"/>
  <c r="U1396" i="61"/>
  <c r="X1396" i="61"/>
  <c r="P1397" i="61"/>
  <c r="R1397" i="61"/>
  <c r="S1397" i="61"/>
  <c r="T1397" i="61"/>
  <c r="U1397" i="61"/>
  <c r="V1397" i="61"/>
  <c r="X1397" i="61"/>
  <c r="P1398" i="61"/>
  <c r="Q1398" i="61"/>
  <c r="R1398" i="61"/>
  <c r="S1398" i="61"/>
  <c r="T1398" i="61"/>
  <c r="U1398" i="61"/>
  <c r="X1398" i="61"/>
  <c r="P1399" i="61"/>
  <c r="Q1399" i="61"/>
  <c r="R1399" i="61"/>
  <c r="S1399" i="61"/>
  <c r="T1399" i="61"/>
  <c r="U1399" i="61"/>
  <c r="X1399" i="61"/>
  <c r="P1400" i="61"/>
  <c r="Q1400" i="61"/>
  <c r="R1400" i="61"/>
  <c r="S1400" i="61"/>
  <c r="T1400" i="61"/>
  <c r="U1400" i="61"/>
  <c r="X1400" i="61"/>
  <c r="P1401" i="61"/>
  <c r="Q1401" i="61"/>
  <c r="R1401" i="61"/>
  <c r="S1401" i="61"/>
  <c r="T1401" i="61"/>
  <c r="U1401" i="61"/>
  <c r="X1401" i="61"/>
  <c r="P1402" i="61"/>
  <c r="Q1402" i="61"/>
  <c r="R1402" i="61"/>
  <c r="S1402" i="61"/>
  <c r="T1402" i="61"/>
  <c r="U1402" i="61"/>
  <c r="X1402" i="61"/>
  <c r="P1403" i="61"/>
  <c r="Q1403" i="61"/>
  <c r="R1403" i="61"/>
  <c r="S1403" i="61"/>
  <c r="T1403" i="61"/>
  <c r="U1403" i="61"/>
  <c r="X1403" i="61"/>
  <c r="P1405" i="61"/>
  <c r="Q1405" i="61"/>
  <c r="R1405" i="61"/>
  <c r="S1405" i="61"/>
  <c r="T1405" i="61"/>
  <c r="U1405" i="61"/>
  <c r="X1405" i="61"/>
  <c r="P1406" i="61"/>
  <c r="Q1406" i="61"/>
  <c r="R1406" i="61"/>
  <c r="S1406" i="61"/>
  <c r="T1406" i="61"/>
  <c r="U1406" i="61"/>
  <c r="X1406" i="61"/>
  <c r="P1407" i="61"/>
  <c r="Q1407" i="61"/>
  <c r="R1407" i="61"/>
  <c r="S1407" i="61"/>
  <c r="T1407" i="61"/>
  <c r="U1407" i="61"/>
  <c r="X1407" i="61"/>
  <c r="P1408" i="61"/>
  <c r="Q1408" i="61"/>
  <c r="R1408" i="61"/>
  <c r="S1408" i="61"/>
  <c r="T1408" i="61"/>
  <c r="U1408" i="61"/>
  <c r="X1408" i="61"/>
  <c r="P1409" i="61"/>
  <c r="Q1409" i="61"/>
  <c r="R1409" i="61"/>
  <c r="S1409" i="61"/>
  <c r="T1409" i="61"/>
  <c r="U1409" i="61"/>
  <c r="X1409" i="61"/>
  <c r="P1410" i="61"/>
  <c r="Q1410" i="61"/>
  <c r="R1410" i="61"/>
  <c r="S1410" i="61"/>
  <c r="T1410" i="61"/>
  <c r="U1410" i="61"/>
  <c r="X1410" i="61"/>
  <c r="P1411" i="61"/>
  <c r="R1411" i="61"/>
  <c r="S1411" i="61"/>
  <c r="T1411" i="61"/>
  <c r="U1411" i="61"/>
  <c r="V1411" i="61"/>
  <c r="X1411" i="61"/>
  <c r="P1412" i="61"/>
  <c r="Q1412" i="61"/>
  <c r="R1412" i="61"/>
  <c r="S1412" i="61"/>
  <c r="T1412" i="61"/>
  <c r="U1412" i="61"/>
  <c r="V1412" i="61"/>
  <c r="X1412" i="61"/>
  <c r="P1413" i="61"/>
  <c r="Q1413" i="61"/>
  <c r="R1413" i="61"/>
  <c r="S1413" i="61"/>
  <c r="T1413" i="61"/>
  <c r="U1413" i="61"/>
  <c r="V1413" i="61"/>
  <c r="X1413" i="61"/>
  <c r="P1414" i="61"/>
  <c r="Q1414" i="61"/>
  <c r="R1414" i="61"/>
  <c r="S1414" i="61"/>
  <c r="T1414" i="61"/>
  <c r="U1414" i="61"/>
  <c r="V1414" i="61"/>
  <c r="X1414" i="61"/>
  <c r="P1415" i="61"/>
  <c r="R1415" i="61"/>
  <c r="S1415" i="61"/>
  <c r="T1415" i="61"/>
  <c r="U1415" i="61"/>
  <c r="V1415" i="61"/>
  <c r="X1415" i="61"/>
  <c r="P1416" i="61"/>
  <c r="Q1416" i="61"/>
  <c r="R1416" i="61"/>
  <c r="S1416" i="61"/>
  <c r="T1416" i="61"/>
  <c r="U1416" i="61"/>
  <c r="V1416" i="61"/>
  <c r="X1416" i="61"/>
  <c r="P1417" i="61"/>
  <c r="Q1417" i="61"/>
  <c r="R1417" i="61"/>
  <c r="S1417" i="61"/>
  <c r="T1417" i="61"/>
  <c r="U1417" i="61"/>
  <c r="V1417" i="61"/>
  <c r="X1417" i="61"/>
  <c r="P1418" i="61"/>
  <c r="Q1418" i="61"/>
  <c r="R1418" i="61"/>
  <c r="S1418" i="61"/>
  <c r="T1418" i="61"/>
  <c r="U1418" i="61"/>
  <c r="V1418" i="61"/>
  <c r="X1418" i="61"/>
  <c r="P1419" i="61"/>
  <c r="Q1419" i="61"/>
  <c r="R1419" i="61"/>
  <c r="S1419" i="61"/>
  <c r="T1419" i="61"/>
  <c r="U1419" i="61"/>
  <c r="V1419" i="61"/>
  <c r="X1419" i="61"/>
  <c r="P1420" i="61"/>
  <c r="Q1420" i="61"/>
  <c r="R1420" i="61"/>
  <c r="S1420" i="61"/>
  <c r="T1420" i="61"/>
  <c r="U1420" i="61"/>
  <c r="V1420" i="61"/>
  <c r="X1420" i="61"/>
  <c r="P1421" i="61"/>
  <c r="Q1421" i="61"/>
  <c r="R1421" i="61"/>
  <c r="S1421" i="61"/>
  <c r="T1421" i="61"/>
  <c r="U1421" i="61"/>
  <c r="V1421" i="61"/>
  <c r="X1421" i="61"/>
  <c r="P1422" i="61"/>
  <c r="Q1422" i="61"/>
  <c r="R1422" i="61"/>
  <c r="S1422" i="61"/>
  <c r="T1422" i="61"/>
  <c r="U1422" i="61"/>
  <c r="V1422" i="61"/>
  <c r="X1422" i="61"/>
  <c r="P1423" i="61"/>
  <c r="Q1423" i="61"/>
  <c r="R1423" i="61"/>
  <c r="S1423" i="61"/>
  <c r="T1423" i="61"/>
  <c r="U1423" i="61"/>
  <c r="V1423" i="61"/>
  <c r="X1423" i="61"/>
  <c r="P1424" i="61"/>
  <c r="Q1424" i="61"/>
  <c r="R1424" i="61"/>
  <c r="S1424" i="61"/>
  <c r="T1424" i="61"/>
  <c r="U1424" i="61"/>
  <c r="V1424" i="61"/>
  <c r="X1424" i="61"/>
  <c r="P1425" i="61"/>
  <c r="Q1425" i="61"/>
  <c r="R1425" i="61"/>
  <c r="S1425" i="61"/>
  <c r="T1425" i="61"/>
  <c r="U1425" i="61"/>
  <c r="V1425" i="61"/>
  <c r="X1425" i="61"/>
  <c r="P1426" i="61"/>
  <c r="Q1426" i="61"/>
  <c r="R1426" i="61"/>
  <c r="S1426" i="61"/>
  <c r="T1426" i="61"/>
  <c r="U1426" i="61"/>
  <c r="V1426" i="61"/>
  <c r="X1426" i="61"/>
  <c r="P1427" i="61"/>
  <c r="Q1427" i="61"/>
  <c r="R1427" i="61"/>
  <c r="S1427" i="61"/>
  <c r="T1427" i="61"/>
  <c r="U1427" i="61"/>
  <c r="V1427" i="61"/>
  <c r="X1427" i="61"/>
  <c r="P1428" i="61"/>
  <c r="Q1428" i="61"/>
  <c r="R1428" i="61"/>
  <c r="S1428" i="61"/>
  <c r="T1428" i="61"/>
  <c r="U1428" i="61"/>
  <c r="V1428" i="61"/>
  <c r="X1428" i="61"/>
  <c r="P1429" i="61"/>
  <c r="Q1429" i="61"/>
  <c r="R1429" i="61"/>
  <c r="S1429" i="61"/>
  <c r="T1429" i="61"/>
  <c r="U1429" i="61"/>
  <c r="V1429" i="61"/>
  <c r="X1429" i="61"/>
  <c r="P1430" i="61"/>
  <c r="Q1430" i="61"/>
  <c r="R1430" i="61"/>
  <c r="S1430" i="61"/>
  <c r="T1430" i="61"/>
  <c r="U1430" i="61"/>
  <c r="V1430" i="61"/>
  <c r="X1430" i="61"/>
  <c r="P1431" i="61"/>
  <c r="Q1431" i="61"/>
  <c r="R1431" i="61"/>
  <c r="S1431" i="61"/>
  <c r="T1431" i="61"/>
  <c r="U1431" i="61"/>
  <c r="V1431" i="61"/>
  <c r="X1431" i="61"/>
  <c r="P1432" i="61"/>
  <c r="Q1432" i="61"/>
  <c r="R1432" i="61"/>
  <c r="S1432" i="61"/>
  <c r="T1432" i="61"/>
  <c r="U1432" i="61"/>
  <c r="V1432" i="61"/>
  <c r="X1432" i="61"/>
  <c r="P1433" i="61"/>
  <c r="Q1433" i="61"/>
  <c r="R1433" i="61"/>
  <c r="S1433" i="61"/>
  <c r="T1433" i="61"/>
  <c r="U1433" i="61"/>
  <c r="V1433" i="61"/>
  <c r="X1433" i="61"/>
  <c r="P1434" i="61"/>
  <c r="Q1434" i="61"/>
  <c r="R1434" i="61"/>
  <c r="S1434" i="61"/>
  <c r="T1434" i="61"/>
  <c r="U1434" i="61"/>
  <c r="V1434" i="61"/>
  <c r="X1434" i="61"/>
  <c r="P1435" i="61"/>
  <c r="Q1435" i="61"/>
  <c r="R1435" i="61"/>
  <c r="S1435" i="61"/>
  <c r="T1435" i="61"/>
  <c r="U1435" i="61"/>
  <c r="V1435" i="61"/>
  <c r="X1435" i="61"/>
  <c r="P1436" i="61"/>
  <c r="Q1436" i="61"/>
  <c r="R1436" i="61"/>
  <c r="S1436" i="61"/>
  <c r="T1436" i="61"/>
  <c r="U1436" i="61"/>
  <c r="V1436" i="61"/>
  <c r="X1436" i="61"/>
  <c r="P1437" i="61"/>
  <c r="Q1437" i="61"/>
  <c r="R1437" i="61"/>
  <c r="S1437" i="61"/>
  <c r="T1437" i="61"/>
  <c r="U1437" i="61"/>
  <c r="V1437" i="61"/>
  <c r="X1437" i="61"/>
  <c r="P1438" i="61"/>
  <c r="Q1438" i="61"/>
  <c r="R1438" i="61"/>
  <c r="S1438" i="61"/>
  <c r="T1438" i="61"/>
  <c r="U1438" i="61"/>
  <c r="V1438" i="61"/>
  <c r="X1438" i="61"/>
  <c r="P1439" i="61"/>
  <c r="Q1439" i="61"/>
  <c r="R1439" i="61"/>
  <c r="S1439" i="61"/>
  <c r="T1439" i="61"/>
  <c r="U1439" i="61"/>
  <c r="V1439" i="61"/>
  <c r="X1439" i="61"/>
  <c r="P1440" i="61"/>
  <c r="Q1440" i="61"/>
  <c r="R1440" i="61"/>
  <c r="S1440" i="61"/>
  <c r="T1440" i="61"/>
  <c r="U1440" i="61"/>
  <c r="V1440" i="61"/>
  <c r="X1440" i="61"/>
  <c r="P1441" i="61"/>
  <c r="Q1441" i="61"/>
  <c r="R1441" i="61"/>
  <c r="S1441" i="61"/>
  <c r="T1441" i="61"/>
  <c r="U1441" i="61"/>
  <c r="V1441" i="61"/>
  <c r="X1441" i="61"/>
  <c r="P1442" i="61"/>
  <c r="Q1442" i="61"/>
  <c r="R1442" i="61"/>
  <c r="S1442" i="61"/>
  <c r="T1442" i="61"/>
  <c r="U1442" i="61"/>
  <c r="V1442" i="61"/>
  <c r="X1442" i="61"/>
  <c r="P1443" i="61"/>
  <c r="Q1443" i="61"/>
  <c r="R1443" i="61"/>
  <c r="S1443" i="61"/>
  <c r="T1443" i="61"/>
  <c r="U1443" i="61"/>
  <c r="V1443" i="61"/>
  <c r="X1443" i="61"/>
  <c r="P1444" i="61"/>
  <c r="Q1444" i="61"/>
  <c r="R1444" i="61"/>
  <c r="S1444" i="61"/>
  <c r="T1444" i="61"/>
  <c r="U1444" i="61"/>
  <c r="V1444" i="61"/>
  <c r="X1444" i="61"/>
  <c r="P1445" i="61"/>
  <c r="Q1445" i="61"/>
  <c r="R1445" i="61"/>
  <c r="S1445" i="61"/>
  <c r="T1445" i="61"/>
  <c r="U1445" i="61"/>
  <c r="V1445" i="61"/>
  <c r="X1445" i="61"/>
  <c r="P1446" i="61"/>
  <c r="Q1446" i="61"/>
  <c r="R1446" i="61"/>
  <c r="S1446" i="61"/>
  <c r="T1446" i="61"/>
  <c r="U1446" i="61"/>
  <c r="V1446" i="61"/>
  <c r="X1446" i="61"/>
  <c r="P1447" i="61"/>
  <c r="Q1447" i="61"/>
  <c r="R1447" i="61"/>
  <c r="S1447" i="61"/>
  <c r="T1447" i="61"/>
  <c r="U1447" i="61"/>
  <c r="V1447" i="61"/>
  <c r="X1447" i="61"/>
  <c r="P1448" i="61"/>
  <c r="Q1448" i="61"/>
  <c r="R1448" i="61"/>
  <c r="S1448" i="61"/>
  <c r="T1448" i="61"/>
  <c r="U1448" i="61"/>
  <c r="V1448" i="61"/>
  <c r="X1448" i="61"/>
  <c r="P1449" i="61"/>
  <c r="Q1449" i="61"/>
  <c r="R1449" i="61"/>
  <c r="S1449" i="61"/>
  <c r="T1449" i="61"/>
  <c r="U1449" i="61"/>
  <c r="V1449" i="61"/>
  <c r="X1449" i="61"/>
  <c r="P1450" i="61"/>
  <c r="Q1450" i="61"/>
  <c r="R1450" i="61"/>
  <c r="S1450" i="61"/>
  <c r="T1450" i="61"/>
  <c r="U1450" i="61"/>
  <c r="V1450" i="61"/>
  <c r="X1450" i="61"/>
  <c r="P1451" i="61"/>
  <c r="Q1451" i="61"/>
  <c r="R1451" i="61"/>
  <c r="S1451" i="61"/>
  <c r="T1451" i="61"/>
  <c r="U1451" i="61"/>
  <c r="V1451" i="61"/>
  <c r="X1451" i="61"/>
  <c r="P1452" i="61"/>
  <c r="Q1452" i="61"/>
  <c r="R1452" i="61"/>
  <c r="S1452" i="61"/>
  <c r="T1452" i="61"/>
  <c r="U1452" i="61"/>
  <c r="V1452" i="61"/>
  <c r="X1452" i="61"/>
  <c r="P1453" i="61"/>
  <c r="Q1453" i="61"/>
  <c r="R1453" i="61"/>
  <c r="S1453" i="61"/>
  <c r="T1453" i="61"/>
  <c r="U1453" i="61"/>
  <c r="V1453" i="61"/>
  <c r="X1453" i="61"/>
  <c r="P1454" i="61"/>
  <c r="Q1454" i="61"/>
  <c r="R1454" i="61"/>
  <c r="S1454" i="61"/>
  <c r="T1454" i="61"/>
  <c r="U1454" i="61"/>
  <c r="V1454" i="61"/>
  <c r="X1454" i="61"/>
  <c r="P1455" i="61"/>
  <c r="Q1455" i="61"/>
  <c r="R1455" i="61"/>
  <c r="S1455" i="61"/>
  <c r="T1455" i="61"/>
  <c r="U1455" i="61"/>
  <c r="V1455" i="61"/>
  <c r="X1455" i="61"/>
  <c r="P1456" i="61"/>
  <c r="Q1456" i="61"/>
  <c r="R1456" i="61"/>
  <c r="S1456" i="61"/>
  <c r="T1456" i="61"/>
  <c r="U1456" i="61"/>
  <c r="V1456" i="61"/>
  <c r="X1456" i="61"/>
  <c r="P1457" i="61"/>
  <c r="Q1457" i="61"/>
  <c r="R1457" i="61"/>
  <c r="S1457" i="61"/>
  <c r="T1457" i="61"/>
  <c r="U1457" i="61"/>
  <c r="V1457" i="61"/>
  <c r="X1457" i="61"/>
  <c r="P1458" i="61"/>
  <c r="Q1458" i="61"/>
  <c r="R1458" i="61"/>
  <c r="S1458" i="61"/>
  <c r="T1458" i="61"/>
  <c r="U1458" i="61"/>
  <c r="V1458" i="61"/>
  <c r="X1458" i="61"/>
  <c r="P1459" i="61"/>
  <c r="Q1459" i="61"/>
  <c r="R1459" i="61"/>
  <c r="S1459" i="61"/>
  <c r="T1459" i="61"/>
  <c r="U1459" i="61"/>
  <c r="V1459" i="61"/>
  <c r="X1459" i="61"/>
  <c r="P1460" i="61"/>
  <c r="Q1460" i="61"/>
  <c r="R1460" i="61"/>
  <c r="S1460" i="61"/>
  <c r="T1460" i="61"/>
  <c r="U1460" i="61"/>
  <c r="V1460" i="61"/>
  <c r="X1460" i="61"/>
  <c r="P1461" i="61"/>
  <c r="Q1461" i="61"/>
  <c r="R1461" i="61"/>
  <c r="S1461" i="61"/>
  <c r="T1461" i="61"/>
  <c r="U1461" i="61"/>
  <c r="V1461" i="61"/>
  <c r="X1461" i="61"/>
  <c r="P1462" i="61"/>
  <c r="Q1462" i="61"/>
  <c r="R1462" i="61"/>
  <c r="S1462" i="61"/>
  <c r="T1462" i="61"/>
  <c r="U1462" i="61"/>
  <c r="V1462" i="61"/>
  <c r="X1462" i="61"/>
  <c r="P1463" i="61"/>
  <c r="Q1463" i="61"/>
  <c r="R1463" i="61"/>
  <c r="S1463" i="61"/>
  <c r="T1463" i="61"/>
  <c r="U1463" i="61"/>
  <c r="V1463" i="61"/>
  <c r="X1463" i="61"/>
  <c r="P1464" i="61"/>
  <c r="Q1464" i="61"/>
  <c r="R1464" i="61"/>
  <c r="S1464" i="61"/>
  <c r="T1464" i="61"/>
  <c r="U1464" i="61"/>
  <c r="V1464" i="61"/>
  <c r="X1464" i="61"/>
  <c r="P1465" i="61"/>
  <c r="Q1465" i="61"/>
  <c r="R1465" i="61"/>
  <c r="S1465" i="61"/>
  <c r="T1465" i="61"/>
  <c r="U1465" i="61"/>
  <c r="V1465" i="61"/>
  <c r="X1465" i="61"/>
  <c r="P1466" i="61"/>
  <c r="Q1466" i="61"/>
  <c r="R1466" i="61"/>
  <c r="S1466" i="61"/>
  <c r="T1466" i="61"/>
  <c r="U1466" i="61"/>
  <c r="V1466" i="61"/>
  <c r="X1466" i="61"/>
  <c r="P1467" i="61"/>
  <c r="Q1467" i="61"/>
  <c r="R1467" i="61"/>
  <c r="S1467" i="61"/>
  <c r="T1467" i="61"/>
  <c r="U1467" i="61"/>
  <c r="V1467" i="61"/>
  <c r="X1467" i="61"/>
  <c r="P1468" i="61"/>
  <c r="Q1468" i="61"/>
  <c r="R1468" i="61"/>
  <c r="S1468" i="61"/>
  <c r="T1468" i="61"/>
  <c r="U1468" i="61"/>
  <c r="V1468" i="61"/>
  <c r="X1468" i="61"/>
  <c r="P1469" i="61"/>
  <c r="Q1469" i="61"/>
  <c r="R1469" i="61"/>
  <c r="S1469" i="61"/>
  <c r="T1469" i="61"/>
  <c r="U1469" i="61"/>
  <c r="V1469" i="61"/>
  <c r="X1469" i="61"/>
  <c r="P1470" i="61"/>
  <c r="Q1470" i="61"/>
  <c r="R1470" i="61"/>
  <c r="S1470" i="61"/>
  <c r="T1470" i="61"/>
  <c r="U1470" i="61"/>
  <c r="V1470" i="61"/>
  <c r="X1470" i="61"/>
  <c r="P1471" i="61"/>
  <c r="Q1471" i="61"/>
  <c r="R1471" i="61"/>
  <c r="S1471" i="61"/>
  <c r="T1471" i="61"/>
  <c r="U1471" i="61"/>
  <c r="V1471" i="61"/>
  <c r="X1471" i="61"/>
  <c r="P1472" i="61"/>
  <c r="Q1472" i="61"/>
  <c r="R1472" i="61"/>
  <c r="S1472" i="61"/>
  <c r="T1472" i="61"/>
  <c r="U1472" i="61"/>
  <c r="V1472" i="61"/>
  <c r="X1472" i="61"/>
  <c r="P1473" i="61"/>
  <c r="Q1473" i="61"/>
  <c r="R1473" i="61"/>
  <c r="S1473" i="61"/>
  <c r="T1473" i="61"/>
  <c r="U1473" i="61"/>
  <c r="V1473" i="61"/>
  <c r="X1473" i="61"/>
  <c r="P1474" i="61"/>
  <c r="Q1474" i="61"/>
  <c r="R1474" i="61"/>
  <c r="S1474" i="61"/>
  <c r="T1474" i="61"/>
  <c r="U1474" i="61"/>
  <c r="V1474" i="61"/>
  <c r="X1474" i="61"/>
  <c r="P1475" i="61"/>
  <c r="Q1475" i="61"/>
  <c r="R1475" i="61"/>
  <c r="S1475" i="61"/>
  <c r="T1475" i="61"/>
  <c r="U1475" i="61"/>
  <c r="V1475" i="61"/>
  <c r="X1475" i="61"/>
  <c r="P1476" i="61"/>
  <c r="R1476" i="61"/>
  <c r="S1476" i="61"/>
  <c r="T1476" i="61"/>
  <c r="U1476" i="61"/>
  <c r="V1476" i="61"/>
  <c r="X1476" i="61"/>
  <c r="P1477" i="61"/>
  <c r="Q1477" i="61"/>
  <c r="R1477" i="61"/>
  <c r="S1477" i="61"/>
  <c r="T1477" i="61"/>
  <c r="U1477" i="61"/>
  <c r="V1477" i="61"/>
  <c r="X1477" i="61"/>
  <c r="P1478" i="61"/>
  <c r="Q1478" i="61"/>
  <c r="R1478" i="61"/>
  <c r="S1478" i="61"/>
  <c r="T1478" i="61"/>
  <c r="U1478" i="61"/>
  <c r="V1478" i="61"/>
  <c r="X1478" i="61"/>
  <c r="P1479" i="61"/>
  <c r="Q1479" i="61"/>
  <c r="R1479" i="61"/>
  <c r="S1479" i="61"/>
  <c r="T1479" i="61"/>
  <c r="U1479" i="61"/>
  <c r="V1479" i="61"/>
  <c r="X1479" i="61"/>
  <c r="P1480" i="61"/>
  <c r="Q1480" i="61"/>
  <c r="R1480" i="61"/>
  <c r="S1480" i="61"/>
  <c r="T1480" i="61"/>
  <c r="U1480" i="61"/>
  <c r="V1480" i="61"/>
  <c r="X1480" i="61"/>
  <c r="P1481" i="61"/>
  <c r="Q1481" i="61"/>
  <c r="R1481" i="61"/>
  <c r="S1481" i="61"/>
  <c r="T1481" i="61"/>
  <c r="U1481" i="61"/>
  <c r="V1481" i="61"/>
  <c r="X1481" i="61"/>
  <c r="P1482" i="61"/>
  <c r="Q1482" i="61"/>
  <c r="R1482" i="61"/>
  <c r="S1482" i="61"/>
  <c r="T1482" i="61"/>
  <c r="U1482" i="61"/>
  <c r="V1482" i="61"/>
  <c r="X1482" i="61"/>
  <c r="P1483" i="61"/>
  <c r="Q1483" i="61"/>
  <c r="R1483" i="61"/>
  <c r="S1483" i="61"/>
  <c r="T1483" i="61"/>
  <c r="U1483" i="61"/>
  <c r="V1483" i="61"/>
  <c r="X1483" i="61"/>
  <c r="P1484" i="61"/>
  <c r="Q1484" i="61"/>
  <c r="R1484" i="61"/>
  <c r="S1484" i="61"/>
  <c r="T1484" i="61"/>
  <c r="U1484" i="61"/>
  <c r="V1484" i="61"/>
  <c r="X1484" i="61"/>
  <c r="P1485" i="61"/>
  <c r="Q1485" i="61"/>
  <c r="R1485" i="61"/>
  <c r="S1485" i="61"/>
  <c r="T1485" i="61"/>
  <c r="U1485" i="61"/>
  <c r="V1485" i="61"/>
  <c r="X1485" i="61"/>
  <c r="P1486" i="61"/>
  <c r="Q1486" i="61"/>
  <c r="R1486" i="61"/>
  <c r="S1486" i="61"/>
  <c r="T1486" i="61"/>
  <c r="U1486" i="61"/>
  <c r="V1486" i="61"/>
  <c r="X1486" i="61"/>
  <c r="P1487" i="61"/>
  <c r="Q1487" i="61"/>
  <c r="R1487" i="61"/>
  <c r="S1487" i="61"/>
  <c r="T1487" i="61"/>
  <c r="U1487" i="61"/>
  <c r="V1487" i="61"/>
  <c r="X1487" i="61"/>
  <c r="P1488" i="61"/>
  <c r="Q1488" i="61"/>
  <c r="R1488" i="61"/>
  <c r="S1488" i="61"/>
  <c r="T1488" i="61"/>
  <c r="U1488" i="61"/>
  <c r="V1488" i="61"/>
  <c r="X1488" i="61"/>
  <c r="P1489" i="61"/>
  <c r="Q1489" i="61"/>
  <c r="R1489" i="61"/>
  <c r="S1489" i="61"/>
  <c r="T1489" i="61"/>
  <c r="U1489" i="61"/>
  <c r="V1489" i="61"/>
  <c r="X1489" i="61"/>
  <c r="P1490" i="61"/>
  <c r="Q1490" i="61"/>
  <c r="R1490" i="61"/>
  <c r="S1490" i="61"/>
  <c r="T1490" i="61"/>
  <c r="U1490" i="61"/>
  <c r="V1490" i="61"/>
  <c r="X1490" i="61"/>
  <c r="P1491" i="61"/>
  <c r="Q1491" i="61"/>
  <c r="R1491" i="61"/>
  <c r="S1491" i="61"/>
  <c r="T1491" i="61"/>
  <c r="U1491" i="61"/>
  <c r="V1491" i="61"/>
  <c r="X1491" i="61"/>
  <c r="P1492" i="61"/>
  <c r="Q1492" i="61"/>
  <c r="R1492" i="61"/>
  <c r="S1492" i="61"/>
  <c r="T1492" i="61"/>
  <c r="U1492" i="61"/>
  <c r="V1492" i="61"/>
  <c r="X1492" i="61"/>
  <c r="P1493" i="61"/>
  <c r="Q1493" i="61"/>
  <c r="R1493" i="61"/>
  <c r="S1493" i="61"/>
  <c r="T1493" i="61"/>
  <c r="U1493" i="61"/>
  <c r="V1493" i="61"/>
  <c r="X1493" i="61"/>
  <c r="P1494" i="61"/>
  <c r="Q1494" i="61"/>
  <c r="R1494" i="61"/>
  <c r="S1494" i="61"/>
  <c r="T1494" i="61"/>
  <c r="U1494" i="61"/>
  <c r="V1494" i="61"/>
  <c r="X1494" i="61"/>
  <c r="P1495" i="61"/>
  <c r="Q1495" i="61"/>
  <c r="R1495" i="61"/>
  <c r="S1495" i="61"/>
  <c r="T1495" i="61"/>
  <c r="U1495" i="61"/>
  <c r="V1495" i="61"/>
  <c r="X1495" i="61"/>
  <c r="P1496" i="61"/>
  <c r="Q1496" i="61"/>
  <c r="R1496" i="61"/>
  <c r="S1496" i="61"/>
  <c r="T1496" i="61"/>
  <c r="U1496" i="61"/>
  <c r="V1496" i="61"/>
  <c r="X1496" i="61"/>
  <c r="P1497" i="61"/>
  <c r="Q1497" i="61"/>
  <c r="R1497" i="61"/>
  <c r="S1497" i="61"/>
  <c r="T1497" i="61"/>
  <c r="U1497" i="61"/>
  <c r="V1497" i="61"/>
  <c r="X1497" i="61"/>
  <c r="P1498" i="61"/>
  <c r="Q1498" i="61"/>
  <c r="R1498" i="61"/>
  <c r="S1498" i="61"/>
  <c r="T1498" i="61"/>
  <c r="U1498" i="61"/>
  <c r="V1498" i="61"/>
  <c r="X1498" i="61"/>
  <c r="P1499" i="61"/>
  <c r="Q1499" i="61"/>
  <c r="R1499" i="61"/>
  <c r="S1499" i="61"/>
  <c r="T1499" i="61"/>
  <c r="U1499" i="61"/>
  <c r="V1499" i="61"/>
  <c r="X1499" i="61"/>
  <c r="P1500" i="61"/>
  <c r="Q1500" i="61"/>
  <c r="R1500" i="61"/>
  <c r="S1500" i="61"/>
  <c r="T1500" i="61"/>
  <c r="U1500" i="61"/>
  <c r="V1500" i="61"/>
  <c r="X1500" i="61"/>
  <c r="P1501" i="61"/>
  <c r="Q1501" i="61"/>
  <c r="R1501" i="61"/>
  <c r="S1501" i="61"/>
  <c r="T1501" i="61"/>
  <c r="U1501" i="61"/>
  <c r="V1501" i="61"/>
  <c r="X1501" i="61"/>
  <c r="P1502" i="61"/>
  <c r="Q1502" i="61"/>
  <c r="R1502" i="61"/>
  <c r="S1502" i="61"/>
  <c r="T1502" i="61"/>
  <c r="U1502" i="61"/>
  <c r="V1502" i="61"/>
  <c r="X1502" i="61"/>
  <c r="P1503" i="61"/>
  <c r="Q1503" i="61"/>
  <c r="R1503" i="61"/>
  <c r="S1503" i="61"/>
  <c r="T1503" i="61"/>
  <c r="U1503" i="61"/>
  <c r="V1503" i="61"/>
  <c r="X1503" i="61"/>
  <c r="P1504" i="61"/>
  <c r="Q1504" i="61"/>
  <c r="R1504" i="61"/>
  <c r="S1504" i="61"/>
  <c r="T1504" i="61"/>
  <c r="U1504" i="61"/>
  <c r="V1504" i="61"/>
  <c r="X1504" i="61"/>
  <c r="P1505" i="61"/>
  <c r="Q1505" i="61"/>
  <c r="R1505" i="61"/>
  <c r="S1505" i="61"/>
  <c r="T1505" i="61"/>
  <c r="U1505" i="61"/>
  <c r="V1505" i="61"/>
  <c r="X1505" i="61"/>
  <c r="P1506" i="61"/>
  <c r="Q1506" i="61"/>
  <c r="R1506" i="61"/>
  <c r="S1506" i="61"/>
  <c r="T1506" i="61"/>
  <c r="U1506" i="61"/>
  <c r="V1506" i="61"/>
  <c r="X1506" i="61"/>
  <c r="P1507" i="61"/>
  <c r="Q1507" i="61"/>
  <c r="R1507" i="61"/>
  <c r="S1507" i="61"/>
  <c r="T1507" i="61"/>
  <c r="U1507" i="61"/>
  <c r="V1507" i="61"/>
  <c r="X1507" i="61"/>
  <c r="P1508" i="61"/>
  <c r="Q1508" i="61"/>
  <c r="R1508" i="61"/>
  <c r="S1508" i="61"/>
  <c r="T1508" i="61"/>
  <c r="U1508" i="61"/>
  <c r="V1508" i="61"/>
  <c r="X1508" i="61"/>
  <c r="P1509" i="61"/>
  <c r="Q1509" i="61"/>
  <c r="R1509" i="61"/>
  <c r="S1509" i="61"/>
  <c r="T1509" i="61"/>
  <c r="U1509" i="61"/>
  <c r="V1509" i="61"/>
  <c r="X1509" i="61"/>
  <c r="P1510" i="61"/>
  <c r="Q1510" i="61"/>
  <c r="R1510" i="61"/>
  <c r="S1510" i="61"/>
  <c r="T1510" i="61"/>
  <c r="U1510" i="61"/>
  <c r="V1510" i="61"/>
  <c r="X1510" i="61"/>
  <c r="P1511" i="61"/>
  <c r="Q1511" i="61"/>
  <c r="R1511" i="61"/>
  <c r="S1511" i="61"/>
  <c r="T1511" i="61"/>
  <c r="U1511" i="61"/>
  <c r="V1511" i="61"/>
  <c r="X1511" i="61"/>
  <c r="P1512" i="61"/>
  <c r="Q1512" i="61"/>
  <c r="R1512" i="61"/>
  <c r="S1512" i="61"/>
  <c r="T1512" i="61"/>
  <c r="U1512" i="61"/>
  <c r="V1512" i="61"/>
  <c r="X1512" i="61"/>
  <c r="P1513" i="61"/>
  <c r="Q1513" i="61"/>
  <c r="R1513" i="61"/>
  <c r="S1513" i="61"/>
  <c r="T1513" i="61"/>
  <c r="U1513" i="61"/>
  <c r="V1513" i="61"/>
  <c r="X1513" i="61"/>
  <c r="P1514" i="61"/>
  <c r="Q1514" i="61"/>
  <c r="R1514" i="61"/>
  <c r="S1514" i="61"/>
  <c r="T1514" i="61"/>
  <c r="U1514" i="61"/>
  <c r="V1514" i="61"/>
  <c r="X1514" i="61"/>
  <c r="P1515" i="61"/>
  <c r="Q1515" i="61"/>
  <c r="R1515" i="61"/>
  <c r="S1515" i="61"/>
  <c r="T1515" i="61"/>
  <c r="U1515" i="61"/>
  <c r="V1515" i="61"/>
  <c r="X1515" i="61"/>
  <c r="P1516" i="61"/>
  <c r="Q1516" i="61"/>
  <c r="R1516" i="61"/>
  <c r="S1516" i="61"/>
  <c r="T1516" i="61"/>
  <c r="U1516" i="61"/>
  <c r="V1516" i="61"/>
  <c r="X1516" i="61"/>
  <c r="P1517" i="61"/>
  <c r="Q1517" i="61"/>
  <c r="R1517" i="61"/>
  <c r="S1517" i="61"/>
  <c r="T1517" i="61"/>
  <c r="U1517" i="61"/>
  <c r="V1517" i="61"/>
  <c r="X1517" i="61"/>
  <c r="P1518" i="61"/>
  <c r="Q1518" i="61"/>
  <c r="R1518" i="61"/>
  <c r="S1518" i="61"/>
  <c r="T1518" i="61"/>
  <c r="U1518" i="61"/>
  <c r="V1518" i="61"/>
  <c r="X1518" i="61"/>
  <c r="P1519" i="61"/>
  <c r="Q1519" i="61"/>
  <c r="R1519" i="61"/>
  <c r="S1519" i="61"/>
  <c r="T1519" i="61"/>
  <c r="U1519" i="61"/>
  <c r="V1519" i="61"/>
  <c r="X1519" i="61"/>
  <c r="P1520" i="61"/>
  <c r="Q1520" i="61"/>
  <c r="R1520" i="61"/>
  <c r="S1520" i="61"/>
  <c r="T1520" i="61"/>
  <c r="U1520" i="61"/>
  <c r="V1520" i="61"/>
  <c r="X1520" i="61"/>
  <c r="P1521" i="61"/>
  <c r="Q1521" i="61"/>
  <c r="R1521" i="61"/>
  <c r="S1521" i="61"/>
  <c r="T1521" i="61"/>
  <c r="U1521" i="61"/>
  <c r="V1521" i="61"/>
  <c r="X1521" i="61"/>
  <c r="P1522" i="61"/>
  <c r="Q1522" i="61"/>
  <c r="R1522" i="61"/>
  <c r="S1522" i="61"/>
  <c r="T1522" i="61"/>
  <c r="U1522" i="61"/>
  <c r="V1522" i="61"/>
  <c r="X1522" i="61"/>
  <c r="P1523" i="61"/>
  <c r="Q1523" i="61"/>
  <c r="R1523" i="61"/>
  <c r="S1523" i="61"/>
  <c r="T1523" i="61"/>
  <c r="U1523" i="61"/>
  <c r="V1523" i="61"/>
  <c r="X1523" i="61"/>
  <c r="P1524" i="61"/>
  <c r="Q1524" i="61"/>
  <c r="R1524" i="61"/>
  <c r="S1524" i="61"/>
  <c r="T1524" i="61"/>
  <c r="U1524" i="61"/>
  <c r="V1524" i="61"/>
  <c r="X1524" i="61"/>
  <c r="P1525" i="61"/>
  <c r="Q1525" i="61"/>
  <c r="R1525" i="61"/>
  <c r="S1525" i="61"/>
  <c r="T1525" i="61"/>
  <c r="U1525" i="61"/>
  <c r="V1525" i="61"/>
  <c r="X1525" i="61"/>
  <c r="P1526" i="61"/>
  <c r="Q1526" i="61"/>
  <c r="R1526" i="61"/>
  <c r="S1526" i="61"/>
  <c r="T1526" i="61"/>
  <c r="U1526" i="61"/>
  <c r="V1526" i="61"/>
  <c r="X1526" i="61"/>
  <c r="P1527" i="61"/>
  <c r="Q1527" i="61"/>
  <c r="R1527" i="61"/>
  <c r="S1527" i="61"/>
  <c r="T1527" i="61"/>
  <c r="U1527" i="61"/>
  <c r="V1527" i="61"/>
  <c r="X1527" i="61"/>
  <c r="P1528" i="61"/>
  <c r="Q1528" i="61"/>
  <c r="R1528" i="61"/>
  <c r="S1528" i="61"/>
  <c r="T1528" i="61"/>
  <c r="U1528" i="61"/>
  <c r="V1528" i="61"/>
  <c r="X1528" i="61"/>
  <c r="P1529" i="61"/>
  <c r="Q1529" i="61"/>
  <c r="R1529" i="61"/>
  <c r="S1529" i="61"/>
  <c r="T1529" i="61"/>
  <c r="U1529" i="61"/>
  <c r="V1529" i="61"/>
  <c r="X1529" i="61"/>
  <c r="P1530" i="61"/>
  <c r="Q1530" i="61"/>
  <c r="R1530" i="61"/>
  <c r="S1530" i="61"/>
  <c r="T1530" i="61"/>
  <c r="U1530" i="61"/>
  <c r="V1530" i="61"/>
  <c r="X1530" i="61"/>
  <c r="P1531" i="61"/>
  <c r="Q1531" i="61"/>
  <c r="R1531" i="61"/>
  <c r="S1531" i="61"/>
  <c r="T1531" i="61"/>
  <c r="U1531" i="61"/>
  <c r="V1531" i="61"/>
  <c r="X1531" i="61"/>
  <c r="P1532" i="61"/>
  <c r="Q1532" i="61"/>
  <c r="R1532" i="61"/>
  <c r="S1532" i="61"/>
  <c r="T1532" i="61"/>
  <c r="U1532" i="61"/>
  <c r="V1532" i="61"/>
  <c r="X1532" i="61"/>
  <c r="P1533" i="61"/>
  <c r="Q1533" i="61"/>
  <c r="R1533" i="61"/>
  <c r="S1533" i="61"/>
  <c r="T1533" i="61"/>
  <c r="U1533" i="61"/>
  <c r="V1533" i="61"/>
  <c r="X1533" i="61"/>
  <c r="P1534" i="61"/>
  <c r="Q1534" i="61"/>
  <c r="R1534" i="61"/>
  <c r="S1534" i="61"/>
  <c r="T1534" i="61"/>
  <c r="U1534" i="61"/>
  <c r="V1534" i="61"/>
  <c r="X1534" i="61"/>
  <c r="P1535" i="61"/>
  <c r="Q1535" i="61"/>
  <c r="R1535" i="61"/>
  <c r="S1535" i="61"/>
  <c r="T1535" i="61"/>
  <c r="U1535" i="61"/>
  <c r="V1535" i="61"/>
  <c r="X1535" i="61"/>
  <c r="P1536" i="61"/>
  <c r="Q1536" i="61"/>
  <c r="R1536" i="61"/>
  <c r="S1536" i="61"/>
  <c r="T1536" i="61"/>
  <c r="U1536" i="61"/>
  <c r="V1536" i="61"/>
  <c r="X1536" i="61"/>
  <c r="P1537" i="61"/>
  <c r="Q1537" i="61"/>
  <c r="R1537" i="61"/>
  <c r="S1537" i="61"/>
  <c r="T1537" i="61"/>
  <c r="U1537" i="61"/>
  <c r="V1537" i="61"/>
  <c r="X1537" i="61"/>
  <c r="P1538" i="61"/>
  <c r="Q1538" i="61"/>
  <c r="R1538" i="61"/>
  <c r="S1538" i="61"/>
  <c r="T1538" i="61"/>
  <c r="U1538" i="61"/>
  <c r="V1538" i="61"/>
  <c r="X1538" i="61"/>
  <c r="P1539" i="61"/>
  <c r="Q1539" i="61"/>
  <c r="R1539" i="61"/>
  <c r="S1539" i="61"/>
  <c r="T1539" i="61"/>
  <c r="U1539" i="61"/>
  <c r="V1539" i="61"/>
  <c r="X1539" i="61"/>
  <c r="P1540" i="61"/>
  <c r="Q1540" i="61"/>
  <c r="R1540" i="61"/>
  <c r="S1540" i="61"/>
  <c r="T1540" i="61"/>
  <c r="U1540" i="61"/>
  <c r="V1540" i="61"/>
  <c r="X1540" i="61"/>
  <c r="P1541" i="61"/>
  <c r="Q1541" i="61"/>
  <c r="R1541" i="61"/>
  <c r="S1541" i="61"/>
  <c r="T1541" i="61"/>
  <c r="U1541" i="61"/>
  <c r="V1541" i="61"/>
  <c r="X1541" i="61"/>
  <c r="P1542" i="61"/>
  <c r="Q1542" i="61"/>
  <c r="R1542" i="61"/>
  <c r="S1542" i="61"/>
  <c r="T1542" i="61"/>
  <c r="U1542" i="61"/>
  <c r="V1542" i="61"/>
  <c r="X1542" i="61"/>
  <c r="P1543" i="61"/>
  <c r="Q1543" i="61"/>
  <c r="R1543" i="61"/>
  <c r="S1543" i="61"/>
  <c r="T1543" i="61"/>
  <c r="U1543" i="61"/>
  <c r="V1543" i="61"/>
  <c r="X1543" i="61"/>
  <c r="P1544" i="61"/>
  <c r="Q1544" i="61"/>
  <c r="R1544" i="61"/>
  <c r="S1544" i="61"/>
  <c r="T1544" i="61"/>
  <c r="U1544" i="61"/>
  <c r="V1544" i="61"/>
  <c r="X1544" i="61"/>
  <c r="P1545" i="61"/>
  <c r="Q1545" i="61"/>
  <c r="R1545" i="61"/>
  <c r="S1545" i="61"/>
  <c r="T1545" i="61"/>
  <c r="U1545" i="61"/>
  <c r="V1545" i="61"/>
  <c r="X1545" i="61"/>
  <c r="P1546" i="61"/>
  <c r="Q1546" i="61"/>
  <c r="R1546" i="61"/>
  <c r="S1546" i="61"/>
  <c r="T1546" i="61"/>
  <c r="U1546" i="61"/>
  <c r="V1546" i="61"/>
  <c r="X1546" i="61"/>
  <c r="P1547" i="61"/>
  <c r="Q1547" i="61"/>
  <c r="R1547" i="61"/>
  <c r="S1547" i="61"/>
  <c r="T1547" i="61"/>
  <c r="U1547" i="61"/>
  <c r="V1547" i="61"/>
  <c r="X1547" i="61"/>
  <c r="P1548" i="61"/>
  <c r="Q1548" i="61"/>
  <c r="R1548" i="61"/>
  <c r="S1548" i="61"/>
  <c r="T1548" i="61"/>
  <c r="U1548" i="61"/>
  <c r="V1548" i="61"/>
  <c r="X1548" i="61"/>
  <c r="P1549" i="61"/>
  <c r="R1549" i="61"/>
  <c r="S1549" i="61"/>
  <c r="T1549" i="61"/>
  <c r="U1549" i="61"/>
  <c r="V1549" i="61"/>
  <c r="X1549" i="61"/>
  <c r="P1550" i="61"/>
  <c r="Q1550" i="61"/>
  <c r="R1550" i="61"/>
  <c r="S1550" i="61"/>
  <c r="T1550" i="61"/>
  <c r="U1550" i="61"/>
  <c r="V1550" i="61"/>
  <c r="X1550" i="61"/>
  <c r="P1551" i="61"/>
  <c r="Q1551" i="61"/>
  <c r="R1551" i="61"/>
  <c r="S1551" i="61"/>
  <c r="T1551" i="61"/>
  <c r="U1551" i="61"/>
  <c r="V1551" i="61"/>
  <c r="X1551" i="61"/>
  <c r="P1552" i="61"/>
  <c r="Q1552" i="61"/>
  <c r="R1552" i="61"/>
  <c r="S1552" i="61"/>
  <c r="T1552" i="61"/>
  <c r="U1552" i="61"/>
  <c r="V1552" i="61"/>
  <c r="X1552" i="61"/>
  <c r="P1553" i="61"/>
  <c r="Q1553" i="61"/>
  <c r="R1553" i="61"/>
  <c r="S1553" i="61"/>
  <c r="T1553" i="61"/>
  <c r="U1553" i="61"/>
  <c r="V1553" i="61"/>
  <c r="X1553" i="61"/>
  <c r="P1554" i="61"/>
  <c r="Q1554" i="61"/>
  <c r="R1554" i="61"/>
  <c r="S1554" i="61"/>
  <c r="T1554" i="61"/>
  <c r="U1554" i="61"/>
  <c r="V1554" i="61"/>
  <c r="X1554" i="61"/>
  <c r="P1555" i="61"/>
  <c r="Q1555" i="61"/>
  <c r="R1555" i="61"/>
  <c r="S1555" i="61"/>
  <c r="T1555" i="61"/>
  <c r="U1555" i="61"/>
  <c r="V1555" i="61"/>
  <c r="X1555" i="61"/>
  <c r="P1556" i="61"/>
  <c r="Q1556" i="61"/>
  <c r="R1556" i="61"/>
  <c r="S1556" i="61"/>
  <c r="T1556" i="61"/>
  <c r="U1556" i="61"/>
  <c r="V1556" i="61"/>
  <c r="X1556" i="61"/>
  <c r="P1557" i="61"/>
  <c r="Q1557" i="61"/>
  <c r="R1557" i="61"/>
  <c r="S1557" i="61"/>
  <c r="T1557" i="61"/>
  <c r="U1557" i="61"/>
  <c r="V1557" i="61"/>
  <c r="X1557" i="61"/>
  <c r="P1558" i="61"/>
  <c r="Q1558" i="61"/>
  <c r="R1558" i="61"/>
  <c r="S1558" i="61"/>
  <c r="T1558" i="61"/>
  <c r="U1558" i="61"/>
  <c r="V1558" i="61"/>
  <c r="X1558" i="61"/>
  <c r="P1559" i="61"/>
  <c r="Q1559" i="61"/>
  <c r="R1559" i="61"/>
  <c r="S1559" i="61"/>
  <c r="T1559" i="61"/>
  <c r="U1559" i="61"/>
  <c r="V1559" i="61"/>
  <c r="X1559" i="61"/>
  <c r="P1560" i="61"/>
  <c r="Q1560" i="61"/>
  <c r="R1560" i="61"/>
  <c r="S1560" i="61"/>
  <c r="T1560" i="61"/>
  <c r="U1560" i="61"/>
  <c r="V1560" i="61"/>
  <c r="X1560" i="61"/>
  <c r="P1561" i="61"/>
  <c r="Q1561" i="61"/>
  <c r="R1561" i="61"/>
  <c r="S1561" i="61"/>
  <c r="T1561" i="61"/>
  <c r="U1561" i="61"/>
  <c r="V1561" i="61"/>
  <c r="X1561" i="61"/>
  <c r="P1562" i="61"/>
  <c r="Q1562" i="61"/>
  <c r="R1562" i="61"/>
  <c r="S1562" i="61"/>
  <c r="T1562" i="61"/>
  <c r="U1562" i="61"/>
  <c r="X1562" i="61"/>
  <c r="P1563" i="61"/>
  <c r="Q1563" i="61"/>
  <c r="R1563" i="61"/>
  <c r="S1563" i="61"/>
  <c r="T1563" i="61"/>
  <c r="U1563" i="61"/>
  <c r="V1563" i="61"/>
  <c r="X1563" i="61"/>
  <c r="P1564" i="61"/>
  <c r="Q1564" i="61"/>
  <c r="R1564" i="61"/>
  <c r="S1564" i="61"/>
  <c r="T1564" i="61"/>
  <c r="U1564" i="61"/>
  <c r="V1564" i="61"/>
  <c r="X1564" i="61"/>
  <c r="S1565" i="61"/>
  <c r="U1565" i="61"/>
  <c r="S1566" i="61"/>
  <c r="U1566" i="61"/>
  <c r="S1567" i="61"/>
  <c r="U1567" i="61"/>
  <c r="Q1568" i="61"/>
  <c r="S1568" i="61"/>
  <c r="T1568" i="61"/>
  <c r="U1568" i="61"/>
  <c r="P1569" i="61"/>
  <c r="Q1569" i="61"/>
  <c r="R1569" i="61"/>
  <c r="S1569" i="61"/>
  <c r="T1569" i="61"/>
  <c r="U1569" i="61"/>
  <c r="V1569" i="61"/>
  <c r="X1569" i="61"/>
  <c r="S1570" i="61"/>
  <c r="U1570" i="61"/>
  <c r="Q1571" i="61"/>
  <c r="S1571" i="61"/>
  <c r="U1571" i="61"/>
  <c r="P1572" i="61"/>
  <c r="Q1572" i="61"/>
  <c r="R1572" i="61"/>
  <c r="S1572" i="61"/>
  <c r="T1572" i="61"/>
  <c r="U1572" i="61"/>
  <c r="V1572" i="61"/>
  <c r="X1572" i="61"/>
  <c r="P1573" i="61"/>
  <c r="Q1573" i="61"/>
  <c r="R1573" i="61"/>
  <c r="S1573" i="61"/>
  <c r="T1573" i="61"/>
  <c r="U1573" i="61"/>
  <c r="V1573" i="61"/>
  <c r="X1573" i="61"/>
  <c r="P1574" i="61"/>
  <c r="Q1574" i="61"/>
  <c r="R1574" i="61"/>
  <c r="S1574" i="61"/>
  <c r="T1574" i="61"/>
  <c r="U1574" i="61"/>
  <c r="V1574" i="61"/>
  <c r="X1574" i="61"/>
  <c r="P1575" i="61"/>
  <c r="Q1575" i="61"/>
  <c r="R1575" i="61"/>
  <c r="S1575" i="61"/>
  <c r="T1575" i="61"/>
  <c r="U1575" i="61"/>
  <c r="V1575" i="61"/>
  <c r="X1575" i="61"/>
  <c r="Q1576" i="61"/>
  <c r="S1576" i="61"/>
  <c r="U1576" i="61"/>
  <c r="S1577" i="61"/>
  <c r="U1577" i="61"/>
  <c r="S1578" i="61"/>
  <c r="T1578" i="61"/>
  <c r="U1578" i="61"/>
  <c r="Q1579" i="61"/>
  <c r="R1579" i="61"/>
  <c r="S1579" i="61"/>
  <c r="T1579" i="61"/>
  <c r="U1579" i="61"/>
  <c r="P1580" i="61"/>
  <c r="Q1580" i="61"/>
  <c r="R1580" i="61"/>
  <c r="S1580" i="61"/>
  <c r="T1580" i="61"/>
  <c r="U1580" i="61"/>
  <c r="V1580" i="61"/>
  <c r="X1580" i="61"/>
  <c r="P1581" i="61"/>
  <c r="Q1581" i="61"/>
  <c r="R1581" i="61"/>
  <c r="S1581" i="61"/>
  <c r="T1581" i="61"/>
  <c r="U1581" i="61"/>
  <c r="V1581" i="61"/>
  <c r="X1581" i="61"/>
  <c r="P1582" i="61"/>
  <c r="Q1582" i="61"/>
  <c r="R1582" i="61"/>
  <c r="S1582" i="61"/>
  <c r="T1582" i="61"/>
  <c r="U1582" i="61"/>
  <c r="V1582" i="61"/>
  <c r="X1582" i="61"/>
  <c r="P1583" i="61"/>
  <c r="Q1583" i="61"/>
  <c r="R1583" i="61"/>
  <c r="S1583" i="61"/>
  <c r="T1583" i="61"/>
  <c r="U1583" i="61"/>
  <c r="V1583" i="61"/>
  <c r="X1583" i="61"/>
  <c r="P1584" i="61"/>
  <c r="Q1584" i="61"/>
  <c r="R1584" i="61"/>
  <c r="S1584" i="61"/>
  <c r="T1584" i="61"/>
  <c r="U1584" i="61"/>
  <c r="V1584" i="61"/>
  <c r="X1584" i="61"/>
  <c r="P1585" i="61"/>
  <c r="Q1585" i="61"/>
  <c r="R1585" i="61"/>
  <c r="S1585" i="61"/>
  <c r="T1585" i="61"/>
  <c r="U1585" i="61"/>
  <c r="V1585" i="61"/>
  <c r="X1585" i="61"/>
  <c r="P1586" i="61"/>
  <c r="Q1586" i="61"/>
  <c r="R1586" i="61"/>
  <c r="S1586" i="61"/>
  <c r="T1586" i="61"/>
  <c r="U1586" i="61"/>
  <c r="V1586" i="61"/>
  <c r="X1586" i="61"/>
  <c r="P1587" i="61"/>
  <c r="Q1587" i="61"/>
  <c r="R1587" i="61"/>
  <c r="S1587" i="61"/>
  <c r="T1587" i="61"/>
  <c r="U1587" i="61"/>
  <c r="V1587" i="61"/>
  <c r="X1587" i="61"/>
  <c r="P1588" i="61"/>
  <c r="Q1588" i="61"/>
  <c r="R1588" i="61"/>
  <c r="S1588" i="61"/>
  <c r="T1588" i="61"/>
  <c r="U1588" i="61"/>
  <c r="V1588" i="61"/>
  <c r="X1588" i="61"/>
  <c r="P1589" i="61"/>
  <c r="S1589" i="61"/>
  <c r="U1589" i="61"/>
  <c r="X1589" i="61"/>
  <c r="P1590" i="61"/>
  <c r="R1590" i="61"/>
  <c r="S1590" i="61"/>
  <c r="T1590" i="61"/>
  <c r="U1590" i="61"/>
  <c r="X1590" i="61"/>
  <c r="Q11" i="61"/>
  <c r="R11" i="61"/>
  <c r="S11" i="61"/>
  <c r="T11" i="61"/>
  <c r="U11" i="61"/>
  <c r="V11" i="61"/>
  <c r="X11" i="61"/>
  <c r="P11" i="61"/>
  <c r="H15" i="78"/>
  <c r="I15" i="78" s="1"/>
  <c r="H39" i="78"/>
  <c r="L39" i="78" s="1"/>
  <c r="H38" i="78"/>
  <c r="L38" i="78" s="1"/>
  <c r="H37" i="78"/>
  <c r="L37" i="78" s="1"/>
  <c r="H36" i="78"/>
  <c r="L36" i="78" s="1"/>
  <c r="H35" i="78"/>
  <c r="L35" i="78" s="1"/>
  <c r="H26" i="78"/>
  <c r="L26" i="78" s="1"/>
  <c r="H34" i="78"/>
  <c r="J34" i="78" s="1"/>
  <c r="H33" i="78"/>
  <c r="L33" i="78" s="1"/>
  <c r="H32" i="78"/>
  <c r="L32" i="78" s="1"/>
  <c r="H31" i="78"/>
  <c r="L31" i="78" s="1"/>
  <c r="H30" i="78"/>
  <c r="H29" i="78"/>
  <c r="L29" i="78" s="1"/>
  <c r="H28" i="78"/>
  <c r="L28" i="78" s="1"/>
  <c r="H27" i="78"/>
  <c r="L27" i="78" s="1"/>
  <c r="H25" i="78"/>
  <c r="L25" i="78" s="1"/>
  <c r="H24" i="78"/>
  <c r="L24" i="78" s="1"/>
  <c r="H22" i="78"/>
  <c r="L22" i="78" s="1"/>
  <c r="H21" i="78"/>
  <c r="L21" i="78" s="1"/>
  <c r="H20" i="78"/>
  <c r="K20" i="78" s="1"/>
  <c r="H19" i="78"/>
  <c r="L19" i="78" s="1"/>
  <c r="H18" i="78"/>
  <c r="L18" i="78" s="1"/>
  <c r="H17" i="78"/>
  <c r="K17" i="78" s="1"/>
  <c r="H16" i="78"/>
  <c r="L16" i="78" s="1"/>
  <c r="H14" i="78"/>
  <c r="H13" i="78"/>
  <c r="K13" i="78" s="1"/>
  <c r="H12" i="78"/>
  <c r="L12" i="78" s="1"/>
  <c r="H11" i="78"/>
  <c r="L11" i="78" s="1"/>
  <c r="E14" i="40"/>
  <c r="F24" i="78" s="1"/>
  <c r="P1577" i="61" l="1"/>
  <c r="Q826" i="61"/>
  <c r="Q264" i="61"/>
  <c r="T1212" i="61"/>
  <c r="T1566" i="61"/>
  <c r="P1373" i="61"/>
  <c r="P1565" i="61"/>
  <c r="X1578" i="61"/>
  <c r="Q1570" i="61"/>
  <c r="T1404" i="61"/>
  <c r="X1308" i="61"/>
  <c r="Q1228" i="61"/>
  <c r="P1223" i="61"/>
  <c r="X1404" i="61"/>
  <c r="P1568" i="61"/>
  <c r="X1194" i="61"/>
  <c r="Q1411" i="61"/>
  <c r="P1310" i="61"/>
  <c r="Q1567" i="61"/>
  <c r="X1359" i="61"/>
  <c r="X1245" i="61"/>
  <c r="U1202" i="61"/>
  <c r="Q1024" i="61"/>
  <c r="X1002" i="61"/>
  <c r="X1566" i="61"/>
  <c r="Q1549" i="61"/>
  <c r="P1313" i="61"/>
  <c r="S1202" i="61"/>
  <c r="T1359" i="61"/>
  <c r="X1326" i="61"/>
  <c r="X1212" i="61"/>
  <c r="P1202" i="61"/>
  <c r="P1175" i="61"/>
  <c r="Q1210" i="61"/>
  <c r="P1571" i="61"/>
  <c r="P1364" i="61"/>
  <c r="T1068" i="61"/>
  <c r="P995" i="61"/>
  <c r="T1110" i="61"/>
  <c r="Q1090" i="61"/>
  <c r="P1001" i="61"/>
  <c r="X1062" i="61"/>
  <c r="T1080" i="61"/>
  <c r="T1062" i="61"/>
  <c r="P1025" i="61"/>
  <c r="Q1072" i="61"/>
  <c r="X1008" i="61"/>
  <c r="P1004" i="61"/>
  <c r="X1068" i="61"/>
  <c r="P1055" i="61"/>
  <c r="P1037" i="61"/>
  <c r="X1011" i="61"/>
  <c r="X1023" i="61"/>
  <c r="T1011" i="61"/>
  <c r="X1005" i="61"/>
  <c r="R1589" i="61"/>
  <c r="R1577" i="61"/>
  <c r="R1568" i="61"/>
  <c r="R1565" i="61"/>
  <c r="Q1589" i="61"/>
  <c r="Q1577" i="61"/>
  <c r="Q1565" i="61"/>
  <c r="Q1415" i="61"/>
  <c r="U1404" i="61"/>
  <c r="Q1397" i="61"/>
  <c r="Q1373" i="61"/>
  <c r="Q1202" i="61"/>
  <c r="Q1187" i="61"/>
  <c r="Q1079" i="61"/>
  <c r="Q950" i="61"/>
  <c r="AC929" i="61" s="1"/>
  <c r="V433" i="61"/>
  <c r="X1570" i="61"/>
  <c r="X1567" i="61"/>
  <c r="S1404" i="61"/>
  <c r="AD1401" i="61" s="1"/>
  <c r="X1225" i="61"/>
  <c r="X1222" i="61"/>
  <c r="S1212" i="61"/>
  <c r="X1210" i="61"/>
  <c r="X1057" i="61"/>
  <c r="X1054" i="61"/>
  <c r="X1051" i="61"/>
  <c r="X1024" i="61"/>
  <c r="X1006" i="61"/>
  <c r="X1579" i="61"/>
  <c r="R1578" i="61"/>
  <c r="V1576" i="61"/>
  <c r="V1570" i="61"/>
  <c r="V1567" i="61"/>
  <c r="R1566" i="61"/>
  <c r="V1408" i="61"/>
  <c r="V1405" i="61"/>
  <c r="R1404" i="61"/>
  <c r="V1402" i="61"/>
  <c r="V1399" i="61"/>
  <c r="V1396" i="61"/>
  <c r="V1384" i="61"/>
  <c r="V1381" i="61"/>
  <c r="V1360" i="61"/>
  <c r="R1359" i="61"/>
  <c r="V1357" i="61"/>
  <c r="R1356" i="61"/>
  <c r="V1336" i="61"/>
  <c r="V1306" i="61"/>
  <c r="R1290" i="61"/>
  <c r="V1225" i="61"/>
  <c r="V1222" i="61"/>
  <c r="R1212" i="61"/>
  <c r="V1210" i="61"/>
  <c r="V1201" i="61"/>
  <c r="V1186" i="61"/>
  <c r="R1110" i="61"/>
  <c r="V1090" i="61"/>
  <c r="R1080" i="61"/>
  <c r="V1072" i="61"/>
  <c r="R1068" i="61"/>
  <c r="R1062" i="61"/>
  <c r="V1057" i="61"/>
  <c r="V1054" i="61"/>
  <c r="V1051" i="61"/>
  <c r="V1033" i="61"/>
  <c r="V1024" i="61"/>
  <c r="R1011" i="61"/>
  <c r="R1008" i="61"/>
  <c r="V1006" i="61"/>
  <c r="R1005" i="61"/>
  <c r="R1002" i="61"/>
  <c r="R870" i="61"/>
  <c r="V826" i="61"/>
  <c r="X1576" i="61"/>
  <c r="V1579" i="61"/>
  <c r="Q1590" i="61"/>
  <c r="Q1578" i="61"/>
  <c r="Q1566" i="61"/>
  <c r="Q1476" i="61"/>
  <c r="AC503" i="61" s="1"/>
  <c r="Q1404" i="61"/>
  <c r="Q1359" i="61"/>
  <c r="Q1356" i="61"/>
  <c r="Q1212" i="61"/>
  <c r="Q1194" i="61"/>
  <c r="Q1110" i="61"/>
  <c r="Q1068" i="61"/>
  <c r="Q909" i="61"/>
  <c r="Q870" i="61"/>
  <c r="P1578" i="61"/>
  <c r="T1570" i="61"/>
  <c r="P1566" i="61"/>
  <c r="P1404" i="61"/>
  <c r="T1384" i="61"/>
  <c r="P1359" i="61"/>
  <c r="P1326" i="61"/>
  <c r="P1308" i="61"/>
  <c r="T1306" i="61"/>
  <c r="P1245" i="61"/>
  <c r="P1212" i="61"/>
  <c r="T1210" i="61"/>
  <c r="P1194" i="61"/>
  <c r="T1090" i="61"/>
  <c r="P1068" i="61"/>
  <c r="P1062" i="61"/>
  <c r="T1051" i="61"/>
  <c r="P1023" i="61"/>
  <c r="P1011" i="61"/>
  <c r="P1008" i="61"/>
  <c r="P1005" i="61"/>
  <c r="P1002" i="61"/>
  <c r="T1576" i="61"/>
  <c r="T1567" i="61"/>
  <c r="X1577" i="61"/>
  <c r="X1571" i="61"/>
  <c r="X1568" i="61"/>
  <c r="X1565" i="61"/>
  <c r="X1373" i="61"/>
  <c r="X1364" i="61"/>
  <c r="X1313" i="61"/>
  <c r="X1310" i="61"/>
  <c r="X1223" i="61"/>
  <c r="X1202" i="61"/>
  <c r="X1175" i="61"/>
  <c r="X1055" i="61"/>
  <c r="X1037" i="61"/>
  <c r="X1025" i="61"/>
  <c r="X1004" i="61"/>
  <c r="X1001" i="61"/>
  <c r="X995" i="61"/>
  <c r="V1589" i="61"/>
  <c r="V1577" i="61"/>
  <c r="R1576" i="61"/>
  <c r="V1571" i="61"/>
  <c r="R1570" i="61"/>
  <c r="V1568" i="61"/>
  <c r="R1567" i="61"/>
  <c r="V1565" i="61"/>
  <c r="V1562" i="61"/>
  <c r="V1409" i="61"/>
  <c r="V1406" i="61"/>
  <c r="V1403" i="61"/>
  <c r="V1400" i="61"/>
  <c r="V1385" i="61"/>
  <c r="R1384" i="61"/>
  <c r="V1379" i="61"/>
  <c r="V1373" i="61"/>
  <c r="V1364" i="61"/>
  <c r="V1361" i="61"/>
  <c r="V1313" i="61"/>
  <c r="V1310" i="61"/>
  <c r="V1307" i="61"/>
  <c r="R1306" i="61"/>
  <c r="V1223" i="61"/>
  <c r="R1210" i="61"/>
  <c r="V1202" i="61"/>
  <c r="V1193" i="61"/>
  <c r="V1175" i="61"/>
  <c r="V1097" i="61"/>
  <c r="R1090" i="61"/>
  <c r="V1082" i="61"/>
  <c r="V1079" i="61"/>
  <c r="V1064" i="61"/>
  <c r="V1061" i="61"/>
  <c r="V1055" i="61"/>
  <c r="R1051" i="61"/>
  <c r="V1043" i="61"/>
  <c r="V1037" i="61"/>
  <c r="V1031" i="61"/>
  <c r="V1025" i="61"/>
  <c r="R1006" i="61"/>
  <c r="V1004" i="61"/>
  <c r="V1001" i="61"/>
  <c r="V995" i="61"/>
  <c r="V983" i="61"/>
  <c r="Q757" i="61"/>
  <c r="AC709" i="61" s="1"/>
  <c r="T1589" i="61"/>
  <c r="P1579" i="61"/>
  <c r="T1577" i="61"/>
  <c r="P1576" i="61"/>
  <c r="T1571" i="61"/>
  <c r="P1570" i="61"/>
  <c r="P1567" i="61"/>
  <c r="T1565" i="61"/>
  <c r="T1373" i="61"/>
  <c r="P1225" i="61"/>
  <c r="P1222" i="61"/>
  <c r="P1210" i="61"/>
  <c r="T1202" i="61"/>
  <c r="T1175" i="61"/>
  <c r="T1079" i="61"/>
  <c r="P1057" i="61"/>
  <c r="P1054" i="61"/>
  <c r="P1051" i="61"/>
  <c r="P1024" i="61"/>
  <c r="P1006" i="61"/>
  <c r="T1004" i="61"/>
  <c r="V1590" i="61"/>
  <c r="V1578" i="61"/>
  <c r="R1571" i="61"/>
  <c r="V1566" i="61"/>
  <c r="V1410" i="61"/>
  <c r="V1407" i="61"/>
  <c r="V1404" i="61"/>
  <c r="V1401" i="61"/>
  <c r="V1398" i="61"/>
  <c r="V1383" i="61"/>
  <c r="V1380" i="61"/>
  <c r="R1373" i="61"/>
  <c r="V1359" i="61"/>
  <c r="V1356" i="61"/>
  <c r="V1344" i="61"/>
  <c r="V1326" i="61"/>
  <c r="V1308" i="61"/>
  <c r="V1290" i="61"/>
  <c r="V1245" i="61"/>
  <c r="V1212" i="61"/>
  <c r="R1202" i="61"/>
  <c r="V1197" i="61"/>
  <c r="V1194" i="61"/>
  <c r="R1175" i="61"/>
  <c r="V1110" i="61"/>
  <c r="V1080" i="61"/>
  <c r="R1079" i="61"/>
  <c r="V1068" i="61"/>
  <c r="V1062" i="61"/>
  <c r="V1050" i="61"/>
  <c r="V1023" i="61"/>
  <c r="V1011" i="61"/>
  <c r="V1008" i="61"/>
  <c r="V1005" i="61"/>
  <c r="R1004" i="61"/>
  <c r="V1002" i="61"/>
  <c r="V981" i="61"/>
  <c r="V909" i="61"/>
  <c r="V870" i="61"/>
  <c r="X476" i="61"/>
  <c r="V476" i="61"/>
  <c r="Q433" i="61"/>
  <c r="Q269" i="61"/>
  <c r="P476" i="61"/>
  <c r="Q268" i="61"/>
  <c r="X178" i="61"/>
  <c r="V178" i="61"/>
  <c r="V175" i="61"/>
  <c r="V165" i="61"/>
  <c r="R165" i="61"/>
  <c r="V166" i="61"/>
  <c r="AD616" i="61"/>
  <c r="Q173" i="61"/>
  <c r="T165" i="61"/>
  <c r="Q179" i="61"/>
  <c r="AD652" i="61"/>
  <c r="AD470" i="61"/>
  <c r="AD647" i="61"/>
  <c r="Q181" i="61"/>
  <c r="Q172" i="61"/>
  <c r="P178" i="61"/>
  <c r="Q180" i="61"/>
  <c r="Q165" i="61"/>
  <c r="AD658" i="61"/>
  <c r="AD644" i="61"/>
  <c r="AD632" i="61"/>
  <c r="AD467" i="61"/>
  <c r="AD469" i="61"/>
  <c r="AD646" i="61"/>
  <c r="AD620" i="61"/>
  <c r="AD622" i="61"/>
  <c r="AD623" i="61"/>
  <c r="AD659" i="61"/>
  <c r="AD628" i="61"/>
  <c r="AD656" i="61"/>
  <c r="AD634" i="61"/>
  <c r="AD635" i="61"/>
  <c r="AD640" i="61"/>
  <c r="AD1193" i="61"/>
  <c r="AD655" i="61"/>
  <c r="AD643" i="61"/>
  <c r="AD631" i="61"/>
  <c r="AD466" i="61"/>
  <c r="AD132" i="61"/>
  <c r="AD468" i="61"/>
  <c r="AD621" i="61"/>
  <c r="AD633" i="61"/>
  <c r="AD645" i="61"/>
  <c r="AD657" i="61"/>
  <c r="AD636" i="61"/>
  <c r="AD613" i="61"/>
  <c r="AD625" i="61"/>
  <c r="AD637" i="61"/>
  <c r="AD649" i="61"/>
  <c r="AD1489" i="61"/>
  <c r="AD624" i="61"/>
  <c r="AD638" i="61"/>
  <c r="AD1495" i="61"/>
  <c r="AD612" i="61"/>
  <c r="AD648" i="61"/>
  <c r="AD614" i="61"/>
  <c r="AD626" i="61"/>
  <c r="AD650" i="61"/>
  <c r="AD615" i="61"/>
  <c r="AD627" i="61"/>
  <c r="AD639" i="61"/>
  <c r="AD651" i="61"/>
  <c r="AD653" i="61"/>
  <c r="AD629" i="61"/>
  <c r="AD465" i="61"/>
  <c r="AD630" i="61"/>
  <c r="AD654" i="61"/>
  <c r="AD617" i="61"/>
  <c r="AD641" i="61"/>
  <c r="AD618" i="61"/>
  <c r="AD642" i="61"/>
  <c r="AD619" i="61"/>
  <c r="AD662" i="61"/>
  <c r="AD1493" i="61"/>
  <c r="AC107" i="61"/>
  <c r="AD40" i="61"/>
  <c r="AD88" i="61"/>
  <c r="AD234" i="61"/>
  <c r="AD1100" i="61"/>
  <c r="AD106" i="61"/>
  <c r="AD214" i="61"/>
  <c r="AD141" i="61"/>
  <c r="AD233" i="61"/>
  <c r="AD52" i="61"/>
  <c r="AD346" i="61"/>
  <c r="AD92" i="61"/>
  <c r="AC125" i="61"/>
  <c r="AC47" i="61"/>
  <c r="AD430" i="61"/>
  <c r="AC39" i="61"/>
  <c r="AD159" i="61"/>
  <c r="AD78" i="61"/>
  <c r="AD287" i="61"/>
  <c r="AC27" i="61"/>
  <c r="AD593" i="61"/>
  <c r="AD81" i="61"/>
  <c r="AC26" i="61"/>
  <c r="AD542" i="61"/>
  <c r="AC130" i="61"/>
  <c r="AD755" i="61"/>
  <c r="AD131" i="61"/>
  <c r="AD85" i="61"/>
  <c r="AD415" i="61"/>
  <c r="AD1094" i="61"/>
  <c r="AD489" i="61"/>
  <c r="AD389" i="61"/>
  <c r="AD95" i="61"/>
  <c r="AD298" i="61"/>
  <c r="AD46" i="61"/>
  <c r="AD149" i="61"/>
  <c r="AD223" i="61"/>
  <c r="AD1142" i="61"/>
  <c r="AD99" i="61"/>
  <c r="AD150" i="61"/>
  <c r="AD224" i="61"/>
  <c r="AD310" i="61"/>
  <c r="AD1148" i="61"/>
  <c r="AD58" i="61"/>
  <c r="AD347" i="61"/>
  <c r="AD64" i="61"/>
  <c r="AD114" i="61"/>
  <c r="AD168" i="61"/>
  <c r="AD361" i="61"/>
  <c r="AD70" i="61"/>
  <c r="AD177" i="61"/>
  <c r="AD372" i="61"/>
  <c r="AD167" i="61"/>
  <c r="AD115" i="61"/>
  <c r="AD77" i="61"/>
  <c r="AD123" i="61"/>
  <c r="AD185" i="61"/>
  <c r="AD256" i="61"/>
  <c r="AD373" i="61"/>
  <c r="AD186" i="61"/>
  <c r="AD388" i="61"/>
  <c r="AD28" i="61"/>
  <c r="AD195" i="61"/>
  <c r="AD267" i="61"/>
  <c r="AD266" i="61"/>
  <c r="AD34" i="61"/>
  <c r="AD203" i="61"/>
  <c r="AD276" i="61"/>
  <c r="AD204" i="61"/>
  <c r="AD278" i="61"/>
  <c r="AD594" i="61"/>
  <c r="AD513" i="61"/>
  <c r="AD450" i="61"/>
  <c r="AD288" i="61"/>
  <c r="AD416" i="61"/>
  <c r="AD568" i="61"/>
  <c r="AC42" i="61"/>
  <c r="AD595" i="61"/>
  <c r="AD663" i="61"/>
  <c r="AC631" i="61"/>
  <c r="AC561" i="61"/>
  <c r="AC470" i="61"/>
  <c r="AC80" i="61"/>
  <c r="AC57" i="61"/>
  <c r="AC29" i="61"/>
  <c r="AC58" i="61"/>
  <c r="AC94" i="61"/>
  <c r="AC36" i="61"/>
  <c r="AC32" i="61"/>
  <c r="AC67" i="61"/>
  <c r="AC37" i="61"/>
  <c r="AC68" i="61"/>
  <c r="AC469" i="61"/>
  <c r="AC661" i="61"/>
  <c r="AC639" i="61"/>
  <c r="AD945" i="61"/>
  <c r="AD514" i="61"/>
  <c r="AD244" i="61"/>
  <c r="AC613" i="61"/>
  <c r="AC554" i="61"/>
  <c r="AC131" i="61"/>
  <c r="AC85" i="61"/>
  <c r="AD854" i="61"/>
  <c r="AD359" i="61"/>
  <c r="AC40" i="61"/>
  <c r="AC71" i="61"/>
  <c r="AC113" i="61"/>
  <c r="AC30" i="61"/>
  <c r="AC51" i="61"/>
  <c r="AC61" i="61"/>
  <c r="AC73" i="61"/>
  <c r="AC98" i="61"/>
  <c r="AC136" i="61"/>
  <c r="AD491" i="61"/>
  <c r="AC591" i="61"/>
  <c r="AC60" i="61"/>
  <c r="AC97" i="61"/>
  <c r="AC31" i="61"/>
  <c r="AC41" i="61"/>
  <c r="AC52" i="61"/>
  <c r="AC62" i="61"/>
  <c r="AC74" i="61"/>
  <c r="AC86" i="61"/>
  <c r="AC100" i="61"/>
  <c r="AC88" i="61"/>
  <c r="AC33" i="61"/>
  <c r="AC64" i="61"/>
  <c r="AC118" i="61"/>
  <c r="AC76" i="61"/>
  <c r="AC53" i="61"/>
  <c r="AC101" i="61"/>
  <c r="AC34" i="61"/>
  <c r="AC44" i="61"/>
  <c r="AC54" i="61"/>
  <c r="AC89" i="61"/>
  <c r="AC103" i="61"/>
  <c r="AC119" i="61"/>
  <c r="AD402" i="61"/>
  <c r="AD661" i="61"/>
  <c r="AC63" i="61"/>
  <c r="AC77" i="61"/>
  <c r="AC24" i="61"/>
  <c r="AC45" i="61"/>
  <c r="AC65" i="61"/>
  <c r="AC91" i="61"/>
  <c r="AC116" i="61"/>
  <c r="AC43" i="61"/>
  <c r="AC55" i="61"/>
  <c r="AC104" i="61"/>
  <c r="AC25" i="61"/>
  <c r="AC35" i="61"/>
  <c r="AC46" i="61"/>
  <c r="AC56" i="61"/>
  <c r="AC66" i="61"/>
  <c r="AC79" i="61"/>
  <c r="AC92" i="61"/>
  <c r="AC106" i="61"/>
  <c r="AC124" i="61"/>
  <c r="AD664" i="61"/>
  <c r="AC28" i="61"/>
  <c r="AC38" i="61"/>
  <c r="AC48" i="61"/>
  <c r="AC70" i="61"/>
  <c r="AC82" i="61"/>
  <c r="AC95" i="61"/>
  <c r="AC110" i="61"/>
  <c r="AD570" i="61"/>
  <c r="AC49" i="61"/>
  <c r="AC59" i="61"/>
  <c r="AC83" i="61"/>
  <c r="AC112" i="61"/>
  <c r="AC50" i="61"/>
  <c r="AD950" i="61"/>
  <c r="AD20" i="61"/>
  <c r="AD1046" i="61"/>
  <c r="AD908" i="61"/>
  <c r="AD1052" i="61"/>
  <c r="AD825" i="61"/>
  <c r="AD902" i="61"/>
  <c r="AD690" i="61"/>
  <c r="AD721" i="61"/>
  <c r="AD538" i="61"/>
  <c r="AD660" i="61"/>
  <c r="AD1004" i="61"/>
  <c r="AD860" i="61"/>
  <c r="AD792" i="61"/>
  <c r="AD725" i="61"/>
  <c r="AD18" i="61"/>
  <c r="AD909" i="61"/>
  <c r="AD796" i="61"/>
  <c r="AD760" i="61"/>
  <c r="AD130" i="61"/>
  <c r="AD121" i="61"/>
  <c r="AD452" i="61"/>
  <c r="AD1186" i="61"/>
  <c r="AD1016" i="61"/>
  <c r="AD756" i="61"/>
  <c r="AD956" i="61"/>
  <c r="AD791" i="61"/>
  <c r="AD998" i="61"/>
  <c r="AD826" i="61"/>
  <c r="AD14" i="61"/>
  <c r="AD136" i="61"/>
  <c r="AD15" i="61"/>
  <c r="AD43" i="61"/>
  <c r="AD67" i="61"/>
  <c r="AD111" i="61"/>
  <c r="AD146" i="61"/>
  <c r="AD182" i="61"/>
  <c r="AD26" i="61"/>
  <c r="AD44" i="61"/>
  <c r="AD62" i="61"/>
  <c r="AD19" i="61"/>
  <c r="AD27" i="61"/>
  <c r="AD33" i="61"/>
  <c r="AD39" i="61"/>
  <c r="AD45" i="61"/>
  <c r="AD51" i="61"/>
  <c r="AD57" i="61"/>
  <c r="AD63" i="61"/>
  <c r="AD84" i="61"/>
  <c r="AD91" i="61"/>
  <c r="AD98" i="61"/>
  <c r="AD113" i="61"/>
  <c r="AD122" i="61"/>
  <c r="AD140" i="61"/>
  <c r="AD158" i="61"/>
  <c r="AD176" i="61"/>
  <c r="AD194" i="61"/>
  <c r="AD213" i="61"/>
  <c r="AD222" i="61"/>
  <c r="AD254" i="61"/>
  <c r="AD265" i="61"/>
  <c r="AD275" i="61"/>
  <c r="AD321" i="61"/>
  <c r="AD333" i="61"/>
  <c r="AD371" i="61"/>
  <c r="AD386" i="61"/>
  <c r="AD401" i="61"/>
  <c r="AD414" i="61"/>
  <c r="AD448" i="61"/>
  <c r="AD485" i="61"/>
  <c r="AD511" i="61"/>
  <c r="AD537" i="61"/>
  <c r="AD564" i="61"/>
  <c r="AD591" i="61"/>
  <c r="AD686" i="61"/>
  <c r="AD720" i="61"/>
  <c r="AD754" i="61"/>
  <c r="AD790" i="61"/>
  <c r="AD850" i="61"/>
  <c r="AD897" i="61"/>
  <c r="AD993" i="61"/>
  <c r="AD1041" i="61"/>
  <c r="AD1089" i="61"/>
  <c r="AD1137" i="61"/>
  <c r="AD1200" i="61"/>
  <c r="AD1183" i="61"/>
  <c r="AD1170" i="61"/>
  <c r="AD1158" i="61"/>
  <c r="AD1146" i="61"/>
  <c r="AD1134" i="61"/>
  <c r="AD1122" i="61"/>
  <c r="AD1110" i="61"/>
  <c r="AD1098" i="61"/>
  <c r="AD1086" i="61"/>
  <c r="AD1074" i="61"/>
  <c r="AD1198" i="61"/>
  <c r="AD1181" i="61"/>
  <c r="AD1169" i="61"/>
  <c r="AD1157" i="61"/>
  <c r="AD1145" i="61"/>
  <c r="AD1133" i="61"/>
  <c r="AD1121" i="61"/>
  <c r="AD1109" i="61"/>
  <c r="AD1097" i="61"/>
  <c r="AD1085" i="61"/>
  <c r="AD1073" i="61"/>
  <c r="AD1197" i="61"/>
  <c r="AD1180" i="61"/>
  <c r="AD1168" i="61"/>
  <c r="AD1156" i="61"/>
  <c r="AD1144" i="61"/>
  <c r="AD1132" i="61"/>
  <c r="AD1120" i="61"/>
  <c r="AD1108" i="61"/>
  <c r="AD1096" i="61"/>
  <c r="AD1084" i="61"/>
  <c r="AD1072" i="61"/>
  <c r="AD1196" i="61"/>
  <c r="AD1179" i="61"/>
  <c r="AD1167" i="61"/>
  <c r="AD1155" i="61"/>
  <c r="AD1143" i="61"/>
  <c r="AD1131" i="61"/>
  <c r="AD1119" i="61"/>
  <c r="AD1107" i="61"/>
  <c r="AD1095" i="61"/>
  <c r="AD1083" i="61"/>
  <c r="AD1071" i="61"/>
  <c r="AD1191" i="61"/>
  <c r="AD1177" i="61"/>
  <c r="AD1165" i="61"/>
  <c r="AD1153" i="61"/>
  <c r="AD1141" i="61"/>
  <c r="AD1129" i="61"/>
  <c r="AD1117" i="61"/>
  <c r="AD1105" i="61"/>
  <c r="AD1093" i="61"/>
  <c r="AD1081" i="61"/>
  <c r="AD1069" i="61"/>
  <c r="AD1190" i="61"/>
  <c r="AD1176" i="61"/>
  <c r="AD1164" i="61"/>
  <c r="AD1152" i="61"/>
  <c r="AD1140" i="61"/>
  <c r="AD1128" i="61"/>
  <c r="AD1116" i="61"/>
  <c r="AD1104" i="61"/>
  <c r="AD1092" i="61"/>
  <c r="AD1080" i="61"/>
  <c r="AD1068" i="61"/>
  <c r="AD1188" i="61"/>
  <c r="AD1175" i="61"/>
  <c r="AD1163" i="61"/>
  <c r="AD1151" i="61"/>
  <c r="AD1139" i="61"/>
  <c r="AD1127" i="61"/>
  <c r="AD1115" i="61"/>
  <c r="AD1103" i="61"/>
  <c r="AD1091" i="61"/>
  <c r="AD1079" i="61"/>
  <c r="AD1067" i="61"/>
  <c r="AD1187" i="61"/>
  <c r="AD1174" i="61"/>
  <c r="AD1162" i="61"/>
  <c r="AD1150" i="61"/>
  <c r="AD1138" i="61"/>
  <c r="AD1126" i="61"/>
  <c r="AD1114" i="61"/>
  <c r="AD1102" i="61"/>
  <c r="AD1090" i="61"/>
  <c r="AD1078" i="61"/>
  <c r="AD1066" i="61"/>
  <c r="AD1201" i="61"/>
  <c r="AD1184" i="61"/>
  <c r="AD1171" i="61"/>
  <c r="AD1159" i="61"/>
  <c r="AD1147" i="61"/>
  <c r="AD1135" i="61"/>
  <c r="AD1123" i="61"/>
  <c r="AD1111" i="61"/>
  <c r="AD1099" i="61"/>
  <c r="AD1087" i="61"/>
  <c r="AD1075" i="61"/>
  <c r="AD1063" i="61"/>
  <c r="AD93" i="61"/>
  <c r="AD100" i="61"/>
  <c r="AD107" i="61"/>
  <c r="AD124" i="61"/>
  <c r="AD133" i="61"/>
  <c r="AD142" i="61"/>
  <c r="AD151" i="61"/>
  <c r="AD160" i="61"/>
  <c r="AD169" i="61"/>
  <c r="AD178" i="61"/>
  <c r="AD187" i="61"/>
  <c r="AD196" i="61"/>
  <c r="AD205" i="61"/>
  <c r="AD225" i="61"/>
  <c r="AD235" i="61"/>
  <c r="AD246" i="61"/>
  <c r="AD279" i="61"/>
  <c r="AD289" i="61"/>
  <c r="AD300" i="61"/>
  <c r="AD311" i="61"/>
  <c r="AD323" i="61"/>
  <c r="AD336" i="61"/>
  <c r="AD348" i="61"/>
  <c r="AD362" i="61"/>
  <c r="AD375" i="61"/>
  <c r="AD390" i="61"/>
  <c r="AD404" i="61"/>
  <c r="AD418" i="61"/>
  <c r="AD431" i="61"/>
  <c r="AD492" i="61"/>
  <c r="AD546" i="61"/>
  <c r="AD571" i="61"/>
  <c r="AD696" i="61"/>
  <c r="AD731" i="61"/>
  <c r="AD827" i="61"/>
  <c r="AD861" i="61"/>
  <c r="AD957" i="61"/>
  <c r="AD1005" i="61"/>
  <c r="AD1053" i="61"/>
  <c r="AD1101" i="61"/>
  <c r="AD1149" i="61"/>
  <c r="AD942" i="61"/>
  <c r="AD930" i="61"/>
  <c r="AD941" i="61"/>
  <c r="AD929" i="61"/>
  <c r="AD940" i="61"/>
  <c r="AD928" i="61"/>
  <c r="AD948" i="61"/>
  <c r="AD936" i="61"/>
  <c r="AD947" i="61"/>
  <c r="AD935" i="61"/>
  <c r="AD946" i="61"/>
  <c r="AD934" i="61"/>
  <c r="AD918" i="61"/>
  <c r="AD906" i="61"/>
  <c r="AD894" i="61"/>
  <c r="AD882" i="61"/>
  <c r="AD870" i="61"/>
  <c r="AD858" i="61"/>
  <c r="AD846" i="61"/>
  <c r="AD835" i="61"/>
  <c r="AD812" i="61"/>
  <c r="AD917" i="61"/>
  <c r="AD905" i="61"/>
  <c r="AD893" i="61"/>
  <c r="AD881" i="61"/>
  <c r="AD869" i="61"/>
  <c r="AD857" i="61"/>
  <c r="AD845" i="61"/>
  <c r="AD834" i="61"/>
  <c r="AD823" i="61"/>
  <c r="AD916" i="61"/>
  <c r="AD904" i="61"/>
  <c r="AD892" i="61"/>
  <c r="AD880" i="61"/>
  <c r="AD868" i="61"/>
  <c r="AD856" i="61"/>
  <c r="AD844" i="61"/>
  <c r="AD833" i="61"/>
  <c r="AD822" i="61"/>
  <c r="AD879" i="61"/>
  <c r="AD867" i="61"/>
  <c r="AD855" i="61"/>
  <c r="AD832" i="61"/>
  <c r="AD821" i="61"/>
  <c r="AD877" i="61"/>
  <c r="AD865" i="61"/>
  <c r="AD853" i="61"/>
  <c r="AD842" i="61"/>
  <c r="AD830" i="61"/>
  <c r="AD819" i="61"/>
  <c r="AD924" i="61"/>
  <c r="AD912" i="61"/>
  <c r="AD900" i="61"/>
  <c r="AD888" i="61"/>
  <c r="AD876" i="61"/>
  <c r="AD864" i="61"/>
  <c r="AD852" i="61"/>
  <c r="AD841" i="61"/>
  <c r="AD829" i="61"/>
  <c r="AD818" i="61"/>
  <c r="AD923" i="61"/>
  <c r="AD911" i="61"/>
  <c r="AD899" i="61"/>
  <c r="AD887" i="61"/>
  <c r="AD875" i="61"/>
  <c r="AD863" i="61"/>
  <c r="AD851" i="61"/>
  <c r="AD840" i="61"/>
  <c r="AD828" i="61"/>
  <c r="AD817" i="61"/>
  <c r="AD922" i="61"/>
  <c r="AD910" i="61"/>
  <c r="AD898" i="61"/>
  <c r="AD886" i="61"/>
  <c r="AD874" i="61"/>
  <c r="AD862" i="61"/>
  <c r="AD907" i="61"/>
  <c r="AD895" i="61"/>
  <c r="AD883" i="61"/>
  <c r="AD871" i="61"/>
  <c r="AD859" i="61"/>
  <c r="AD847" i="61"/>
  <c r="AD836" i="61"/>
  <c r="AD824" i="61"/>
  <c r="AD813" i="61"/>
  <c r="AD800" i="61"/>
  <c r="AD788" i="61"/>
  <c r="AD811" i="61"/>
  <c r="AD799" i="61"/>
  <c r="AD787" i="61"/>
  <c r="AD810" i="61"/>
  <c r="AD798" i="61"/>
  <c r="AD786" i="61"/>
  <c r="AD809" i="61"/>
  <c r="AD797" i="61"/>
  <c r="AD785" i="61"/>
  <c r="AD807" i="61"/>
  <c r="AD795" i="61"/>
  <c r="AD783" i="61"/>
  <c r="AD1525" i="61"/>
  <c r="AD806" i="61"/>
  <c r="AD794" i="61"/>
  <c r="AD782" i="61"/>
  <c r="AD805" i="61"/>
  <c r="AD793" i="61"/>
  <c r="AD781" i="61"/>
  <c r="AD801" i="61"/>
  <c r="AD789" i="61"/>
  <c r="AD776" i="61"/>
  <c r="AD764" i="61"/>
  <c r="AD752" i="61"/>
  <c r="AD740" i="61"/>
  <c r="AD729" i="61"/>
  <c r="AD717" i="61"/>
  <c r="AD706" i="61"/>
  <c r="AD694" i="61"/>
  <c r="AD683" i="61"/>
  <c r="AD671" i="61"/>
  <c r="AD775" i="61"/>
  <c r="AD763" i="61"/>
  <c r="AD751" i="61"/>
  <c r="AD739" i="61"/>
  <c r="AD728" i="61"/>
  <c r="AD716" i="61"/>
  <c r="AD705" i="61"/>
  <c r="AD693" i="61"/>
  <c r="AD682" i="61"/>
  <c r="AD670" i="61"/>
  <c r="AD774" i="61"/>
  <c r="AD762" i="61"/>
  <c r="AD750" i="61"/>
  <c r="AD738" i="61"/>
  <c r="AD727" i="61"/>
  <c r="AD715" i="61"/>
  <c r="AD704" i="61"/>
  <c r="AD692" i="61"/>
  <c r="AD681" i="61"/>
  <c r="AD669" i="61"/>
  <c r="AD773" i="61"/>
  <c r="AD761" i="61"/>
  <c r="AD749" i="61"/>
  <c r="AD737" i="61"/>
  <c r="AD726" i="61"/>
  <c r="AD714" i="61"/>
  <c r="AD703" i="61"/>
  <c r="AD691" i="61"/>
  <c r="AD680" i="61"/>
  <c r="AD668" i="61"/>
  <c r="AD771" i="61"/>
  <c r="AD759" i="61"/>
  <c r="AD747" i="61"/>
  <c r="AD735" i="61"/>
  <c r="AD724" i="61"/>
  <c r="AD712" i="61"/>
  <c r="AD701" i="61"/>
  <c r="AD689" i="61"/>
  <c r="AD678" i="61"/>
  <c r="AD666" i="61"/>
  <c r="AD770" i="61"/>
  <c r="AD758" i="61"/>
  <c r="AD746" i="61"/>
  <c r="AD723" i="61"/>
  <c r="AD711" i="61"/>
  <c r="AD700" i="61"/>
  <c r="AD688" i="61"/>
  <c r="AD677" i="61"/>
  <c r="AD665" i="61"/>
  <c r="AD769" i="61"/>
  <c r="AD757" i="61"/>
  <c r="AD745" i="61"/>
  <c r="AD734" i="61"/>
  <c r="AD722" i="61"/>
  <c r="AD710" i="61"/>
  <c r="AD699" i="61"/>
  <c r="AD687" i="61"/>
  <c r="AD676" i="61"/>
  <c r="AD777" i="61"/>
  <c r="AD765" i="61"/>
  <c r="AD753" i="61"/>
  <c r="AD741" i="61"/>
  <c r="AD730" i="61"/>
  <c r="AD718" i="61"/>
  <c r="AD707" i="61"/>
  <c r="AD695" i="61"/>
  <c r="AD684" i="61"/>
  <c r="AD672" i="61"/>
  <c r="AD1484" i="61"/>
  <c r="AD603" i="61"/>
  <c r="AD602" i="61"/>
  <c r="AD579" i="61"/>
  <c r="AD567" i="61"/>
  <c r="AD556" i="61"/>
  <c r="AD545" i="61"/>
  <c r="AD601" i="61"/>
  <c r="AD590" i="61"/>
  <c r="AD578" i="61"/>
  <c r="AD566" i="61"/>
  <c r="AD555" i="61"/>
  <c r="AD544" i="61"/>
  <c r="AD600" i="61"/>
  <c r="AD589" i="61"/>
  <c r="AD577" i="61"/>
  <c r="AD565" i="61"/>
  <c r="AD554" i="61"/>
  <c r="AD543" i="61"/>
  <c r="AD610" i="61"/>
  <c r="AD598" i="61"/>
  <c r="AD587" i="61"/>
  <c r="AD575" i="61"/>
  <c r="AD563" i="61"/>
  <c r="AD553" i="61"/>
  <c r="AD541" i="61"/>
  <c r="AD609" i="61"/>
  <c r="AD597" i="61"/>
  <c r="AD586" i="61"/>
  <c r="AD574" i="61"/>
  <c r="AD562" i="61"/>
  <c r="AD552" i="61"/>
  <c r="AD608" i="61"/>
  <c r="AD596" i="61"/>
  <c r="AD585" i="61"/>
  <c r="AD573" i="61"/>
  <c r="AD561" i="61"/>
  <c r="AD551" i="61"/>
  <c r="AD604" i="61"/>
  <c r="AD592" i="61"/>
  <c r="AD581" i="61"/>
  <c r="AD569" i="61"/>
  <c r="AD558" i="61"/>
  <c r="AD547" i="61"/>
  <c r="AD533" i="61"/>
  <c r="AD521" i="61"/>
  <c r="AD510" i="61"/>
  <c r="AD499" i="61"/>
  <c r="AD488" i="61"/>
  <c r="AD532" i="61"/>
  <c r="AD520" i="61"/>
  <c r="AD509" i="61"/>
  <c r="AD498" i="61"/>
  <c r="AD487" i="61"/>
  <c r="AD476" i="61"/>
  <c r="AD531" i="61"/>
  <c r="AD519" i="61"/>
  <c r="AD508" i="61"/>
  <c r="AD497" i="61"/>
  <c r="AD486" i="61"/>
  <c r="AD475" i="61"/>
  <c r="AD529" i="61"/>
  <c r="AD517" i="61"/>
  <c r="AD506" i="61"/>
  <c r="AD484" i="61"/>
  <c r="AD473" i="61"/>
  <c r="AD540" i="61"/>
  <c r="AD528" i="61"/>
  <c r="AD516" i="61"/>
  <c r="AD505" i="61"/>
  <c r="AD495" i="61"/>
  <c r="AD483" i="61"/>
  <c r="AD472" i="61"/>
  <c r="AD539" i="61"/>
  <c r="AD527" i="61"/>
  <c r="AD515" i="61"/>
  <c r="AD504" i="61"/>
  <c r="AD494" i="61"/>
  <c r="AD482" i="61"/>
  <c r="AD471" i="61"/>
  <c r="AD535" i="61"/>
  <c r="AD523" i="61"/>
  <c r="AD512" i="61"/>
  <c r="AD501" i="61"/>
  <c r="AD490" i="61"/>
  <c r="AD478" i="61"/>
  <c r="AD455" i="61"/>
  <c r="AD444" i="61"/>
  <c r="AD432" i="61"/>
  <c r="AD454" i="61"/>
  <c r="AD443" i="61"/>
  <c r="AD453" i="61"/>
  <c r="AD442" i="61"/>
  <c r="AD463" i="61"/>
  <c r="AD451" i="61"/>
  <c r="AD440" i="61"/>
  <c r="AD429" i="61"/>
  <c r="AD419" i="61"/>
  <c r="AD408" i="61"/>
  <c r="AD398" i="61"/>
  <c r="AD387" i="61"/>
  <c r="AD376" i="61"/>
  <c r="AD365" i="61"/>
  <c r="AD356" i="61"/>
  <c r="AD345" i="61"/>
  <c r="AD335" i="61"/>
  <c r="AD327" i="61"/>
  <c r="AD317" i="61"/>
  <c r="AD309" i="61"/>
  <c r="AD299" i="61"/>
  <c r="AD291" i="61"/>
  <c r="AD281" i="61"/>
  <c r="AD273" i="61"/>
  <c r="AD263" i="61"/>
  <c r="AD255" i="61"/>
  <c r="AD245" i="61"/>
  <c r="AD237" i="61"/>
  <c r="AD227" i="61"/>
  <c r="AD219" i="61"/>
  <c r="AD209" i="61"/>
  <c r="AD461" i="61"/>
  <c r="AD449" i="61"/>
  <c r="AD438" i="61"/>
  <c r="AD428" i="61"/>
  <c r="AD417" i="61"/>
  <c r="AD406" i="61"/>
  <c r="AD396" i="61"/>
  <c r="AD385" i="61"/>
  <c r="AD374" i="61"/>
  <c r="AD354" i="61"/>
  <c r="AD343" i="61"/>
  <c r="AD334" i="61"/>
  <c r="AD325" i="61"/>
  <c r="AD316" i="61"/>
  <c r="AD307" i="61"/>
  <c r="AD457" i="61"/>
  <c r="AD446" i="61"/>
  <c r="AD434" i="61"/>
  <c r="AD424" i="61"/>
  <c r="AD413" i="61"/>
  <c r="AD403" i="61"/>
  <c r="AD392" i="61"/>
  <c r="AD381" i="61"/>
  <c r="AD370" i="61"/>
  <c r="AD360" i="61"/>
  <c r="AD350" i="61"/>
  <c r="AD340" i="61"/>
  <c r="AD331" i="61"/>
  <c r="AD322" i="61"/>
  <c r="AD313" i="61"/>
  <c r="AD304" i="61"/>
  <c r="AD295" i="61"/>
  <c r="AD286" i="61"/>
  <c r="AD277" i="61"/>
  <c r="AD268" i="61"/>
  <c r="AD259" i="61"/>
  <c r="AD250" i="61"/>
  <c r="AD241" i="61"/>
  <c r="AD232" i="61"/>
  <c r="AD71" i="61"/>
  <c r="AD11" i="61"/>
  <c r="AD23" i="61"/>
  <c r="AD41" i="61"/>
  <c r="AD59" i="61"/>
  <c r="AD72" i="61"/>
  <c r="AD79" i="61"/>
  <c r="AD86" i="61"/>
  <c r="AD108" i="61"/>
  <c r="AD116" i="61"/>
  <c r="AD134" i="61"/>
  <c r="AD152" i="61"/>
  <c r="AD170" i="61"/>
  <c r="AD188" i="61"/>
  <c r="AD206" i="61"/>
  <c r="AD215" i="61"/>
  <c r="AD236" i="61"/>
  <c r="AD247" i="61"/>
  <c r="AD257" i="61"/>
  <c r="AD290" i="61"/>
  <c r="AD301" i="61"/>
  <c r="AD312" i="61"/>
  <c r="AD324" i="61"/>
  <c r="AD337" i="61"/>
  <c r="AD349" i="61"/>
  <c r="AD363" i="61"/>
  <c r="AD391" i="61"/>
  <c r="AD420" i="61"/>
  <c r="AD433" i="61"/>
  <c r="AD456" i="61"/>
  <c r="AD493" i="61"/>
  <c r="AD518" i="61"/>
  <c r="AD548" i="61"/>
  <c r="AD572" i="61"/>
  <c r="AD599" i="61"/>
  <c r="AD697" i="61"/>
  <c r="AD732" i="61"/>
  <c r="AD766" i="61"/>
  <c r="AD802" i="61"/>
  <c r="AD831" i="61"/>
  <c r="AD866" i="61"/>
  <c r="AD914" i="61"/>
  <c r="AD962" i="61"/>
  <c r="AD1010" i="61"/>
  <c r="AD1058" i="61"/>
  <c r="AD1106" i="61"/>
  <c r="AD1154" i="61"/>
  <c r="AD35" i="61"/>
  <c r="AD47" i="61"/>
  <c r="AD65" i="61"/>
  <c r="AD12" i="61"/>
  <c r="AD87" i="61"/>
  <c r="AD94" i="61"/>
  <c r="AD101" i="61"/>
  <c r="AD109" i="61"/>
  <c r="AD117" i="61"/>
  <c r="AD125" i="61"/>
  <c r="AD135" i="61"/>
  <c r="AD143" i="61"/>
  <c r="AD153" i="61"/>
  <c r="AD161" i="61"/>
  <c r="AD171" i="61"/>
  <c r="AD179" i="61"/>
  <c r="AD189" i="61"/>
  <c r="AD197" i="61"/>
  <c r="AD207" i="61"/>
  <c r="AD216" i="61"/>
  <c r="AD226" i="61"/>
  <c r="AD248" i="61"/>
  <c r="AD258" i="61"/>
  <c r="AD269" i="61"/>
  <c r="AD280" i="61"/>
  <c r="AD302" i="61"/>
  <c r="AD314" i="61"/>
  <c r="AD326" i="61"/>
  <c r="AD338" i="61"/>
  <c r="AD351" i="61"/>
  <c r="AD377" i="61"/>
  <c r="AD405" i="61"/>
  <c r="AD421" i="61"/>
  <c r="AD435" i="61"/>
  <c r="AD458" i="61"/>
  <c r="AD522" i="61"/>
  <c r="AD549" i="61"/>
  <c r="AD576" i="61"/>
  <c r="AD605" i="61"/>
  <c r="AD698" i="61"/>
  <c r="AD733" i="61"/>
  <c r="AD767" i="61"/>
  <c r="AD803" i="61"/>
  <c r="AD837" i="61"/>
  <c r="AD872" i="61"/>
  <c r="AD920" i="61"/>
  <c r="AD968" i="61"/>
  <c r="AD1064" i="61"/>
  <c r="AD1112" i="61"/>
  <c r="AD1160" i="61"/>
  <c r="AD1062" i="61"/>
  <c r="AD1050" i="61"/>
  <c r="AD1038" i="61"/>
  <c r="AD1026" i="61"/>
  <c r="AD1014" i="61"/>
  <c r="AD1002" i="61"/>
  <c r="AD990" i="61"/>
  <c r="AD978" i="61"/>
  <c r="AD966" i="61"/>
  <c r="AD954" i="61"/>
  <c r="AD1061" i="61"/>
  <c r="AD1049" i="61"/>
  <c r="AD1037" i="61"/>
  <c r="AD1025" i="61"/>
  <c r="AD1013" i="61"/>
  <c r="AD1001" i="61"/>
  <c r="AD989" i="61"/>
  <c r="AD977" i="61"/>
  <c r="AD965" i="61"/>
  <c r="AD953" i="61"/>
  <c r="AD1060" i="61"/>
  <c r="AD1048" i="61"/>
  <c r="AD1036" i="61"/>
  <c r="AD1024" i="61"/>
  <c r="AD1012" i="61"/>
  <c r="AD1000" i="61"/>
  <c r="AD988" i="61"/>
  <c r="AD976" i="61"/>
  <c r="AD964" i="61"/>
  <c r="AD952" i="61"/>
  <c r="AD1059" i="61"/>
  <c r="AD1047" i="61"/>
  <c r="AD1035" i="61"/>
  <c r="AD1023" i="61"/>
  <c r="AD1011" i="61"/>
  <c r="AD999" i="61"/>
  <c r="AD987" i="61"/>
  <c r="AD975" i="61"/>
  <c r="AD963" i="61"/>
  <c r="AD951" i="61"/>
  <c r="AD1057" i="61"/>
  <c r="AD1045" i="61"/>
  <c r="AD1033" i="61"/>
  <c r="AD1021" i="61"/>
  <c r="AD1009" i="61"/>
  <c r="AD997" i="61"/>
  <c r="AD985" i="61"/>
  <c r="AD973" i="61"/>
  <c r="AD961" i="61"/>
  <c r="AD1056" i="61"/>
  <c r="AD1044" i="61"/>
  <c r="AD1032" i="61"/>
  <c r="AD1020" i="61"/>
  <c r="AD1008" i="61"/>
  <c r="AD996" i="61"/>
  <c r="AD984" i="61"/>
  <c r="AD972" i="61"/>
  <c r="AD960" i="61"/>
  <c r="AD1055" i="61"/>
  <c r="AD1043" i="61"/>
  <c r="AD1031" i="61"/>
  <c r="AD1019" i="61"/>
  <c r="AD1007" i="61"/>
  <c r="AD995" i="61"/>
  <c r="AD983" i="61"/>
  <c r="AD971" i="61"/>
  <c r="AD959" i="61"/>
  <c r="AD1054" i="61"/>
  <c r="AD1042" i="61"/>
  <c r="AD1030" i="61"/>
  <c r="AD1018" i="61"/>
  <c r="AD1006" i="61"/>
  <c r="AD994" i="61"/>
  <c r="AD982" i="61"/>
  <c r="AD970" i="61"/>
  <c r="AD958" i="61"/>
  <c r="AD1051" i="61"/>
  <c r="AD1039" i="61"/>
  <c r="AD1027" i="61"/>
  <c r="AD1015" i="61"/>
  <c r="AD1003" i="61"/>
  <c r="AD991" i="61"/>
  <c r="AD979" i="61"/>
  <c r="AD967" i="61"/>
  <c r="AD955" i="61"/>
  <c r="AD22" i="61"/>
  <c r="AD29" i="61"/>
  <c r="AD53" i="61"/>
  <c r="AD13" i="61"/>
  <c r="AD24" i="61"/>
  <c r="AD30" i="61"/>
  <c r="AD36" i="61"/>
  <c r="AD42" i="61"/>
  <c r="AD48" i="61"/>
  <c r="AD54" i="61"/>
  <c r="AD60" i="61"/>
  <c r="AD66" i="61"/>
  <c r="AD73" i="61"/>
  <c r="AD80" i="61"/>
  <c r="AD102" i="61"/>
  <c r="AD126" i="61"/>
  <c r="AD144" i="61"/>
  <c r="AD162" i="61"/>
  <c r="AD180" i="61"/>
  <c r="AD198" i="61"/>
  <c r="AD217" i="61"/>
  <c r="AD238" i="61"/>
  <c r="AD249" i="61"/>
  <c r="AD260" i="61"/>
  <c r="AD270" i="61"/>
  <c r="AD292" i="61"/>
  <c r="AD303" i="61"/>
  <c r="AD315" i="61"/>
  <c r="AD339" i="61"/>
  <c r="AD352" i="61"/>
  <c r="AD364" i="61"/>
  <c r="AD378" i="61"/>
  <c r="AD393" i="61"/>
  <c r="AD407" i="61"/>
  <c r="AD422" i="61"/>
  <c r="AD436" i="61"/>
  <c r="AD459" i="61"/>
  <c r="AD474" i="61"/>
  <c r="AD496" i="61"/>
  <c r="AD524" i="61"/>
  <c r="AD550" i="61"/>
  <c r="AD580" i="61"/>
  <c r="AD606" i="61"/>
  <c r="AD667" i="61"/>
  <c r="AD702" i="61"/>
  <c r="AD768" i="61"/>
  <c r="AD804" i="61"/>
  <c r="AD838" i="61"/>
  <c r="AD873" i="61"/>
  <c r="AD921" i="61"/>
  <c r="AD969" i="61"/>
  <c r="AD1017" i="61"/>
  <c r="AD1065" i="61"/>
  <c r="AD1113" i="61"/>
  <c r="AD1161" i="61"/>
  <c r="AD145" i="61"/>
  <c r="AD154" i="61"/>
  <c r="AD163" i="61"/>
  <c r="AD172" i="61"/>
  <c r="AD181" i="61"/>
  <c r="AD190" i="61"/>
  <c r="AD199" i="61"/>
  <c r="AD208" i="61"/>
  <c r="AD218" i="61"/>
  <c r="AD228" i="61"/>
  <c r="AD261" i="61"/>
  <c r="AD271" i="61"/>
  <c r="AD282" i="61"/>
  <c r="AD328" i="61"/>
  <c r="AD353" i="61"/>
  <c r="AD366" i="61"/>
  <c r="AD379" i="61"/>
  <c r="AD394" i="61"/>
  <c r="AD409" i="61"/>
  <c r="AD437" i="61"/>
  <c r="AD460" i="61"/>
  <c r="AD500" i="61"/>
  <c r="AD525" i="61"/>
  <c r="AD582" i="61"/>
  <c r="AD607" i="61"/>
  <c r="AD673" i="61"/>
  <c r="AD708" i="61"/>
  <c r="AD736" i="61"/>
  <c r="AD772" i="61"/>
  <c r="AD808" i="61"/>
  <c r="AD839" i="61"/>
  <c r="AD878" i="61"/>
  <c r="AD926" i="61"/>
  <c r="AD974" i="61"/>
  <c r="AD1022" i="61"/>
  <c r="AD1070" i="61"/>
  <c r="AD1118" i="61"/>
  <c r="AD1166" i="61"/>
  <c r="AD21" i="61"/>
  <c r="AD110" i="61"/>
  <c r="AD55" i="61"/>
  <c r="AD200" i="61"/>
  <c r="AD229" i="61"/>
  <c r="AD239" i="61"/>
  <c r="AD272" i="61"/>
  <c r="AD283" i="61"/>
  <c r="AD293" i="61"/>
  <c r="AD355" i="61"/>
  <c r="AD367" i="61"/>
  <c r="AD380" i="61"/>
  <c r="AD395" i="61"/>
  <c r="AD423" i="61"/>
  <c r="AD439" i="61"/>
  <c r="AD462" i="61"/>
  <c r="AD477" i="61"/>
  <c r="AD502" i="61"/>
  <c r="AD526" i="61"/>
  <c r="AD557" i="61"/>
  <c r="AD583" i="61"/>
  <c r="AD611" i="61"/>
  <c r="AD674" i="61"/>
  <c r="AD742" i="61"/>
  <c r="AD778" i="61"/>
  <c r="AD814" i="61"/>
  <c r="AD843" i="61"/>
  <c r="AD884" i="61"/>
  <c r="AD932" i="61"/>
  <c r="AD980" i="61"/>
  <c r="AD1028" i="61"/>
  <c r="AD1076" i="61"/>
  <c r="AD1124" i="61"/>
  <c r="AD1172" i="61"/>
  <c r="AD25" i="61"/>
  <c r="AD49" i="61"/>
  <c r="AD74" i="61"/>
  <c r="AD103" i="61"/>
  <c r="AD128" i="61"/>
  <c r="AD75" i="61"/>
  <c r="AD82" i="61"/>
  <c r="AD89" i="61"/>
  <c r="AD119" i="61"/>
  <c r="AD129" i="61"/>
  <c r="AD137" i="61"/>
  <c r="AD147" i="61"/>
  <c r="AD155" i="61"/>
  <c r="AD165" i="61"/>
  <c r="AD173" i="61"/>
  <c r="AD183" i="61"/>
  <c r="AD191" i="61"/>
  <c r="AD201" i="61"/>
  <c r="AD210" i="61"/>
  <c r="AD220" i="61"/>
  <c r="AD230" i="61"/>
  <c r="AD240" i="61"/>
  <c r="AD251" i="61"/>
  <c r="AD262" i="61"/>
  <c r="AD284" i="61"/>
  <c r="AD294" i="61"/>
  <c r="AD305" i="61"/>
  <c r="AD318" i="61"/>
  <c r="AD329" i="61"/>
  <c r="AD341" i="61"/>
  <c r="AD357" i="61"/>
  <c r="AD368" i="61"/>
  <c r="AD382" i="61"/>
  <c r="AD397" i="61"/>
  <c r="AD410" i="61"/>
  <c r="AD425" i="61"/>
  <c r="AD441" i="61"/>
  <c r="AD464" i="61"/>
  <c r="AD479" i="61"/>
  <c r="AD530" i="61"/>
  <c r="AD559" i="61"/>
  <c r="AD584" i="61"/>
  <c r="AD675" i="61"/>
  <c r="AD709" i="61"/>
  <c r="AD743" i="61"/>
  <c r="AD779" i="61"/>
  <c r="AD815" i="61"/>
  <c r="AD885" i="61"/>
  <c r="AD933" i="61"/>
  <c r="AD981" i="61"/>
  <c r="AD1029" i="61"/>
  <c r="AD1077" i="61"/>
  <c r="AD1125" i="61"/>
  <c r="AD1173" i="61"/>
  <c r="AD118" i="61"/>
  <c r="AD31" i="61"/>
  <c r="AD61" i="61"/>
  <c r="AD96" i="61"/>
  <c r="AD16" i="61"/>
  <c r="AD32" i="61"/>
  <c r="AD50" i="61"/>
  <c r="AD68" i="61"/>
  <c r="AD90" i="61"/>
  <c r="AD97" i="61"/>
  <c r="AD104" i="61"/>
  <c r="AD112" i="61"/>
  <c r="AD120" i="61"/>
  <c r="AD138" i="61"/>
  <c r="AD156" i="61"/>
  <c r="AD174" i="61"/>
  <c r="AD192" i="61"/>
  <c r="AD211" i="61"/>
  <c r="AD231" i="61"/>
  <c r="AD242" i="61"/>
  <c r="AD252" i="61"/>
  <c r="AD274" i="61"/>
  <c r="AD285" i="61"/>
  <c r="AD296" i="61"/>
  <c r="AD306" i="61"/>
  <c r="AD319" i="61"/>
  <c r="AD330" i="61"/>
  <c r="AD342" i="61"/>
  <c r="AD383" i="61"/>
  <c r="AD399" i="61"/>
  <c r="AD411" i="61"/>
  <c r="AD426" i="61"/>
  <c r="AD445" i="61"/>
  <c r="AD480" i="61"/>
  <c r="AD503" i="61"/>
  <c r="AD534" i="61"/>
  <c r="AD560" i="61"/>
  <c r="AD588" i="61"/>
  <c r="AD679" i="61"/>
  <c r="AD713" i="61"/>
  <c r="AD744" i="61"/>
  <c r="AD780" i="61"/>
  <c r="AD816" i="61"/>
  <c r="AD848" i="61"/>
  <c r="AD890" i="61"/>
  <c r="AD938" i="61"/>
  <c r="AD986" i="61"/>
  <c r="AD1034" i="61"/>
  <c r="AD1082" i="61"/>
  <c r="AD1130" i="61"/>
  <c r="AD1178" i="61"/>
  <c r="AD939" i="61"/>
  <c r="AD927" i="61"/>
  <c r="AD127" i="61"/>
  <c r="AD37" i="61"/>
  <c r="AD164" i="61"/>
  <c r="AD17" i="61"/>
  <c r="AD38" i="61"/>
  <c r="AD56" i="61"/>
  <c r="AD69" i="61"/>
  <c r="AD76" i="61"/>
  <c r="AD83" i="61"/>
  <c r="AD105" i="61"/>
  <c r="AD139" i="61"/>
  <c r="AD148" i="61"/>
  <c r="AD157" i="61"/>
  <c r="AD166" i="61"/>
  <c r="AD175" i="61"/>
  <c r="AD184" i="61"/>
  <c r="AD193" i="61"/>
  <c r="AD202" i="61"/>
  <c r="AD212" i="61"/>
  <c r="AD221" i="61"/>
  <c r="AD243" i="61"/>
  <c r="AD253" i="61"/>
  <c r="AD264" i="61"/>
  <c r="AD297" i="61"/>
  <c r="AD308" i="61"/>
  <c r="AD320" i="61"/>
  <c r="AD332" i="61"/>
  <c r="AD344" i="61"/>
  <c r="AD358" i="61"/>
  <c r="AD369" i="61"/>
  <c r="AD384" i="61"/>
  <c r="AD400" i="61"/>
  <c r="AD412" i="61"/>
  <c r="AD427" i="61"/>
  <c r="AD447" i="61"/>
  <c r="AD481" i="61"/>
  <c r="AD507" i="61"/>
  <c r="AD536" i="61"/>
  <c r="AD685" i="61"/>
  <c r="AD719" i="61"/>
  <c r="AD748" i="61"/>
  <c r="AD784" i="61"/>
  <c r="AD820" i="61"/>
  <c r="AD849" i="61"/>
  <c r="AD896" i="61"/>
  <c r="AD944" i="61"/>
  <c r="AD992" i="61"/>
  <c r="AD1040" i="61"/>
  <c r="AD1088" i="61"/>
  <c r="AD1136" i="61"/>
  <c r="AD1185" i="61"/>
  <c r="AD919" i="61"/>
  <c r="AD931" i="61"/>
  <c r="AD943" i="61"/>
  <c r="AD889" i="61"/>
  <c r="AD901" i="61"/>
  <c r="AD913" i="61"/>
  <c r="AD925" i="61"/>
  <c r="AD937" i="61"/>
  <c r="AD949" i="61"/>
  <c r="AD1199" i="61"/>
  <c r="AD891" i="61"/>
  <c r="AD903" i="61"/>
  <c r="AD915" i="61"/>
  <c r="AD1434" i="61"/>
  <c r="AD1189" i="61"/>
  <c r="AD1466" i="61"/>
  <c r="AD1424" i="61"/>
  <c r="AD1418" i="61"/>
  <c r="AD1192" i="61"/>
  <c r="AD1194" i="61"/>
  <c r="AD1182" i="61"/>
  <c r="AD1195" i="61"/>
  <c r="AD1431" i="61"/>
  <c r="AD1442" i="61"/>
  <c r="AD1446" i="61"/>
  <c r="AD1503" i="61"/>
  <c r="AD1459" i="61"/>
  <c r="AD1413" i="61"/>
  <c r="AD1481" i="61"/>
  <c r="AD1472" i="61"/>
  <c r="AD1425" i="61"/>
  <c r="AD1445" i="61"/>
  <c r="AD1427" i="61"/>
  <c r="AC555" i="61"/>
  <c r="AD1507" i="61"/>
  <c r="AD1411" i="61"/>
  <c r="AD1450" i="61"/>
  <c r="AD1416" i="61"/>
  <c r="AD1463" i="61"/>
  <c r="AD1499" i="61"/>
  <c r="AD1462" i="61"/>
  <c r="AD1430" i="61"/>
  <c r="AC542" i="61"/>
  <c r="AD1455" i="61"/>
  <c r="AD1475" i="61"/>
  <c r="AD1471" i="61"/>
  <c r="AC135" i="61"/>
  <c r="AC129" i="61"/>
  <c r="AC134" i="61"/>
  <c r="AC128" i="61"/>
  <c r="AC133" i="61"/>
  <c r="AC127" i="61"/>
  <c r="AC132" i="61"/>
  <c r="AC126" i="61"/>
  <c r="AC1417" i="61"/>
  <c r="AC123" i="61"/>
  <c r="AC117" i="61"/>
  <c r="AC111" i="61"/>
  <c r="AC105" i="61"/>
  <c r="AC99" i="61"/>
  <c r="AC93" i="61"/>
  <c r="AC87" i="61"/>
  <c r="AC81" i="61"/>
  <c r="AC75" i="61"/>
  <c r="AC69" i="61"/>
  <c r="AC122" i="61"/>
  <c r="AC121" i="61"/>
  <c r="AC115" i="61"/>
  <c r="AC109" i="61"/>
  <c r="AC120" i="61"/>
  <c r="AC114" i="61"/>
  <c r="AC108" i="61"/>
  <c r="AC102" i="61"/>
  <c r="AC96" i="61"/>
  <c r="AC90" i="61"/>
  <c r="AC84" i="61"/>
  <c r="AC78" i="61"/>
  <c r="AC72" i="61"/>
  <c r="AC809" i="61"/>
  <c r="AC808" i="61"/>
  <c r="AC802" i="61"/>
  <c r="AC796" i="61"/>
  <c r="AC790" i="61"/>
  <c r="AC784" i="61"/>
  <c r="AC806" i="61"/>
  <c r="AC800" i="61"/>
  <c r="AC794" i="61"/>
  <c r="AC788" i="61"/>
  <c r="AC782" i="61"/>
  <c r="AC810" i="61"/>
  <c r="AC804" i="61"/>
  <c r="AC798" i="61"/>
  <c r="AC792" i="61"/>
  <c r="AC786" i="61"/>
  <c r="AC780" i="61"/>
  <c r="AC803" i="61"/>
  <c r="AC795" i="61"/>
  <c r="AC787" i="61"/>
  <c r="AC779" i="61"/>
  <c r="AC811" i="61"/>
  <c r="AC801" i="61"/>
  <c r="AC793" i="61"/>
  <c r="AC785" i="61"/>
  <c r="AC807" i="61"/>
  <c r="AC799" i="61"/>
  <c r="AC791" i="61"/>
  <c r="AC783" i="61"/>
  <c r="AC664" i="61"/>
  <c r="AC662" i="61"/>
  <c r="AC660" i="61"/>
  <c r="AC1496" i="61"/>
  <c r="AC658" i="61"/>
  <c r="AC652" i="61"/>
  <c r="AC656" i="61"/>
  <c r="AC650" i="61"/>
  <c r="AC654" i="61"/>
  <c r="AC648" i="61"/>
  <c r="AC659" i="61"/>
  <c r="AC651" i="61"/>
  <c r="AC657" i="61"/>
  <c r="AC649" i="61"/>
  <c r="AC1494" i="61"/>
  <c r="AC646" i="61"/>
  <c r="AC640" i="61"/>
  <c r="AC644" i="61"/>
  <c r="AC638" i="61"/>
  <c r="AC642" i="61"/>
  <c r="AC636" i="61"/>
  <c r="AC643" i="61"/>
  <c r="AC635" i="61"/>
  <c r="AC641" i="61"/>
  <c r="AC1488" i="61"/>
  <c r="AC634" i="61"/>
  <c r="AC628" i="61"/>
  <c r="AC622" i="61"/>
  <c r="AC616" i="61"/>
  <c r="AC632" i="61"/>
  <c r="AC626" i="61"/>
  <c r="AC620" i="61"/>
  <c r="AC614" i="61"/>
  <c r="AC630" i="61"/>
  <c r="AC624" i="61"/>
  <c r="AC618" i="61"/>
  <c r="AC612" i="61"/>
  <c r="AC627" i="61"/>
  <c r="AC619" i="61"/>
  <c r="AC633" i="61"/>
  <c r="AC625" i="61"/>
  <c r="AC617" i="61"/>
  <c r="AC610" i="61"/>
  <c r="AC604" i="61"/>
  <c r="AC598" i="61"/>
  <c r="AC592" i="61"/>
  <c r="AC608" i="61"/>
  <c r="AC602" i="61"/>
  <c r="AC596" i="61"/>
  <c r="AC590" i="61"/>
  <c r="AC584" i="61"/>
  <c r="AC578" i="61"/>
  <c r="AC572" i="61"/>
  <c r="AC566" i="61"/>
  <c r="AC560" i="61"/>
  <c r="AC606" i="61"/>
  <c r="AC600" i="61"/>
  <c r="AC594" i="61"/>
  <c r="AC588" i="61"/>
  <c r="AC582" i="61"/>
  <c r="AC576" i="61"/>
  <c r="AC570" i="61"/>
  <c r="AC564" i="61"/>
  <c r="AC558" i="61"/>
  <c r="AC552" i="61"/>
  <c r="AC546" i="61"/>
  <c r="AC581" i="61"/>
  <c r="AC574" i="61"/>
  <c r="AC567" i="61"/>
  <c r="AC553" i="61"/>
  <c r="AC559" i="61"/>
  <c r="AC611" i="61"/>
  <c r="AC603" i="61"/>
  <c r="AC595" i="61"/>
  <c r="AC587" i="61"/>
  <c r="AC580" i="61"/>
  <c r="AC573" i="61"/>
  <c r="AC545" i="61"/>
  <c r="AC565" i="61"/>
  <c r="AC551" i="61"/>
  <c r="AC586" i="61"/>
  <c r="AC579" i="61"/>
  <c r="AC557" i="61"/>
  <c r="AC544" i="61"/>
  <c r="AC609" i="61"/>
  <c r="AC601" i="61"/>
  <c r="AC593" i="61"/>
  <c r="AC571" i="61"/>
  <c r="AC550" i="61"/>
  <c r="AC585" i="61"/>
  <c r="AC563" i="61"/>
  <c r="AC556" i="61"/>
  <c r="AC543" i="61"/>
  <c r="AC577" i="61"/>
  <c r="AC549" i="61"/>
  <c r="AC583" i="61"/>
  <c r="AC548" i="61"/>
  <c r="AC468" i="61"/>
  <c r="AC467" i="61"/>
  <c r="AC466" i="61"/>
  <c r="AC465" i="61"/>
  <c r="AC621" i="61"/>
  <c r="AC789" i="61"/>
  <c r="AC562" i="61"/>
  <c r="AC623" i="61"/>
  <c r="AC781" i="61"/>
  <c r="AC605" i="61"/>
  <c r="AC653" i="61"/>
  <c r="AC575" i="61"/>
  <c r="AC615" i="61"/>
  <c r="AC663" i="61"/>
  <c r="AC547" i="61"/>
  <c r="AC597" i="61"/>
  <c r="AC645" i="61"/>
  <c r="AC805" i="61"/>
  <c r="AC607" i="61"/>
  <c r="AC655" i="61"/>
  <c r="AC568" i="61"/>
  <c r="AC589" i="61"/>
  <c r="AC637" i="61"/>
  <c r="AC599" i="61"/>
  <c r="AC647" i="61"/>
  <c r="AC797" i="61"/>
  <c r="AC541" i="61"/>
  <c r="AC569" i="61"/>
  <c r="AC629" i="61"/>
  <c r="AC1438" i="61"/>
  <c r="AC1416" i="61"/>
  <c r="AC1420" i="61"/>
  <c r="AC1422" i="61"/>
  <c r="AC1482" i="61"/>
  <c r="AC1434" i="61"/>
  <c r="AC1428" i="61"/>
  <c r="AC1495" i="61"/>
  <c r="AC1418" i="61"/>
  <c r="AD1504" i="61"/>
  <c r="AD1488" i="61"/>
  <c r="AD1479" i="61"/>
  <c r="AD1437" i="61"/>
  <c r="AD1421" i="61"/>
  <c r="AD1453" i="61"/>
  <c r="AD1419" i="61"/>
  <c r="AD1458" i="61"/>
  <c r="AD1515" i="61"/>
  <c r="AD1441" i="61"/>
  <c r="AC1484" i="61"/>
  <c r="AC1426" i="61"/>
  <c r="AC1520" i="61"/>
  <c r="AC1492" i="61"/>
  <c r="AC1436" i="61"/>
  <c r="AC1498" i="61"/>
  <c r="AC1430" i="61"/>
  <c r="AD1540" i="61"/>
  <c r="AD1517" i="61"/>
  <c r="AD1486" i="61"/>
  <c r="AD1531" i="61"/>
  <c r="AC1522" i="61"/>
  <c r="AD1583" i="61"/>
  <c r="AD1577" i="61"/>
  <c r="AD1501" i="61"/>
  <c r="AC18" i="61"/>
  <c r="AC12" i="61"/>
  <c r="AC17" i="61"/>
  <c r="AC22" i="61"/>
  <c r="AC16" i="61"/>
  <c r="AC21" i="61"/>
  <c r="AC15" i="61"/>
  <c r="AC20" i="61"/>
  <c r="AC19" i="61"/>
  <c r="AC13" i="61"/>
  <c r="AC23" i="61"/>
  <c r="AC11" i="61"/>
  <c r="AC14" i="61"/>
  <c r="AC1432" i="61"/>
  <c r="W166" i="61"/>
  <c r="W178" i="61"/>
  <c r="W826" i="61"/>
  <c r="W1006" i="61"/>
  <c r="W1054" i="61"/>
  <c r="W1090" i="61"/>
  <c r="W1210" i="61"/>
  <c r="W1222" i="61"/>
  <c r="W1306" i="61"/>
  <c r="W1570" i="61"/>
  <c r="W179" i="61"/>
  <c r="W995" i="61"/>
  <c r="W1031" i="61"/>
  <c r="W1055" i="61"/>
  <c r="W1079" i="61"/>
  <c r="W1175" i="61"/>
  <c r="W1187" i="61"/>
  <c r="W1223" i="61"/>
  <c r="W1415" i="61"/>
  <c r="W1571" i="61"/>
  <c r="W180" i="61"/>
  <c r="W264" i="61"/>
  <c r="W912" i="61"/>
  <c r="W1008" i="61"/>
  <c r="W1068" i="61"/>
  <c r="W1080" i="61"/>
  <c r="W1212" i="61"/>
  <c r="W1224" i="61"/>
  <c r="W1308" i="61"/>
  <c r="W1356" i="61"/>
  <c r="W1404" i="61"/>
  <c r="W1476" i="61"/>
  <c r="W1590" i="61"/>
  <c r="W181" i="61"/>
  <c r="W433" i="61"/>
  <c r="W757" i="61"/>
  <c r="W1057" i="61"/>
  <c r="W1225" i="61"/>
  <c r="W1549" i="61"/>
  <c r="W950" i="61"/>
  <c r="W1082" i="61"/>
  <c r="W1202" i="61"/>
  <c r="W1310" i="61"/>
  <c r="W15" i="61"/>
  <c r="W1011" i="61"/>
  <c r="W1023" i="61"/>
  <c r="W1359" i="61"/>
  <c r="W1566" i="61"/>
  <c r="W172" i="61"/>
  <c r="W268" i="61"/>
  <c r="W1024" i="61"/>
  <c r="W1072" i="61"/>
  <c r="W1228" i="61"/>
  <c r="W1384" i="61"/>
  <c r="W1576" i="61"/>
  <c r="W173" i="61"/>
  <c r="W269" i="61"/>
  <c r="W1001" i="61"/>
  <c r="W1025" i="61"/>
  <c r="W1037" i="61"/>
  <c r="W1313" i="61"/>
  <c r="W1373" i="61"/>
  <c r="W1397" i="61"/>
  <c r="W1565" i="61"/>
  <c r="W1577" i="61"/>
  <c r="W1589" i="61"/>
  <c r="W1374" i="61"/>
  <c r="W870" i="61"/>
  <c r="W1002" i="61"/>
  <c r="W1062" i="61"/>
  <c r="W1110" i="61"/>
  <c r="W1194" i="61"/>
  <c r="W1326" i="61"/>
  <c r="W1578" i="61"/>
  <c r="W175" i="61"/>
  <c r="W1051" i="61"/>
  <c r="W1315" i="61"/>
  <c r="W1411" i="61"/>
  <c r="W1567" i="61"/>
  <c r="W1579" i="61"/>
  <c r="W476" i="61"/>
  <c r="W1004" i="61"/>
  <c r="W1316" i="61"/>
  <c r="W1364" i="61"/>
  <c r="W1568" i="61"/>
  <c r="W165" i="61"/>
  <c r="W909" i="61"/>
  <c r="W1005" i="61"/>
  <c r="W1053" i="61"/>
  <c r="W1173" i="61"/>
  <c r="W1245" i="61"/>
  <c r="C15" i="48"/>
  <c r="C13" i="48"/>
  <c r="AD1561" i="61"/>
  <c r="AD1555" i="61"/>
  <c r="AD1549" i="61"/>
  <c r="AD1524" i="61"/>
  <c r="AD1508" i="61"/>
  <c r="AD1514" i="61"/>
  <c r="AD1497" i="61"/>
  <c r="AD1491" i="61"/>
  <c r="AD1487" i="61"/>
  <c r="AD1474" i="61"/>
  <c r="AD1436" i="61"/>
  <c r="AD1433" i="61"/>
  <c r="AD1469" i="61"/>
  <c r="AD1556" i="61"/>
  <c r="AD1545" i="61"/>
  <c r="AD1527" i="61"/>
  <c r="AD1513" i="61"/>
  <c r="AD1496" i="61"/>
  <c r="AD1494" i="61"/>
  <c r="AD1492" i="61"/>
  <c r="AD1485" i="61"/>
  <c r="AD1477" i="61"/>
  <c r="AD1456" i="61"/>
  <c r="AD1465" i="61"/>
  <c r="AD1468" i="61"/>
  <c r="AD1470" i="61"/>
  <c r="AD1550" i="61"/>
  <c r="AD1571" i="61"/>
  <c r="AD1581" i="61"/>
  <c r="AD1560" i="61"/>
  <c r="AD1562" i="61"/>
  <c r="AD1575" i="61"/>
  <c r="AD1512" i="61"/>
  <c r="AD1516" i="61"/>
  <c r="AD1521" i="61"/>
  <c r="AD1526" i="61"/>
  <c r="AD1535" i="61"/>
  <c r="AD1544" i="61"/>
  <c r="AD1566" i="61"/>
  <c r="AD1537" i="61"/>
  <c r="AD1505" i="61"/>
  <c r="AD1415" i="61"/>
  <c r="AD1417" i="61"/>
  <c r="AD1422" i="61"/>
  <c r="AD1428" i="61"/>
  <c r="AD1432" i="61"/>
  <c r="AD1435" i="61"/>
  <c r="AD1439" i="61"/>
  <c r="AD1443" i="61"/>
  <c r="AD1447" i="61"/>
  <c r="AD1473" i="61"/>
  <c r="AD1490" i="61"/>
  <c r="AD1500" i="61"/>
  <c r="AD1509" i="61"/>
  <c r="AD1518" i="61"/>
  <c r="AD1522" i="61"/>
  <c r="AD1569" i="61"/>
  <c r="AD1414" i="61"/>
  <c r="AD1420" i="61"/>
  <c r="AD1423" i="61"/>
  <c r="AD1426" i="61"/>
  <c r="AD1429" i="61"/>
  <c r="AD1440" i="61"/>
  <c r="AD1449" i="61"/>
  <c r="AD1452" i="61"/>
  <c r="AD1457" i="61"/>
  <c r="AD1461" i="61"/>
  <c r="AD1478" i="61"/>
  <c r="AD1482" i="61"/>
  <c r="AD1502" i="61"/>
  <c r="AD1506" i="61"/>
  <c r="AD1510" i="61"/>
  <c r="AD1519" i="61"/>
  <c r="AD1523" i="61"/>
  <c r="AD1539" i="61"/>
  <c r="AD1567" i="61"/>
  <c r="AD1551" i="61"/>
  <c r="AD1498" i="61"/>
  <c r="AD1476" i="61"/>
  <c r="AD1438" i="61"/>
  <c r="AC1480" i="61"/>
  <c r="AD1412" i="61"/>
  <c r="AD1444" i="61"/>
  <c r="AD1448" i="61"/>
  <c r="AD1451" i="61"/>
  <c r="AD1454" i="61"/>
  <c r="AD1460" i="61"/>
  <c r="AD1464" i="61"/>
  <c r="AD1467" i="61"/>
  <c r="AD1480" i="61"/>
  <c r="AD1483" i="61"/>
  <c r="AC1490" i="61"/>
  <c r="AD1511" i="61"/>
  <c r="AD1520" i="61"/>
  <c r="AD1528" i="61"/>
  <c r="AD1532" i="61"/>
  <c r="AD1536" i="61"/>
  <c r="AD1542" i="61"/>
  <c r="AD1546" i="61"/>
  <c r="AD1564" i="61"/>
  <c r="AD1529" i="61"/>
  <c r="AD1533" i="61"/>
  <c r="AD1538" i="61"/>
  <c r="AD1543" i="61"/>
  <c r="AD1548" i="61"/>
  <c r="AD1552" i="61"/>
  <c r="AD1559" i="61"/>
  <c r="AD1565" i="61"/>
  <c r="AC1478" i="61"/>
  <c r="AC1486" i="61"/>
  <c r="AD1557" i="61"/>
  <c r="AD1554" i="61"/>
  <c r="AC1526" i="61"/>
  <c r="AC1424" i="61"/>
  <c r="AD1530" i="61"/>
  <c r="AD1534" i="61"/>
  <c r="AD1541" i="61"/>
  <c r="AD1547" i="61"/>
  <c r="AD1553" i="61"/>
  <c r="AD1558" i="61"/>
  <c r="AC1524" i="61"/>
  <c r="AD1584" i="61"/>
  <c r="AD1578" i="61"/>
  <c r="AC1518" i="61"/>
  <c r="AD1563" i="61"/>
  <c r="AD1568" i="61"/>
  <c r="AD1573" i="61"/>
  <c r="AD1579" i="61"/>
  <c r="AC1497" i="61"/>
  <c r="AC1493" i="61"/>
  <c r="AC1491" i="61"/>
  <c r="AC1489" i="61"/>
  <c r="AC1487" i="61"/>
  <c r="AC1485" i="61"/>
  <c r="AC1483" i="61"/>
  <c r="AC1481" i="61"/>
  <c r="AC1479" i="61"/>
  <c r="AC1437" i="61"/>
  <c r="AC1435" i="61"/>
  <c r="AC1433" i="61"/>
  <c r="AC1431" i="61"/>
  <c r="AC1429" i="61"/>
  <c r="AC1427" i="61"/>
  <c r="AC1425" i="61"/>
  <c r="AC1423" i="61"/>
  <c r="AC1421" i="61"/>
  <c r="AC1419" i="61"/>
  <c r="AC1527" i="61"/>
  <c r="AC1519" i="61"/>
  <c r="AC1521" i="61"/>
  <c r="AC1523" i="61"/>
  <c r="AC1525" i="61"/>
  <c r="AD1570" i="61"/>
  <c r="AD1572" i="61"/>
  <c r="AD1574" i="61"/>
  <c r="AD1576" i="61"/>
  <c r="AD1580" i="61"/>
  <c r="AD1582" i="61"/>
  <c r="L15" i="78"/>
  <c r="I13" i="78"/>
  <c r="K31" i="78"/>
  <c r="J15" i="78"/>
  <c r="J25" i="78"/>
  <c r="L13" i="78"/>
  <c r="I17" i="78"/>
  <c r="J32" i="78"/>
  <c r="K34" i="78"/>
  <c r="I20" i="78"/>
  <c r="J31" i="78"/>
  <c r="K32" i="78"/>
  <c r="L34" i="78"/>
  <c r="L20" i="78"/>
  <c r="J21" i="78"/>
  <c r="J36" i="78"/>
  <c r="I14" i="78"/>
  <c r="I25" i="78"/>
  <c r="K36" i="78"/>
  <c r="J37" i="78"/>
  <c r="K37" i="78"/>
  <c r="I24" i="78"/>
  <c r="I11" i="78"/>
  <c r="L17" i="78"/>
  <c r="K24" i="78"/>
  <c r="J28" i="78"/>
  <c r="K28" i="78"/>
  <c r="I26" i="78"/>
  <c r="J39" i="78"/>
  <c r="I18" i="78"/>
  <c r="J26" i="78"/>
  <c r="K39" i="78"/>
  <c r="J18" i="78"/>
  <c r="J29" i="78"/>
  <c r="I12" i="78"/>
  <c r="I16" i="78"/>
  <c r="I19" i="78"/>
  <c r="I22" i="78"/>
  <c r="I30" i="78"/>
  <c r="J19" i="78"/>
  <c r="J27" i="78"/>
  <c r="J30" i="78"/>
  <c r="J33" i="78"/>
  <c r="J35" i="78"/>
  <c r="J38" i="78"/>
  <c r="K12" i="78"/>
  <c r="K16" i="78"/>
  <c r="K27" i="78"/>
  <c r="K30" i="78"/>
  <c r="K33" i="78"/>
  <c r="K35" i="78"/>
  <c r="K38" i="78"/>
  <c r="K11" i="78"/>
  <c r="K21" i="78"/>
  <c r="K29" i="78"/>
  <c r="L14" i="78"/>
  <c r="C149" i="77"/>
  <c r="C86" i="77"/>
  <c r="C74" i="77"/>
  <c r="AC1555" i="61" l="1"/>
  <c r="AC1534" i="61"/>
  <c r="AC1537" i="61"/>
  <c r="AC1539" i="61"/>
  <c r="AC1541" i="61"/>
  <c r="AC1535" i="61"/>
  <c r="AC475" i="61"/>
  <c r="AC1540" i="61"/>
  <c r="AC1533" i="61"/>
  <c r="AC1529" i="61"/>
  <c r="AC1475" i="61"/>
  <c r="AC1499" i="61"/>
  <c r="AC1511" i="61"/>
  <c r="AD1396" i="61"/>
  <c r="AC711" i="61"/>
  <c r="AC505" i="61"/>
  <c r="AC500" i="61"/>
  <c r="AC743" i="61"/>
  <c r="AC678" i="61"/>
  <c r="AC670" i="61"/>
  <c r="AC669" i="61"/>
  <c r="AC497" i="61"/>
  <c r="AC492" i="61"/>
  <c r="AC715" i="61"/>
  <c r="AC722" i="61"/>
  <c r="AC1515" i="61"/>
  <c r="AD1400" i="61"/>
  <c r="AC530" i="61"/>
  <c r="AC504" i="61"/>
  <c r="AC731" i="61"/>
  <c r="AC734" i="61"/>
  <c r="AC1513" i="61"/>
  <c r="AD1398" i="61"/>
  <c r="AD1410" i="61"/>
  <c r="AC521" i="61"/>
  <c r="AC485" i="61"/>
  <c r="AC672" i="61"/>
  <c r="AC776" i="61"/>
  <c r="AC1507" i="61"/>
  <c r="AD1394" i="61"/>
  <c r="AD1402" i="61"/>
  <c r="AD1407" i="61"/>
  <c r="AC531" i="61"/>
  <c r="AC759" i="61"/>
  <c r="AC690" i="61"/>
  <c r="AC682" i="61"/>
  <c r="AC1505" i="61"/>
  <c r="AD1590" i="61"/>
  <c r="AD1392" i="61"/>
  <c r="AD1406" i="61"/>
  <c r="AD1399" i="61"/>
  <c r="AD1403" i="61"/>
  <c r="AC495" i="61"/>
  <c r="AC499" i="61"/>
  <c r="AC775" i="61"/>
  <c r="AC702" i="61"/>
  <c r="AC694" i="61"/>
  <c r="AD1390" i="61"/>
  <c r="AD1391" i="61"/>
  <c r="AD1397" i="61"/>
  <c r="AC1508" i="61"/>
  <c r="AC1504" i="61"/>
  <c r="AC529" i="61"/>
  <c r="AC519" i="61"/>
  <c r="AC713" i="61"/>
  <c r="AC744" i="61"/>
  <c r="AC736" i="61"/>
  <c r="AC1503" i="61"/>
  <c r="AC1501" i="61"/>
  <c r="AC1516" i="61"/>
  <c r="AD1388" i="61"/>
  <c r="AD1386" i="61"/>
  <c r="AD1405" i="61"/>
  <c r="AD1409" i="61"/>
  <c r="AC501" i="61"/>
  <c r="AC532" i="61"/>
  <c r="AC721" i="61"/>
  <c r="AC750" i="61"/>
  <c r="AC742" i="61"/>
  <c r="AC737" i="61"/>
  <c r="AC762" i="61"/>
  <c r="AC754" i="61"/>
  <c r="AC1517" i="61"/>
  <c r="AC1473" i="61"/>
  <c r="AD1589" i="61"/>
  <c r="AD1408" i="61"/>
  <c r="AD1393" i="61"/>
  <c r="AC536" i="61"/>
  <c r="AC526" i="61"/>
  <c r="AC753" i="61"/>
  <c r="AC774" i="61"/>
  <c r="AC766" i="61"/>
  <c r="AD1404" i="61"/>
  <c r="AD1387" i="61"/>
  <c r="AC509" i="61"/>
  <c r="AC535" i="61"/>
  <c r="AC474" i="61"/>
  <c r="AC691" i="61"/>
  <c r="AC704" i="61"/>
  <c r="AC1477" i="61"/>
  <c r="AC765" i="61"/>
  <c r="AC719" i="61"/>
  <c r="AC471" i="61"/>
  <c r="AC480" i="61"/>
  <c r="AC699" i="61"/>
  <c r="AC710" i="61"/>
  <c r="AC1500" i="61"/>
  <c r="AC695" i="61"/>
  <c r="AC703" i="61"/>
  <c r="AC490" i="61"/>
  <c r="AC749" i="61"/>
  <c r="AC523" i="61"/>
  <c r="AC484" i="61"/>
  <c r="AC518" i="61"/>
  <c r="AC487" i="61"/>
  <c r="AC486" i="61"/>
  <c r="AC751" i="61"/>
  <c r="AC729" i="61"/>
  <c r="AC707" i="61"/>
  <c r="AC684" i="61"/>
  <c r="AC756" i="61"/>
  <c r="AC716" i="61"/>
  <c r="AC676" i="61"/>
  <c r="AC748" i="61"/>
  <c r="AC671" i="61"/>
  <c r="AC517" i="61"/>
  <c r="AC479" i="61"/>
  <c r="AC513" i="61"/>
  <c r="AC498" i="61"/>
  <c r="AC767" i="61"/>
  <c r="AC745" i="61"/>
  <c r="AC723" i="61"/>
  <c r="AC696" i="61"/>
  <c r="AC768" i="61"/>
  <c r="AC728" i="61"/>
  <c r="AC688" i="61"/>
  <c r="AC760" i="61"/>
  <c r="AC1509" i="61"/>
  <c r="AC1514" i="61"/>
  <c r="AC1476" i="61"/>
  <c r="AC483" i="61"/>
  <c r="AC482" i="61"/>
  <c r="AC488" i="61"/>
  <c r="AC478" i="61"/>
  <c r="AC512" i="61"/>
  <c r="AC539" i="61"/>
  <c r="AC510" i="61"/>
  <c r="AC665" i="61"/>
  <c r="AC761" i="61"/>
  <c r="AC739" i="61"/>
  <c r="AC708" i="61"/>
  <c r="AC668" i="61"/>
  <c r="AC740" i="61"/>
  <c r="AC700" i="61"/>
  <c r="AC772" i="61"/>
  <c r="AD1389" i="61"/>
  <c r="AC725" i="61"/>
  <c r="AC733" i="61"/>
  <c r="AC527" i="61"/>
  <c r="AC679" i="61"/>
  <c r="AC491" i="61"/>
  <c r="AC525" i="61"/>
  <c r="AC481" i="61"/>
  <c r="AC516" i="61"/>
  <c r="AC673" i="61"/>
  <c r="AC769" i="61"/>
  <c r="AC747" i="61"/>
  <c r="AC714" i="61"/>
  <c r="AC674" i="61"/>
  <c r="AC746" i="61"/>
  <c r="AC706" i="61"/>
  <c r="AC778" i="61"/>
  <c r="AC1502" i="61"/>
  <c r="AC1510" i="61"/>
  <c r="AC677" i="61"/>
  <c r="AC685" i="61"/>
  <c r="AC773" i="61"/>
  <c r="AC508" i="61"/>
  <c r="AC476" i="61"/>
  <c r="AC511" i="61"/>
  <c r="AC538" i="61"/>
  <c r="AC494" i="61"/>
  <c r="AC522" i="61"/>
  <c r="AC681" i="61"/>
  <c r="AC777" i="61"/>
  <c r="AC755" i="61"/>
  <c r="AC720" i="61"/>
  <c r="AC680" i="61"/>
  <c r="AC752" i="61"/>
  <c r="AC712" i="61"/>
  <c r="AC741" i="61"/>
  <c r="AC701" i="61"/>
  <c r="AC489" i="61"/>
  <c r="AC524" i="61"/>
  <c r="AC473" i="61"/>
  <c r="AC507" i="61"/>
  <c r="AC528" i="61"/>
  <c r="AC689" i="61"/>
  <c r="AC667" i="61"/>
  <c r="AC763" i="61"/>
  <c r="AC726" i="61"/>
  <c r="AC686" i="61"/>
  <c r="AC758" i="61"/>
  <c r="AC718" i="61"/>
  <c r="AC1474" i="61"/>
  <c r="AC1512" i="61"/>
  <c r="AC693" i="61"/>
  <c r="AC757" i="61"/>
  <c r="AC502" i="61"/>
  <c r="AC537" i="61"/>
  <c r="AC493" i="61"/>
  <c r="AC520" i="61"/>
  <c r="AC534" i="61"/>
  <c r="AC697" i="61"/>
  <c r="AC675" i="61"/>
  <c r="AC771" i="61"/>
  <c r="AC732" i="61"/>
  <c r="AC692" i="61"/>
  <c r="AC764" i="61"/>
  <c r="AC724" i="61"/>
  <c r="AC1506" i="61"/>
  <c r="AD1395" i="61"/>
  <c r="AC717" i="61"/>
  <c r="AC515" i="61"/>
  <c r="AC472" i="61"/>
  <c r="AC506" i="61"/>
  <c r="AC533" i="61"/>
  <c r="AC540" i="61"/>
  <c r="AC705" i="61"/>
  <c r="AC683" i="61"/>
  <c r="AC666" i="61"/>
  <c r="AC738" i="61"/>
  <c r="AC698" i="61"/>
  <c r="AC770" i="61"/>
  <c r="AC730" i="61"/>
  <c r="AC727" i="61"/>
  <c r="AD1368" i="61"/>
  <c r="AD1296" i="61"/>
  <c r="AD1312" i="61"/>
  <c r="AD1586" i="61"/>
  <c r="AD1294" i="61"/>
  <c r="AD1328" i="61"/>
  <c r="AD1360" i="61"/>
  <c r="AD1304" i="61"/>
  <c r="AD1344" i="61"/>
  <c r="AD1336" i="61"/>
  <c r="AD1361" i="61"/>
  <c r="AD1366" i="61"/>
  <c r="AD1342" i="61"/>
  <c r="AD1385" i="61"/>
  <c r="AD1310" i="61"/>
  <c r="AD1298" i="61"/>
  <c r="AD1364" i="61"/>
  <c r="AD1340" i="61"/>
  <c r="AD1377" i="61"/>
  <c r="AD1384" i="61"/>
  <c r="AD1308" i="61"/>
  <c r="AD1300" i="61"/>
  <c r="AD1362" i="61"/>
  <c r="AD1338" i="61"/>
  <c r="AD1369" i="61"/>
  <c r="AD1330" i="61"/>
  <c r="AD1306" i="61"/>
  <c r="AD1302" i="61"/>
  <c r="AD1382" i="61"/>
  <c r="AD1358" i="61"/>
  <c r="AD1334" i="61"/>
  <c r="AD1353" i="61"/>
  <c r="AD1326" i="61"/>
  <c r="AD1363" i="61"/>
  <c r="AD1373" i="61"/>
  <c r="AD1303" i="61"/>
  <c r="AD1585" i="61"/>
  <c r="AD1380" i="61"/>
  <c r="AD1356" i="61"/>
  <c r="AD1332" i="61"/>
  <c r="AD1324" i="61"/>
  <c r="AD1282" i="61"/>
  <c r="AD1378" i="61"/>
  <c r="AD1354" i="61"/>
  <c r="AD1383" i="61"/>
  <c r="AD1322" i="61"/>
  <c r="AD1286" i="61"/>
  <c r="AD1376" i="61"/>
  <c r="AD1352" i="61"/>
  <c r="AD1375" i="61"/>
  <c r="AD1320" i="61"/>
  <c r="AD1288" i="61"/>
  <c r="AD1374" i="61"/>
  <c r="AD1350" i="61"/>
  <c r="AD1587" i="61"/>
  <c r="AD1367" i="61"/>
  <c r="AD1379" i="61"/>
  <c r="AD1318" i="61"/>
  <c r="AD1290" i="61"/>
  <c r="AD1372" i="61"/>
  <c r="AD1348" i="61"/>
  <c r="AD1359" i="61"/>
  <c r="AD1371" i="61"/>
  <c r="AD1316" i="61"/>
  <c r="AD1292" i="61"/>
  <c r="AD1355" i="61"/>
  <c r="AD1588" i="61"/>
  <c r="AD1370" i="61"/>
  <c r="AD1346" i="61"/>
  <c r="AD1351" i="61"/>
  <c r="AD1314" i="61"/>
  <c r="AD1266" i="61"/>
  <c r="AD1205" i="61"/>
  <c r="AC735" i="61"/>
  <c r="AC1548" i="61"/>
  <c r="AC1531" i="61"/>
  <c r="AC1551" i="61"/>
  <c r="AC815" i="61"/>
  <c r="AC1549" i="61"/>
  <c r="AC1557" i="61"/>
  <c r="AC1532" i="61"/>
  <c r="AC1543" i="61"/>
  <c r="AC1590" i="61"/>
  <c r="AC1589" i="61"/>
  <c r="AC836" i="61"/>
  <c r="AC1552" i="61"/>
  <c r="AC818" i="61"/>
  <c r="AC937" i="61"/>
  <c r="AC866" i="61"/>
  <c r="AC868" i="61"/>
  <c r="AC1547" i="61"/>
  <c r="AC1542" i="61"/>
  <c r="AC923" i="61"/>
  <c r="AC896" i="61"/>
  <c r="AC1546" i="61"/>
  <c r="AC1544" i="61"/>
  <c r="AC1545" i="61"/>
  <c r="AC1538" i="61"/>
  <c r="AC1554" i="61"/>
  <c r="AC1550" i="61"/>
  <c r="AC915" i="61"/>
  <c r="AC1553" i="61"/>
  <c r="AC1528" i="61"/>
  <c r="AC1556" i="61"/>
  <c r="AC843" i="61"/>
  <c r="AC910" i="61"/>
  <c r="AC856" i="61"/>
  <c r="AC871" i="61"/>
  <c r="AC920" i="61"/>
  <c r="AC1536" i="61"/>
  <c r="AC889" i="61"/>
  <c r="AC861" i="61"/>
  <c r="AC946" i="61"/>
  <c r="AC939" i="61"/>
  <c r="AC833" i="61"/>
  <c r="AC886" i="61"/>
  <c r="AC812" i="61"/>
  <c r="AC814" i="61"/>
  <c r="AC898" i="61"/>
  <c r="AC884" i="61"/>
  <c r="AC930" i="61"/>
  <c r="AC883" i="61"/>
  <c r="AC927" i="61"/>
  <c r="AC855" i="61"/>
  <c r="AC924" i="61"/>
  <c r="AC945" i="61"/>
  <c r="AC863" i="61"/>
  <c r="AC893" i="61"/>
  <c r="AC832" i="61"/>
  <c r="AC827" i="61"/>
  <c r="AC905" i="61"/>
  <c r="AC899" i="61"/>
  <c r="AC938" i="61"/>
  <c r="AC877" i="61"/>
  <c r="AC921" i="61"/>
  <c r="AC849" i="61"/>
  <c r="AC917" i="61"/>
  <c r="AC931" i="61"/>
  <c r="AC816" i="61"/>
  <c r="AC823" i="61"/>
  <c r="AC908" i="61"/>
  <c r="AC845" i="61"/>
  <c r="AC840" i="61"/>
  <c r="AC922" i="61"/>
  <c r="AC906" i="61"/>
  <c r="AC948" i="61"/>
  <c r="AC1530" i="61"/>
  <c r="AC865" i="61"/>
  <c r="AC909" i="61"/>
  <c r="AC837" i="61"/>
  <c r="AC950" i="61"/>
  <c r="AC943" i="61"/>
  <c r="AC846" i="61"/>
  <c r="AC878" i="61"/>
  <c r="AC838" i="61"/>
  <c r="AC826" i="61"/>
  <c r="AC875" i="61"/>
  <c r="AC828" i="61"/>
  <c r="AC942" i="61"/>
  <c r="AC947" i="61"/>
  <c r="AC859" i="61"/>
  <c r="AC903" i="61"/>
  <c r="AC831" i="61"/>
  <c r="AC914" i="61"/>
  <c r="AC949" i="61"/>
  <c r="AC829" i="61"/>
  <c r="AC900" i="61"/>
  <c r="AC851" i="61"/>
  <c r="AC839" i="61"/>
  <c r="AC882" i="61"/>
  <c r="AC841" i="61"/>
  <c r="AC941" i="61"/>
  <c r="AC897" i="61"/>
  <c r="AC825" i="61"/>
  <c r="AC820" i="61"/>
  <c r="AC916" i="61"/>
  <c r="AC858" i="61"/>
  <c r="AC852" i="61"/>
  <c r="AC912" i="61"/>
  <c r="AC862" i="61"/>
  <c r="AC934" i="61"/>
  <c r="AC919" i="61"/>
  <c r="AC891" i="61"/>
  <c r="AC819" i="61"/>
  <c r="AC860" i="61"/>
  <c r="AC817" i="61"/>
  <c r="AC880" i="61"/>
  <c r="AC874" i="61"/>
  <c r="AC821" i="61"/>
  <c r="AC869" i="61"/>
  <c r="AC935" i="61"/>
  <c r="AC913" i="61"/>
  <c r="AC885" i="61"/>
  <c r="AC813" i="61"/>
  <c r="AC870" i="61"/>
  <c r="AC830" i="61"/>
  <c r="AC887" i="61"/>
  <c r="AC881" i="61"/>
  <c r="AC834" i="61"/>
  <c r="AC876" i="61"/>
  <c r="AC928" i="61"/>
  <c r="AC907" i="61"/>
  <c r="AC879" i="61"/>
  <c r="AC926" i="61"/>
  <c r="AC925" i="61"/>
  <c r="AC892" i="61"/>
  <c r="AC850" i="61"/>
  <c r="AC894" i="61"/>
  <c r="AC888" i="61"/>
  <c r="AC847" i="61"/>
  <c r="AC822" i="61"/>
  <c r="AC936" i="61"/>
  <c r="AC901" i="61"/>
  <c r="AC873" i="61"/>
  <c r="AC940" i="61"/>
  <c r="AC853" i="61"/>
  <c r="AC842" i="61"/>
  <c r="AC857" i="61"/>
  <c r="AC902" i="61"/>
  <c r="AC911" i="61"/>
  <c r="AC854" i="61"/>
  <c r="AC835" i="61"/>
  <c r="AC944" i="61"/>
  <c r="AC895" i="61"/>
  <c r="AC867" i="61"/>
  <c r="AC932" i="61"/>
  <c r="AC933" i="61"/>
  <c r="AC872" i="61"/>
  <c r="AC864" i="61"/>
  <c r="AC918" i="61"/>
  <c r="AC904" i="61"/>
  <c r="AC890" i="61"/>
  <c r="AC848" i="61"/>
  <c r="AC1573" i="61"/>
  <c r="AC1577" i="61"/>
  <c r="AC1575" i="61"/>
  <c r="AC1569" i="61"/>
  <c r="AC1567" i="61"/>
  <c r="AC1566" i="61"/>
  <c r="AC1565" i="61"/>
  <c r="AC1563" i="61"/>
  <c r="AC1561" i="61"/>
  <c r="AC1574" i="61"/>
  <c r="AC1572" i="61"/>
  <c r="AC1399" i="61"/>
  <c r="AC1570" i="61"/>
  <c r="AC1579" i="61"/>
  <c r="AC955" i="61"/>
  <c r="AC980" i="61"/>
  <c r="AC1398" i="61"/>
  <c r="AC978" i="61"/>
  <c r="AC1571" i="61"/>
  <c r="AC1562" i="61"/>
  <c r="AC1560" i="61"/>
  <c r="AC1564" i="61"/>
  <c r="AC1035" i="61"/>
  <c r="AC1034" i="61"/>
  <c r="AC1027" i="61"/>
  <c r="AC1032" i="61"/>
  <c r="AC1401" i="61"/>
  <c r="AC1558" i="61"/>
  <c r="AC1559" i="61"/>
  <c r="AC1578" i="61"/>
  <c r="AC1394" i="61"/>
  <c r="AC972" i="61"/>
  <c r="AC1389" i="61"/>
  <c r="AC998" i="61"/>
  <c r="AC963" i="61"/>
  <c r="AC1393" i="61"/>
  <c r="AC1576" i="61"/>
  <c r="AC1400" i="61"/>
  <c r="AC1407" i="61"/>
  <c r="AC992" i="61"/>
  <c r="AC1050" i="61"/>
  <c r="AC994" i="61"/>
  <c r="AC957" i="61"/>
  <c r="AC1029" i="61"/>
  <c r="AC1060" i="61"/>
  <c r="AC1021" i="61"/>
  <c r="AC1396" i="61"/>
  <c r="AC1000" i="61"/>
  <c r="AC1052" i="61"/>
  <c r="AC1410" i="61"/>
  <c r="AC1026" i="61"/>
  <c r="AC965" i="61"/>
  <c r="AC969" i="61"/>
  <c r="AC1041" i="61"/>
  <c r="AC961" i="61"/>
  <c r="AC1033" i="61"/>
  <c r="AC988" i="61"/>
  <c r="AC984" i="61"/>
  <c r="AC1387" i="61"/>
  <c r="AC1043" i="61"/>
  <c r="AC1004" i="61"/>
  <c r="AC958" i="61"/>
  <c r="AC975" i="61"/>
  <c r="AC1047" i="61"/>
  <c r="AC967" i="61"/>
  <c r="AC1039" i="61"/>
  <c r="AC1007" i="61"/>
  <c r="AC1013" i="61"/>
  <c r="AC1406" i="61"/>
  <c r="AC1019" i="61"/>
  <c r="AC968" i="61"/>
  <c r="AC1049" i="61"/>
  <c r="AC1062" i="61"/>
  <c r="AC981" i="61"/>
  <c r="AC1053" i="61"/>
  <c r="AC973" i="61"/>
  <c r="AC1045" i="61"/>
  <c r="AC970" i="61"/>
  <c r="AC966" i="61"/>
  <c r="AC1012" i="61"/>
  <c r="AC1025" i="61"/>
  <c r="AC1046" i="61"/>
  <c r="AC987" i="61"/>
  <c r="AC1059" i="61"/>
  <c r="AC979" i="61"/>
  <c r="AC1051" i="61"/>
  <c r="AC1028" i="61"/>
  <c r="AC995" i="61"/>
  <c r="AC1391" i="61"/>
  <c r="AC990" i="61"/>
  <c r="AC1018" i="61"/>
  <c r="AC1010" i="61"/>
  <c r="AC1038" i="61"/>
  <c r="AC993" i="61"/>
  <c r="AC1024" i="61"/>
  <c r="AC985" i="61"/>
  <c r="AC1057" i="61"/>
  <c r="AC952" i="61"/>
  <c r="AC1044" i="61"/>
  <c r="AC983" i="61"/>
  <c r="AC996" i="61"/>
  <c r="AC974" i="61"/>
  <c r="AC1022" i="61"/>
  <c r="AC999" i="61"/>
  <c r="AC1030" i="61"/>
  <c r="AC991" i="61"/>
  <c r="AC1402" i="61"/>
  <c r="AC971" i="61"/>
  <c r="AC1014" i="61"/>
  <c r="AC1568" i="61"/>
  <c r="AC976" i="61"/>
  <c r="AC989" i="61"/>
  <c r="AC1055" i="61"/>
  <c r="AC986" i="61"/>
  <c r="AC1005" i="61"/>
  <c r="AC1036" i="61"/>
  <c r="AC997" i="61"/>
  <c r="AC1404" i="61"/>
  <c r="AC1040" i="61"/>
  <c r="AC977" i="61"/>
  <c r="AC1405" i="61"/>
  <c r="AC1403" i="61"/>
  <c r="AC1397" i="61"/>
  <c r="AC954" i="61"/>
  <c r="AC982" i="61"/>
  <c r="AC1031" i="61"/>
  <c r="AC1011" i="61"/>
  <c r="AC1042" i="61"/>
  <c r="AC1003" i="61"/>
  <c r="AC1409" i="61"/>
  <c r="AC1020" i="61"/>
  <c r="AC1006" i="61"/>
  <c r="AC956" i="61"/>
  <c r="AC1395" i="61"/>
  <c r="AC1392" i="61"/>
  <c r="AC1388" i="61"/>
  <c r="AC1061" i="61"/>
  <c r="AC960" i="61"/>
  <c r="AC1008" i="61"/>
  <c r="AC1017" i="61"/>
  <c r="AC1048" i="61"/>
  <c r="AC1009" i="61"/>
  <c r="AC1386" i="61"/>
  <c r="AC964" i="61"/>
  <c r="AC1056" i="61"/>
  <c r="AC1016" i="61"/>
  <c r="AC1390" i="61"/>
  <c r="AC1408" i="61"/>
  <c r="AC1037" i="61"/>
  <c r="AC1058" i="61"/>
  <c r="AC953" i="61"/>
  <c r="AC1001" i="61"/>
  <c r="AC951" i="61"/>
  <c r="AC1023" i="61"/>
  <c r="AC1054" i="61"/>
  <c r="AC1015" i="61"/>
  <c r="AC959" i="61"/>
  <c r="AC1002" i="61"/>
  <c r="AC962" i="61"/>
  <c r="AD1239" i="61"/>
  <c r="AD1289" i="61"/>
  <c r="AD1240" i="61"/>
  <c r="AD1232" i="61"/>
  <c r="AD1204" i="61"/>
  <c r="AD1244" i="61"/>
  <c r="AD1271" i="61"/>
  <c r="AD1213" i="61"/>
  <c r="AD1280" i="61"/>
  <c r="AD1255" i="61"/>
  <c r="AD1209" i="61"/>
  <c r="AC844" i="61"/>
  <c r="AC824" i="61"/>
  <c r="AC496" i="61"/>
  <c r="AC514" i="61"/>
  <c r="AC687" i="61"/>
  <c r="AC477" i="61"/>
  <c r="AC1453" i="61"/>
  <c r="AC1581" i="61"/>
  <c r="AC1455" i="61"/>
  <c r="AC1441" i="61"/>
  <c r="AC1445" i="61"/>
  <c r="AC1587" i="61"/>
  <c r="AC1580" i="61"/>
  <c r="AC1585" i="61"/>
  <c r="AC1584" i="61"/>
  <c r="AC1465" i="61"/>
  <c r="AC1469" i="61"/>
  <c r="AC1467" i="61"/>
  <c r="AC1583" i="61"/>
  <c r="AC1586" i="61"/>
  <c r="AC1443" i="61"/>
  <c r="AC1458" i="61"/>
  <c r="AC1454" i="61"/>
  <c r="AC1451" i="61"/>
  <c r="AC1107" i="61"/>
  <c r="AC1093" i="61"/>
  <c r="AC1582" i="61"/>
  <c r="AC1075" i="61"/>
  <c r="AC1109" i="61"/>
  <c r="AC1074" i="61"/>
  <c r="AC1161" i="61"/>
  <c r="AC1147" i="61"/>
  <c r="AC1179" i="61"/>
  <c r="AC1165" i="61"/>
  <c r="AC1096" i="61"/>
  <c r="AC1112" i="61"/>
  <c r="AC1091" i="61"/>
  <c r="AC1114" i="61"/>
  <c r="AC1130" i="61"/>
  <c r="AC1168" i="61"/>
  <c r="AC1184" i="61"/>
  <c r="AC1186" i="61"/>
  <c r="AC1086" i="61"/>
  <c r="AC1163" i="61"/>
  <c r="AC1181" i="61"/>
  <c r="AC1146" i="61"/>
  <c r="AC1164" i="61"/>
  <c r="AC1089" i="61"/>
  <c r="AC1269" i="61"/>
  <c r="AC1470" i="61"/>
  <c r="AC1447" i="61"/>
  <c r="AC1471" i="61"/>
  <c r="AC1449" i="61"/>
  <c r="AC1462" i="61"/>
  <c r="AC1446" i="61"/>
  <c r="AC1457" i="61"/>
  <c r="AC1464" i="61"/>
  <c r="AC1459" i="61"/>
  <c r="AC1456" i="61"/>
  <c r="AC1461" i="61"/>
  <c r="AC1448" i="61"/>
  <c r="AC1442" i="61"/>
  <c r="AC1439" i="61"/>
  <c r="AC1463" i="61"/>
  <c r="AC1440" i="61"/>
  <c r="AC1415" i="61"/>
  <c r="AC1178" i="61"/>
  <c r="AC1366" i="61"/>
  <c r="AC1098" i="61"/>
  <c r="AC1103" i="61"/>
  <c r="AC1095" i="61"/>
  <c r="AC1167" i="61"/>
  <c r="AC1102" i="61"/>
  <c r="AC1174" i="61"/>
  <c r="AC1169" i="61"/>
  <c r="AC1152" i="61"/>
  <c r="AC1081" i="61"/>
  <c r="AC1153" i="61"/>
  <c r="AC1118" i="61"/>
  <c r="AC1190" i="61"/>
  <c r="AC1082" i="61"/>
  <c r="AC1094" i="61"/>
  <c r="AC1101" i="61"/>
  <c r="AC1173" i="61"/>
  <c r="AC1108" i="61"/>
  <c r="AC1180" i="61"/>
  <c r="AC1175" i="61"/>
  <c r="AC1158" i="61"/>
  <c r="AC1087" i="61"/>
  <c r="AC1159" i="61"/>
  <c r="AC1124" i="61"/>
  <c r="AC1196" i="61"/>
  <c r="AC1588" i="61"/>
  <c r="AC1067" i="61"/>
  <c r="AC1079" i="61"/>
  <c r="AC1070" i="61"/>
  <c r="AC1113" i="61"/>
  <c r="AC1185" i="61"/>
  <c r="AC1120" i="61"/>
  <c r="AC1192" i="61"/>
  <c r="AC1187" i="61"/>
  <c r="AC1170" i="61"/>
  <c r="AC1099" i="61"/>
  <c r="AC1171" i="61"/>
  <c r="AC1136" i="61"/>
  <c r="AC1314" i="61"/>
  <c r="AC1119" i="61"/>
  <c r="AC1191" i="61"/>
  <c r="AC1126" i="61"/>
  <c r="AC1198" i="61"/>
  <c r="AC1193" i="61"/>
  <c r="AC1176" i="61"/>
  <c r="AC1105" i="61"/>
  <c r="AC1177" i="61"/>
  <c r="AC1142" i="61"/>
  <c r="AC1125" i="61"/>
  <c r="AC1197" i="61"/>
  <c r="AC1132" i="61"/>
  <c r="AC1127" i="61"/>
  <c r="AC1199" i="61"/>
  <c r="AC1182" i="61"/>
  <c r="AC1111" i="61"/>
  <c r="AC1183" i="61"/>
  <c r="AC1148" i="61"/>
  <c r="AC1110" i="61"/>
  <c r="AC1131" i="61"/>
  <c r="AC1066" i="61"/>
  <c r="AC1138" i="61"/>
  <c r="AC1133" i="61"/>
  <c r="AC1116" i="61"/>
  <c r="AC1188" i="61"/>
  <c r="AC1117" i="61"/>
  <c r="AC1189" i="61"/>
  <c r="AC1154" i="61"/>
  <c r="AC1085" i="61"/>
  <c r="AC1065" i="61"/>
  <c r="AC1137" i="61"/>
  <c r="AC1072" i="61"/>
  <c r="AC1144" i="61"/>
  <c r="AC1139" i="61"/>
  <c r="AC1122" i="61"/>
  <c r="AC1194" i="61"/>
  <c r="AC1123" i="61"/>
  <c r="AC1195" i="61"/>
  <c r="AC1160" i="61"/>
  <c r="AC1115" i="61"/>
  <c r="AC1071" i="61"/>
  <c r="AC1143" i="61"/>
  <c r="AC1078" i="61"/>
  <c r="AC1150" i="61"/>
  <c r="AC1145" i="61"/>
  <c r="AC1128" i="61"/>
  <c r="AC1200" i="61"/>
  <c r="AC1129" i="61"/>
  <c r="AC1201" i="61"/>
  <c r="AC1166" i="61"/>
  <c r="AC1097" i="61"/>
  <c r="AC1077" i="61"/>
  <c r="AC1149" i="61"/>
  <c r="AC1084" i="61"/>
  <c r="AC1156" i="61"/>
  <c r="AC1151" i="61"/>
  <c r="AC1134" i="61"/>
  <c r="AC1063" i="61"/>
  <c r="AC1135" i="61"/>
  <c r="AC1100" i="61"/>
  <c r="AC1172" i="61"/>
  <c r="AC1076" i="61"/>
  <c r="AC1073" i="61"/>
  <c r="AC1083" i="61"/>
  <c r="AC1155" i="61"/>
  <c r="AC1090" i="61"/>
  <c r="AC1162" i="61"/>
  <c r="AC1157" i="61"/>
  <c r="AC1140" i="61"/>
  <c r="AC1069" i="61"/>
  <c r="AC1141" i="61"/>
  <c r="AC1106" i="61"/>
  <c r="AC1466" i="61"/>
  <c r="AC1282" i="61"/>
  <c r="AC1375" i="61"/>
  <c r="AC1306" i="61"/>
  <c r="AC1358" i="61"/>
  <c r="AC1287" i="61"/>
  <c r="AC1225" i="61"/>
  <c r="AC1334" i="61"/>
  <c r="AC1303" i="61"/>
  <c r="AC1384" i="61"/>
  <c r="AC1275" i="61"/>
  <c r="AC1378" i="61"/>
  <c r="AC1258" i="61"/>
  <c r="AC1064" i="61"/>
  <c r="AC1121" i="61"/>
  <c r="AC1088" i="61"/>
  <c r="AC1068" i="61"/>
  <c r="AC1080" i="61"/>
  <c r="AC1092" i="61"/>
  <c r="AC1104" i="61"/>
  <c r="AC1280" i="61"/>
  <c r="AC1452" i="61"/>
  <c r="AC1319" i="61"/>
  <c r="AC1263" i="61"/>
  <c r="AC1252" i="61"/>
  <c r="AC1271" i="61"/>
  <c r="AC1308" i="61"/>
  <c r="AC1286" i="61"/>
  <c r="AD1327" i="61"/>
  <c r="AD1311" i="61"/>
  <c r="AD1279" i="61"/>
  <c r="AD1341" i="61"/>
  <c r="AD1272" i="61"/>
  <c r="AD1233" i="61"/>
  <c r="AD1246" i="61"/>
  <c r="AD1291" i="61"/>
  <c r="AD1260" i="61"/>
  <c r="AD1214" i="61"/>
  <c r="AD1203" i="61"/>
  <c r="AD1227" i="61"/>
  <c r="AD1335" i="61"/>
  <c r="AD1284" i="61"/>
  <c r="AD1267" i="61"/>
  <c r="AD1259" i="61"/>
  <c r="AD1254" i="61"/>
  <c r="AD1218" i="61"/>
  <c r="AD1229" i="61"/>
  <c r="AD1261" i="61"/>
  <c r="AD1226" i="61"/>
  <c r="AD1264" i="61"/>
  <c r="AD1262" i="61"/>
  <c r="AC1450" i="61"/>
  <c r="AC1327" i="61"/>
  <c r="AC1281" i="61"/>
  <c r="AC1321" i="61"/>
  <c r="AC1330" i="61"/>
  <c r="AC1231" i="61"/>
  <c r="AD1343" i="61"/>
  <c r="AD1337" i="61"/>
  <c r="AD1243" i="61"/>
  <c r="AD1268" i="61"/>
  <c r="AD1263" i="61"/>
  <c r="AD1228" i="61"/>
  <c r="AD1321" i="61"/>
  <c r="AD1317" i="61"/>
  <c r="AD1223" i="61"/>
  <c r="AD1315" i="61"/>
  <c r="AD1301" i="61"/>
  <c r="AC1411" i="61"/>
  <c r="AC1288" i="61"/>
  <c r="AC1329" i="61"/>
  <c r="AC1368" i="61"/>
  <c r="AC1267" i="61"/>
  <c r="AD1319" i="61"/>
  <c r="AD1305" i="61"/>
  <c r="AD1325" i="61"/>
  <c r="AD1252" i="61"/>
  <c r="AD1248" i="61"/>
  <c r="AD1216" i="61"/>
  <c r="AD1274" i="61"/>
  <c r="AD1234" i="61"/>
  <c r="AD1208" i="61"/>
  <c r="AD1251" i="61"/>
  <c r="AD1225" i="61"/>
  <c r="AD1220" i="61"/>
  <c r="AC1328" i="61"/>
  <c r="AC1337" i="61"/>
  <c r="AC1315" i="61"/>
  <c r="AC1301" i="61"/>
  <c r="AD1281" i="61"/>
  <c r="AD1295" i="61"/>
  <c r="AD1349" i="61"/>
  <c r="AD1249" i="61"/>
  <c r="AD1222" i="61"/>
  <c r="AD1273" i="61"/>
  <c r="AD1221" i="61"/>
  <c r="AD1275" i="61"/>
  <c r="AD1287" i="61"/>
  <c r="AC1381" i="61"/>
  <c r="AC1376" i="61"/>
  <c r="AC1362" i="61"/>
  <c r="AC1311" i="61"/>
  <c r="AC1336" i="61"/>
  <c r="AC1345" i="61"/>
  <c r="AC1323" i="61"/>
  <c r="AC1309" i="61"/>
  <c r="AD1269" i="61"/>
  <c r="AD1277" i="61"/>
  <c r="AD1283" i="61"/>
  <c r="AD1231" i="61"/>
  <c r="AD1210" i="61"/>
  <c r="AD1235" i="61"/>
  <c r="AD1339" i="61"/>
  <c r="AD1219" i="61"/>
  <c r="AD1238" i="61"/>
  <c r="AC1365" i="61"/>
  <c r="AC1335" i="61"/>
  <c r="AC1344" i="61"/>
  <c r="AC1382" i="61"/>
  <c r="AC1385" i="61"/>
  <c r="AC1359" i="61"/>
  <c r="AD1257" i="61"/>
  <c r="AD1285" i="61"/>
  <c r="AD1258" i="61"/>
  <c r="AD1215" i="61"/>
  <c r="AD1293" i="61"/>
  <c r="AD1211" i="61"/>
  <c r="AD1217" i="61"/>
  <c r="AC1351" i="61"/>
  <c r="AC1353" i="61"/>
  <c r="AC1229" i="61"/>
  <c r="AC1230" i="61"/>
  <c r="AC1208" i="61"/>
  <c r="AD1245" i="61"/>
  <c r="AD1265" i="61"/>
  <c r="AD1237" i="61"/>
  <c r="AD1202" i="61"/>
  <c r="AD1323" i="61"/>
  <c r="AD1247" i="61"/>
  <c r="AD1256" i="61"/>
  <c r="AC1203" i="61"/>
  <c r="AC1210" i="61"/>
  <c r="AC1235" i="61"/>
  <c r="AC1236" i="61"/>
  <c r="AC1214" i="61"/>
  <c r="AD1331" i="61"/>
  <c r="AD1250" i="61"/>
  <c r="AD1230" i="61"/>
  <c r="AD1206" i="61"/>
  <c r="AD1212" i="61"/>
  <c r="AC1468" i="61"/>
  <c r="AC1343" i="61"/>
  <c r="AC1209" i="61"/>
  <c r="AC1240" i="61"/>
  <c r="AC1241" i="61"/>
  <c r="AC1272" i="61"/>
  <c r="AC1250" i="61"/>
  <c r="AD1307" i="61"/>
  <c r="AD1333" i="61"/>
  <c r="AD1236" i="61"/>
  <c r="AD1276" i="61"/>
  <c r="AD1313" i="61"/>
  <c r="AD1297" i="61"/>
  <c r="AD1207" i="61"/>
  <c r="AD1278" i="61"/>
  <c r="AD1329" i="61"/>
  <c r="AD1242" i="61"/>
  <c r="AC1377" i="61"/>
  <c r="AC1233" i="61"/>
  <c r="AC1246" i="61"/>
  <c r="AC1247" i="61"/>
  <c r="AC1300" i="61"/>
  <c r="AD1357" i="61"/>
  <c r="AD1381" i="61"/>
  <c r="AD1299" i="61"/>
  <c r="AD1224" i="61"/>
  <c r="AD1345" i="61"/>
  <c r="AD1253" i="61"/>
  <c r="AD1270" i="61"/>
  <c r="AD1347" i="61"/>
  <c r="AD1241" i="61"/>
  <c r="AD1365" i="61"/>
  <c r="AD1309" i="61"/>
  <c r="AC1361" i="61"/>
  <c r="AC1257" i="61"/>
  <c r="AC1320" i="61"/>
  <c r="AC1234" i="61"/>
  <c r="AC1313" i="61"/>
  <c r="AC1223" i="61"/>
  <c r="AC1298" i="61"/>
  <c r="AC1307" i="61"/>
  <c r="AC1224" i="61"/>
  <c r="AC1292" i="61"/>
  <c r="AC1219" i="61"/>
  <c r="AC1293" i="61"/>
  <c r="AC1202" i="61"/>
  <c r="AC1274" i="61"/>
  <c r="AC1374" i="61"/>
  <c r="AC1322" i="61"/>
  <c r="AC1331" i="61"/>
  <c r="AC1242" i="61"/>
  <c r="AC1316" i="61"/>
  <c r="AC1237" i="61"/>
  <c r="AC1317" i="61"/>
  <c r="AC1220" i="61"/>
  <c r="AC1294" i="61"/>
  <c r="AC1339" i="61"/>
  <c r="AC1248" i="61"/>
  <c r="AC1324" i="61"/>
  <c r="AC1243" i="61"/>
  <c r="AC1325" i="61"/>
  <c r="AC1226" i="61"/>
  <c r="AC1302" i="61"/>
  <c r="AC1215" i="61"/>
  <c r="AC1352" i="61"/>
  <c r="AC1364" i="61"/>
  <c r="AC1264" i="61"/>
  <c r="AC1354" i="61"/>
  <c r="AC1253" i="61"/>
  <c r="AC1338" i="61"/>
  <c r="AC1347" i="61"/>
  <c r="AC1254" i="61"/>
  <c r="AC1332" i="61"/>
  <c r="AC1249" i="61"/>
  <c r="AC1333" i="61"/>
  <c r="AC1232" i="61"/>
  <c r="AC1310" i="61"/>
  <c r="AC1221" i="61"/>
  <c r="AC1363" i="61"/>
  <c r="AC1380" i="61"/>
  <c r="AC1270" i="61"/>
  <c r="AC1355" i="61"/>
  <c r="AC1259" i="61"/>
  <c r="AC1346" i="61"/>
  <c r="AC1357" i="61"/>
  <c r="AC1260" i="61"/>
  <c r="AC1340" i="61"/>
  <c r="AC1255" i="61"/>
  <c r="AC1341" i="61"/>
  <c r="AC1238" i="61"/>
  <c r="AC1318" i="61"/>
  <c r="AC1227" i="61"/>
  <c r="AC1379" i="61"/>
  <c r="AC1204" i="61"/>
  <c r="AC1276" i="61"/>
  <c r="AC1367" i="61"/>
  <c r="AC1265" i="61"/>
  <c r="AC1356" i="61"/>
  <c r="AC1369" i="61"/>
  <c r="AC1266" i="61"/>
  <c r="AC1348" i="61"/>
  <c r="AC1261" i="61"/>
  <c r="AC1349" i="61"/>
  <c r="AC1244" i="61"/>
  <c r="AC1326" i="61"/>
  <c r="AC1239" i="61"/>
  <c r="AC1296" i="61"/>
  <c r="AC1216" i="61"/>
  <c r="AC1289" i="61"/>
  <c r="AC1205" i="61"/>
  <c r="AC1277" i="61"/>
  <c r="AC1383" i="61"/>
  <c r="AC1206" i="61"/>
  <c r="AC1278" i="61"/>
  <c r="AC1371" i="61"/>
  <c r="AC1273" i="61"/>
  <c r="AC1372" i="61"/>
  <c r="AC1256" i="61"/>
  <c r="AC1342" i="61"/>
  <c r="AC1245" i="61"/>
  <c r="AC1304" i="61"/>
  <c r="AC1222" i="61"/>
  <c r="AC1297" i="61"/>
  <c r="AC1211" i="61"/>
  <c r="AC1283" i="61"/>
  <c r="AC1291" i="61"/>
  <c r="AC1212" i="61"/>
  <c r="AC1284" i="61"/>
  <c r="AC1207" i="61"/>
  <c r="AC1279" i="61"/>
  <c r="AC1360" i="61"/>
  <c r="AC1262" i="61"/>
  <c r="AC1350" i="61"/>
  <c r="AC1251" i="61"/>
  <c r="AC1312" i="61"/>
  <c r="AC1228" i="61"/>
  <c r="AC1305" i="61"/>
  <c r="AC1217" i="61"/>
  <c r="AC1290" i="61"/>
  <c r="AC1299" i="61"/>
  <c r="AC1218" i="61"/>
  <c r="AC1370" i="61"/>
  <c r="AC1213" i="61"/>
  <c r="AC1285" i="61"/>
  <c r="AC1373" i="61"/>
  <c r="AC1268" i="61"/>
  <c r="AC1295" i="61"/>
  <c r="AC1460" i="61"/>
  <c r="AC1413" i="61"/>
  <c r="AC1444" i="61"/>
  <c r="AC1472" i="61"/>
  <c r="AC1414" i="61"/>
  <c r="AC1412" i="61"/>
  <c r="AC288" i="61"/>
  <c r="AC391" i="61"/>
  <c r="AC464" i="61"/>
  <c r="AC223" i="61"/>
  <c r="AC368" i="61"/>
  <c r="AC344" i="61"/>
  <c r="AC255" i="61"/>
  <c r="AC184" i="61"/>
  <c r="AC183" i="61"/>
  <c r="AC246" i="61"/>
  <c r="AC374" i="61"/>
  <c r="AC213" i="61"/>
  <c r="AC451" i="61"/>
  <c r="AC318" i="61"/>
  <c r="AC440" i="61"/>
  <c r="AC285" i="61"/>
  <c r="AC432" i="61"/>
  <c r="AC360" i="61"/>
  <c r="AC170" i="61"/>
  <c r="AC327" i="61"/>
  <c r="AC390" i="61"/>
  <c r="AC425" i="61"/>
  <c r="AC200" i="61"/>
  <c r="AC357" i="61"/>
  <c r="AC455" i="61"/>
  <c r="AC419" i="61"/>
  <c r="AC242" i="61"/>
  <c r="AC448" i="61"/>
  <c r="AC151" i="61"/>
  <c r="AC272" i="61"/>
  <c r="AC395" i="61"/>
  <c r="AC193" i="61"/>
  <c r="AC314" i="61"/>
  <c r="AC416" i="61"/>
  <c r="AC379" i="61"/>
  <c r="AC144" i="61"/>
  <c r="AC265" i="61"/>
  <c r="AC421" i="61"/>
  <c r="AC174" i="61"/>
  <c r="AC295" i="61"/>
  <c r="AC141" i="61"/>
  <c r="AC216" i="61"/>
  <c r="AC337" i="61"/>
  <c r="AC345" i="61"/>
  <c r="AC438" i="61"/>
  <c r="AC442" i="61"/>
  <c r="AC371" i="61"/>
  <c r="AC168" i="61"/>
  <c r="AC240" i="61"/>
  <c r="AC312" i="61"/>
  <c r="AC412" i="61"/>
  <c r="AC145" i="61"/>
  <c r="AC217" i="61"/>
  <c r="AC289" i="61"/>
  <c r="AC361" i="61"/>
  <c r="AC427" i="61"/>
  <c r="AC194" i="61"/>
  <c r="AC266" i="61"/>
  <c r="AC338" i="61"/>
  <c r="AC454" i="61"/>
  <c r="AC207" i="61"/>
  <c r="AC279" i="61"/>
  <c r="AC351" i="61"/>
  <c r="AC323" i="61"/>
  <c r="AC426" i="61"/>
  <c r="AC428" i="61"/>
  <c r="AC436" i="61"/>
  <c r="AC398" i="61"/>
  <c r="AC404" i="61"/>
  <c r="AC180" i="61"/>
  <c r="AC252" i="61"/>
  <c r="AC324" i="61"/>
  <c r="AC445" i="61"/>
  <c r="AC157" i="61"/>
  <c r="AC229" i="61"/>
  <c r="AC301" i="61"/>
  <c r="AC387" i="61"/>
  <c r="AC453" i="61"/>
  <c r="AC206" i="61"/>
  <c r="AC278" i="61"/>
  <c r="AC350" i="61"/>
  <c r="AC147" i="61"/>
  <c r="AC219" i="61"/>
  <c r="AC291" i="61"/>
  <c r="AC363" i="61"/>
  <c r="AC178" i="61"/>
  <c r="AC403" i="61"/>
  <c r="AC420" i="61"/>
  <c r="AC383" i="61"/>
  <c r="AC418" i="61"/>
  <c r="AC353" i="61"/>
  <c r="AC417" i="61"/>
  <c r="AC186" i="61"/>
  <c r="AC258" i="61"/>
  <c r="AC330" i="61"/>
  <c r="AC458" i="61"/>
  <c r="AC163" i="61"/>
  <c r="AC235" i="61"/>
  <c r="AC307" i="61"/>
  <c r="AC400" i="61"/>
  <c r="AC140" i="61"/>
  <c r="AC212" i="61"/>
  <c r="AC284" i="61"/>
  <c r="AC356" i="61"/>
  <c r="AC153" i="61"/>
  <c r="AC225" i="61"/>
  <c r="AC297" i="61"/>
  <c r="AC376" i="61"/>
  <c r="AC414" i="61"/>
  <c r="AC365" i="61"/>
  <c r="AC430" i="61"/>
  <c r="AC192" i="61"/>
  <c r="AC264" i="61"/>
  <c r="AC336" i="61"/>
  <c r="AC367" i="61"/>
  <c r="AC169" i="61"/>
  <c r="AC241" i="61"/>
  <c r="AC313" i="61"/>
  <c r="AC413" i="61"/>
  <c r="AC146" i="61"/>
  <c r="AC218" i="61"/>
  <c r="AC290" i="61"/>
  <c r="AC362" i="61"/>
  <c r="AC159" i="61"/>
  <c r="AC231" i="61"/>
  <c r="AC303" i="61"/>
  <c r="AC389" i="61"/>
  <c r="AC408" i="61"/>
  <c r="AC411" i="61"/>
  <c r="AC347" i="61"/>
  <c r="AC441" i="61"/>
  <c r="AC443" i="61"/>
  <c r="AC198" i="61"/>
  <c r="AC270" i="61"/>
  <c r="AC342" i="61"/>
  <c r="AC380" i="61"/>
  <c r="AC175" i="61"/>
  <c r="AC247" i="61"/>
  <c r="AC319" i="61"/>
  <c r="AC433" i="61"/>
  <c r="AC152" i="61"/>
  <c r="AC224" i="61"/>
  <c r="AC296" i="61"/>
  <c r="AC375" i="61"/>
  <c r="AC165" i="61"/>
  <c r="AC237" i="61"/>
  <c r="AC309" i="61"/>
  <c r="AC409" i="61"/>
  <c r="AC262" i="61"/>
  <c r="AC298" i="61"/>
  <c r="AC402" i="61"/>
  <c r="AC415" i="61"/>
  <c r="AC463" i="61"/>
  <c r="AC204" i="61"/>
  <c r="AC276" i="61"/>
  <c r="AC348" i="61"/>
  <c r="AC393" i="61"/>
  <c r="AC181" i="61"/>
  <c r="AC253" i="61"/>
  <c r="AC325" i="61"/>
  <c r="AC446" i="61"/>
  <c r="AC158" i="61"/>
  <c r="AC230" i="61"/>
  <c r="AC302" i="61"/>
  <c r="AC388" i="61"/>
  <c r="AC171" i="61"/>
  <c r="AC243" i="61"/>
  <c r="AC315" i="61"/>
  <c r="AC422" i="61"/>
  <c r="AC257" i="61"/>
  <c r="AC396" i="61"/>
  <c r="AC397" i="61"/>
  <c r="AC457" i="61"/>
  <c r="AC138" i="61"/>
  <c r="AC210" i="61"/>
  <c r="AC282" i="61"/>
  <c r="AC354" i="61"/>
  <c r="AC406" i="61"/>
  <c r="AC187" i="61"/>
  <c r="AC259" i="61"/>
  <c r="AC331" i="61"/>
  <c r="AC459" i="61"/>
  <c r="AC164" i="61"/>
  <c r="AC236" i="61"/>
  <c r="AC308" i="61"/>
  <c r="AC401" i="61"/>
  <c r="AC177" i="61"/>
  <c r="AC249" i="61"/>
  <c r="AC321" i="61"/>
  <c r="AC435" i="61"/>
  <c r="AC142" i="61"/>
  <c r="AC155" i="61"/>
  <c r="AC456" i="61"/>
  <c r="AC384" i="61"/>
  <c r="AC382" i="61"/>
  <c r="AC424" i="61"/>
  <c r="AC352" i="61"/>
  <c r="AC385" i="61"/>
  <c r="AC150" i="61"/>
  <c r="AC222" i="61"/>
  <c r="AC294" i="61"/>
  <c r="AC373" i="61"/>
  <c r="AC439" i="61"/>
  <c r="AC199" i="61"/>
  <c r="AC271" i="61"/>
  <c r="AC343" i="61"/>
  <c r="AC381" i="61"/>
  <c r="AC176" i="61"/>
  <c r="AC248" i="61"/>
  <c r="AC320" i="61"/>
  <c r="AC434" i="61"/>
  <c r="AC189" i="61"/>
  <c r="AC261" i="61"/>
  <c r="AC333" i="61"/>
  <c r="AC461" i="61"/>
  <c r="AC316" i="61"/>
  <c r="AC450" i="61"/>
  <c r="AC378" i="61"/>
  <c r="AC370" i="61"/>
  <c r="AC462" i="61"/>
  <c r="AC156" i="61"/>
  <c r="AC228" i="61"/>
  <c r="AC300" i="61"/>
  <c r="AC386" i="61"/>
  <c r="AC452" i="61"/>
  <c r="AC205" i="61"/>
  <c r="AC277" i="61"/>
  <c r="AC349" i="61"/>
  <c r="AC394" i="61"/>
  <c r="AC182" i="61"/>
  <c r="AC254" i="61"/>
  <c r="AC326" i="61"/>
  <c r="AC447" i="61"/>
  <c r="AC195" i="61"/>
  <c r="AC267" i="61"/>
  <c r="AC339" i="61"/>
  <c r="AC444" i="61"/>
  <c r="AC366" i="61"/>
  <c r="AC372" i="61"/>
  <c r="AC162" i="61"/>
  <c r="AC234" i="61"/>
  <c r="AC306" i="61"/>
  <c r="AC399" i="61"/>
  <c r="AC139" i="61"/>
  <c r="AC211" i="61"/>
  <c r="AC283" i="61"/>
  <c r="AC355" i="61"/>
  <c r="AC407" i="61"/>
  <c r="AC188" i="61"/>
  <c r="AC260" i="61"/>
  <c r="AC332" i="61"/>
  <c r="AC460" i="61"/>
  <c r="AC201" i="61"/>
  <c r="AC273" i="61"/>
  <c r="AC310" i="61"/>
  <c r="AC179" i="61"/>
  <c r="AC203" i="61"/>
  <c r="AC405" i="61"/>
  <c r="AC238" i="61"/>
  <c r="AC143" i="61"/>
  <c r="AC286" i="61"/>
  <c r="AC232" i="61"/>
  <c r="AC281" i="61"/>
  <c r="AC340" i="61"/>
  <c r="AC154" i="61"/>
  <c r="AC293" i="61"/>
  <c r="AC359" i="61"/>
  <c r="AC209" i="61"/>
  <c r="AC233" i="61"/>
  <c r="AC275" i="61"/>
  <c r="AC245" i="61"/>
  <c r="AC410" i="61"/>
  <c r="AC437" i="61"/>
  <c r="AC269" i="61"/>
  <c r="AC322" i="61"/>
  <c r="AC287" i="61"/>
  <c r="AC161" i="61"/>
  <c r="AC423" i="61"/>
  <c r="AC208" i="61"/>
  <c r="AC221" i="61"/>
  <c r="AC292" i="61"/>
  <c r="AC137" i="61"/>
  <c r="AC185" i="61"/>
  <c r="AC196" i="61"/>
  <c r="AC148" i="61"/>
  <c r="AC268" i="61"/>
  <c r="AC160" i="61"/>
  <c r="AC173" i="61"/>
  <c r="AC274" i="61"/>
  <c r="AC202" i="61"/>
  <c r="AC172" i="61"/>
  <c r="AC244" i="61"/>
  <c r="AC329" i="61"/>
  <c r="AC429" i="61"/>
  <c r="AC369" i="61"/>
  <c r="AC149" i="61"/>
  <c r="AC220" i="61"/>
  <c r="AC358" i="61"/>
  <c r="AC190" i="61"/>
  <c r="AC311" i="61"/>
  <c r="AC280" i="61"/>
  <c r="AC197" i="61"/>
  <c r="AC250" i="61"/>
  <c r="AC335" i="61"/>
  <c r="AC334" i="61"/>
  <c r="AC392" i="61"/>
  <c r="AC317" i="61"/>
  <c r="AC431" i="61"/>
  <c r="AC304" i="61"/>
  <c r="AC299" i="61"/>
  <c r="AC167" i="61"/>
  <c r="AC239" i="61"/>
  <c r="AC377" i="61"/>
  <c r="AC364" i="61"/>
  <c r="AC256" i="61"/>
  <c r="AC251" i="61"/>
  <c r="AC215" i="61"/>
  <c r="AC263" i="61"/>
  <c r="AC449" i="61"/>
  <c r="AC341" i="61"/>
  <c r="AC328" i="61"/>
  <c r="AC227" i="61"/>
  <c r="AC226" i="61"/>
  <c r="AC214" i="61"/>
  <c r="AC191" i="61"/>
  <c r="AC166" i="61"/>
  <c r="AC346" i="61"/>
  <c r="AC305" i="61"/>
  <c r="W9" i="61"/>
  <c r="E20" i="68" s="1"/>
  <c r="E24" i="68" s="1"/>
  <c r="E32" i="68" s="1"/>
  <c r="D148" i="77"/>
  <c r="D145" i="77"/>
  <c r="D142" i="77"/>
  <c r="D139" i="77"/>
  <c r="D136" i="77"/>
  <c r="D109" i="77"/>
  <c r="D133" i="77"/>
  <c r="D130" i="77"/>
  <c r="D127" i="77"/>
  <c r="D124" i="77"/>
  <c r="D121" i="77"/>
  <c r="D118" i="77"/>
  <c r="D115" i="77"/>
  <c r="D112" i="77"/>
  <c r="D106" i="77"/>
  <c r="D100" i="77"/>
  <c r="D97" i="77"/>
  <c r="D94" i="77"/>
  <c r="D91" i="77"/>
  <c r="D88" i="77"/>
  <c r="D85" i="77"/>
  <c r="D82" i="77"/>
  <c r="D76" i="77"/>
  <c r="D73" i="77"/>
  <c r="D70" i="77"/>
  <c r="D67" i="77"/>
  <c r="B65" i="77"/>
  <c r="G54" i="77"/>
  <c r="F54" i="77"/>
  <c r="E54" i="77"/>
  <c r="G53" i="77"/>
  <c r="F53" i="77"/>
  <c r="E53" i="77"/>
  <c r="G52" i="77"/>
  <c r="F52" i="77"/>
  <c r="E52" i="77"/>
  <c r="G51" i="77"/>
  <c r="F51" i="77"/>
  <c r="E51" i="77"/>
  <c r="G50" i="77"/>
  <c r="F50" i="77"/>
  <c r="E50" i="77"/>
  <c r="G41" i="77"/>
  <c r="F41" i="77"/>
  <c r="G49" i="77"/>
  <c r="F49" i="77"/>
  <c r="E49" i="77"/>
  <c r="G48" i="77"/>
  <c r="F48" i="77"/>
  <c r="E48" i="77"/>
  <c r="G47" i="77"/>
  <c r="F47" i="77"/>
  <c r="E47" i="77"/>
  <c r="G46" i="77"/>
  <c r="F46" i="77"/>
  <c r="E46" i="77"/>
  <c r="G45" i="77"/>
  <c r="F45" i="77"/>
  <c r="E45" i="77"/>
  <c r="G44" i="77"/>
  <c r="F44" i="77"/>
  <c r="E44" i="77"/>
  <c r="G43" i="77"/>
  <c r="F43" i="77"/>
  <c r="E43" i="77"/>
  <c r="G42" i="77"/>
  <c r="F42" i="77"/>
  <c r="E42" i="77"/>
  <c r="G40" i="77"/>
  <c r="F40" i="77"/>
  <c r="E40" i="77"/>
  <c r="G39" i="77"/>
  <c r="F39" i="77"/>
  <c r="E39" i="77"/>
  <c r="G37" i="77"/>
  <c r="F37" i="77"/>
  <c r="E37" i="77"/>
  <c r="G36" i="77"/>
  <c r="F36" i="77"/>
  <c r="E36" i="77"/>
  <c r="G35" i="77"/>
  <c r="F35" i="77"/>
  <c r="E35" i="77"/>
  <c r="G34" i="77"/>
  <c r="F34" i="77"/>
  <c r="E34" i="77"/>
  <c r="G33" i="77"/>
  <c r="F33" i="77"/>
  <c r="E33" i="77"/>
  <c r="G32" i="77"/>
  <c r="F32" i="77"/>
  <c r="E32" i="77"/>
  <c r="G31" i="77"/>
  <c r="F31" i="77"/>
  <c r="E31" i="77"/>
  <c r="G29" i="77"/>
  <c r="F29" i="77"/>
  <c r="E29" i="77"/>
  <c r="G28" i="77"/>
  <c r="F28" i="77"/>
  <c r="E28" i="77"/>
  <c r="G27" i="77"/>
  <c r="F27" i="77"/>
  <c r="E27" i="77"/>
  <c r="G26" i="77"/>
  <c r="F26" i="77"/>
  <c r="E26" i="77"/>
  <c r="E18" i="77"/>
  <c r="F16" i="77"/>
  <c r="E16" i="77"/>
  <c r="E12" i="77"/>
  <c r="E10" i="77"/>
  <c r="E8" i="77"/>
  <c r="C36" i="50" l="1"/>
  <c r="C53" i="37"/>
  <c r="C39" i="43"/>
  <c r="C39" i="42"/>
  <c r="C36" i="46"/>
  <c r="C57" i="59"/>
  <c r="E14" i="77" l="1"/>
  <c r="C33" i="23"/>
  <c r="C24" i="3"/>
  <c r="C28" i="16"/>
  <c r="C57" i="14"/>
  <c r="C24" i="49"/>
  <c r="C43" i="72"/>
  <c r="C25" i="70"/>
  <c r="C28" i="39"/>
  <c r="C26" i="65"/>
  <c r="C26" i="64"/>
  <c r="C37" i="30"/>
  <c r="C24" i="55"/>
  <c r="C26" i="27"/>
  <c r="AB1590" i="61"/>
  <c r="AA1590" i="61"/>
  <c r="Z1590" i="61"/>
  <c r="AB1589" i="61"/>
  <c r="AA1589" i="61"/>
  <c r="Z1589" i="61"/>
  <c r="AB1588" i="61"/>
  <c r="AA1588" i="61"/>
  <c r="Z1588" i="61"/>
  <c r="AB1587" i="61"/>
  <c r="AA1587" i="61"/>
  <c r="Z1587" i="61"/>
  <c r="AB1586" i="61"/>
  <c r="AA1586" i="61"/>
  <c r="Z1586" i="61"/>
  <c r="AB1585" i="61"/>
  <c r="AA1585" i="61"/>
  <c r="Z1585" i="61"/>
  <c r="AB1584" i="61"/>
  <c r="AA1584" i="61"/>
  <c r="Z1584" i="61"/>
  <c r="AB1583" i="61"/>
  <c r="AA1583" i="61"/>
  <c r="Z1583" i="61"/>
  <c r="AB1582" i="61"/>
  <c r="AA1582" i="61"/>
  <c r="Z1582" i="61"/>
  <c r="AB1581" i="61"/>
  <c r="AA1581" i="61"/>
  <c r="Z1581" i="61"/>
  <c r="AB1580" i="61"/>
  <c r="AA1580" i="61"/>
  <c r="Z1580" i="61"/>
  <c r="AB1579" i="61"/>
  <c r="AA1579" i="61"/>
  <c r="Z1579" i="61"/>
  <c r="AB1578" i="61"/>
  <c r="AA1578" i="61"/>
  <c r="Z1578" i="61"/>
  <c r="AB1577" i="61"/>
  <c r="AA1577" i="61"/>
  <c r="Z1577" i="61"/>
  <c r="AB1576" i="61"/>
  <c r="AA1576" i="61"/>
  <c r="Z1576" i="61"/>
  <c r="AB1575" i="61"/>
  <c r="AA1575" i="61"/>
  <c r="Z1575" i="61"/>
  <c r="AB1574" i="61"/>
  <c r="AA1574" i="61"/>
  <c r="Z1574" i="61"/>
  <c r="AB1573" i="61"/>
  <c r="AA1573" i="61"/>
  <c r="Z1573" i="61"/>
  <c r="AB1572" i="61"/>
  <c r="AA1572" i="61"/>
  <c r="Z1572" i="61"/>
  <c r="AB1571" i="61"/>
  <c r="AA1571" i="61"/>
  <c r="Z1571" i="61"/>
  <c r="AB1570" i="61"/>
  <c r="AA1570" i="61"/>
  <c r="Z1570" i="61"/>
  <c r="AB1569" i="61"/>
  <c r="AA1569" i="61"/>
  <c r="Z1569" i="61"/>
  <c r="AB1568" i="61"/>
  <c r="AA1568" i="61"/>
  <c r="Z1568" i="61"/>
  <c r="AB1567" i="61"/>
  <c r="AA1567" i="61"/>
  <c r="Z1567" i="61"/>
  <c r="AB1566" i="61"/>
  <c r="AA1566" i="61"/>
  <c r="Z1566" i="61"/>
  <c r="AB1565" i="61"/>
  <c r="AA1565" i="61"/>
  <c r="Z1565" i="61"/>
  <c r="AB1564" i="61"/>
  <c r="AA1564" i="61"/>
  <c r="Z1564" i="61"/>
  <c r="AB1563" i="61"/>
  <c r="AA1563" i="61"/>
  <c r="Z1563" i="61"/>
  <c r="AB1562" i="61"/>
  <c r="AA1562" i="61"/>
  <c r="Z1562" i="61"/>
  <c r="AB1561" i="61"/>
  <c r="AA1561" i="61"/>
  <c r="Z1561" i="61"/>
  <c r="AB1560" i="61"/>
  <c r="AA1560" i="61"/>
  <c r="Z1560" i="61"/>
  <c r="AB1559" i="61"/>
  <c r="AA1559" i="61"/>
  <c r="Z1559" i="61"/>
  <c r="AB1558" i="61"/>
  <c r="AA1558" i="61"/>
  <c r="Z1558" i="61"/>
  <c r="AB1557" i="61"/>
  <c r="AA1557" i="61"/>
  <c r="Z1557" i="61"/>
  <c r="AB1556" i="61"/>
  <c r="AA1556" i="61"/>
  <c r="Z1556" i="61"/>
  <c r="AB1555" i="61"/>
  <c r="AA1555" i="61"/>
  <c r="Z1555" i="61"/>
  <c r="AB1554" i="61"/>
  <c r="AA1554" i="61"/>
  <c r="Z1554" i="61"/>
  <c r="AB1553" i="61"/>
  <c r="AA1553" i="61"/>
  <c r="Z1553" i="61"/>
  <c r="AB1552" i="61"/>
  <c r="AA1552" i="61"/>
  <c r="Z1552" i="61"/>
  <c r="AB1551" i="61"/>
  <c r="AA1551" i="61"/>
  <c r="Z1551" i="61"/>
  <c r="AB1550" i="61"/>
  <c r="AA1550" i="61"/>
  <c r="Z1550" i="61"/>
  <c r="AB1549" i="61"/>
  <c r="AA1549" i="61"/>
  <c r="Z1549" i="61"/>
  <c r="AB1548" i="61"/>
  <c r="AA1548" i="61"/>
  <c r="Z1548" i="61"/>
  <c r="AB1547" i="61"/>
  <c r="AA1547" i="61"/>
  <c r="Z1547" i="61"/>
  <c r="AB1546" i="61"/>
  <c r="AA1546" i="61"/>
  <c r="Z1546" i="61"/>
  <c r="AB1545" i="61"/>
  <c r="AA1545" i="61"/>
  <c r="Z1545" i="61"/>
  <c r="AB1544" i="61"/>
  <c r="AA1544" i="61"/>
  <c r="Z1544" i="61"/>
  <c r="AB1543" i="61"/>
  <c r="AA1543" i="61"/>
  <c r="Z1543" i="61"/>
  <c r="AB1542" i="61"/>
  <c r="AA1542" i="61"/>
  <c r="Z1542" i="61"/>
  <c r="AB1541" i="61"/>
  <c r="AA1541" i="61"/>
  <c r="Z1541" i="61"/>
  <c r="AB1540" i="61"/>
  <c r="AA1540" i="61"/>
  <c r="Z1540" i="61"/>
  <c r="AB1539" i="61"/>
  <c r="AA1539" i="61"/>
  <c r="Z1539" i="61"/>
  <c r="AB1538" i="61"/>
  <c r="AA1538" i="61"/>
  <c r="Z1538" i="61"/>
  <c r="AB1537" i="61"/>
  <c r="AA1537" i="61"/>
  <c r="Z1537" i="61"/>
  <c r="AB1536" i="61"/>
  <c r="AA1536" i="61"/>
  <c r="Z1536" i="61"/>
  <c r="AB1535" i="61"/>
  <c r="AA1535" i="61"/>
  <c r="Z1535" i="61"/>
  <c r="AB1534" i="61"/>
  <c r="AA1534" i="61"/>
  <c r="Z1534" i="61"/>
  <c r="AB1533" i="61"/>
  <c r="AA1533" i="61"/>
  <c r="Z1533" i="61"/>
  <c r="AB1532" i="61"/>
  <c r="AA1532" i="61"/>
  <c r="Z1532" i="61"/>
  <c r="AB1531" i="61"/>
  <c r="AA1531" i="61"/>
  <c r="Z1531" i="61"/>
  <c r="AB1530" i="61"/>
  <c r="AA1530" i="61"/>
  <c r="Z1530" i="61"/>
  <c r="AB1529" i="61"/>
  <c r="AA1529" i="61"/>
  <c r="Z1529" i="61"/>
  <c r="AB1528" i="61"/>
  <c r="AA1528" i="61"/>
  <c r="Z1528" i="61"/>
  <c r="AB1527" i="61"/>
  <c r="AA1527" i="61"/>
  <c r="Z1527" i="61"/>
  <c r="AB1526" i="61"/>
  <c r="AA1526" i="61"/>
  <c r="Z1526" i="61"/>
  <c r="AB1525" i="61"/>
  <c r="AA1525" i="61"/>
  <c r="Z1525" i="61"/>
  <c r="AB1524" i="61"/>
  <c r="AA1524" i="61"/>
  <c r="Z1524" i="61"/>
  <c r="AB1523" i="61"/>
  <c r="AA1523" i="61"/>
  <c r="Z1523" i="61"/>
  <c r="AB1522" i="61"/>
  <c r="AA1522" i="61"/>
  <c r="Z1522" i="61"/>
  <c r="AB1521" i="61"/>
  <c r="AA1521" i="61"/>
  <c r="Z1521" i="61"/>
  <c r="AB1520" i="61"/>
  <c r="AA1520" i="61"/>
  <c r="Z1520" i="61"/>
  <c r="AB1519" i="61"/>
  <c r="AA1519" i="61"/>
  <c r="Z1519" i="61"/>
  <c r="AB1518" i="61"/>
  <c r="AA1518" i="61"/>
  <c r="Z1518" i="61"/>
  <c r="AB1517" i="61"/>
  <c r="AA1517" i="61"/>
  <c r="Z1517" i="61"/>
  <c r="AB1516" i="61"/>
  <c r="AA1516" i="61"/>
  <c r="Z1516" i="61"/>
  <c r="AB1515" i="61"/>
  <c r="AA1515" i="61"/>
  <c r="Z1515" i="61"/>
  <c r="AB1514" i="61"/>
  <c r="AA1514" i="61"/>
  <c r="Z1514" i="61"/>
  <c r="AB1513" i="61"/>
  <c r="AA1513" i="61"/>
  <c r="Z1513" i="61"/>
  <c r="AB1512" i="61"/>
  <c r="AA1512" i="61"/>
  <c r="Z1512" i="61"/>
  <c r="AB1511" i="61"/>
  <c r="AA1511" i="61"/>
  <c r="Z1511" i="61"/>
  <c r="AB1510" i="61"/>
  <c r="AA1510" i="61"/>
  <c r="Z1510" i="61"/>
  <c r="AB1509" i="61"/>
  <c r="AA1509" i="61"/>
  <c r="Z1509" i="61"/>
  <c r="AB1508" i="61"/>
  <c r="AA1508" i="61"/>
  <c r="Z1508" i="61"/>
  <c r="AB1507" i="61"/>
  <c r="AA1507" i="61"/>
  <c r="Z1507" i="61"/>
  <c r="AB1506" i="61"/>
  <c r="AA1506" i="61"/>
  <c r="Z1506" i="61"/>
  <c r="AB1505" i="61"/>
  <c r="AA1505" i="61"/>
  <c r="Z1505" i="61"/>
  <c r="AB1504" i="61"/>
  <c r="AA1504" i="61"/>
  <c r="Z1504" i="61"/>
  <c r="AB1503" i="61"/>
  <c r="AA1503" i="61"/>
  <c r="Z1503" i="61"/>
  <c r="AB1502" i="61"/>
  <c r="AA1502" i="61"/>
  <c r="Z1502" i="61"/>
  <c r="AB1501" i="61"/>
  <c r="AA1501" i="61"/>
  <c r="Z1501" i="61"/>
  <c r="AB1500" i="61"/>
  <c r="AA1500" i="61"/>
  <c r="Z1500" i="61"/>
  <c r="AB1499" i="61"/>
  <c r="AA1499" i="61"/>
  <c r="Z1499" i="61"/>
  <c r="AB1498" i="61"/>
  <c r="AA1498" i="61"/>
  <c r="Z1498" i="61"/>
  <c r="AB1497" i="61"/>
  <c r="AA1497" i="61"/>
  <c r="Z1497" i="61"/>
  <c r="AB1496" i="61"/>
  <c r="AA1496" i="61"/>
  <c r="Z1496" i="61"/>
  <c r="AB1495" i="61"/>
  <c r="AA1495" i="61"/>
  <c r="Z1495" i="61"/>
  <c r="AB1494" i="61"/>
  <c r="AA1494" i="61"/>
  <c r="Z1494" i="61"/>
  <c r="AB1493" i="61"/>
  <c r="AA1493" i="61"/>
  <c r="Z1493" i="61"/>
  <c r="AB1492" i="61"/>
  <c r="AA1492" i="61"/>
  <c r="Z1492" i="61"/>
  <c r="AB1491" i="61"/>
  <c r="AA1491" i="61"/>
  <c r="Z1491" i="61"/>
  <c r="AB1490" i="61"/>
  <c r="AA1490" i="61"/>
  <c r="Z1490" i="61"/>
  <c r="AB1489" i="61"/>
  <c r="AA1489" i="61"/>
  <c r="Z1489" i="61"/>
  <c r="AB1488" i="61"/>
  <c r="AA1488" i="61"/>
  <c r="Z1488" i="61"/>
  <c r="AB1487" i="61"/>
  <c r="AA1487" i="61"/>
  <c r="Z1487" i="61"/>
  <c r="AB1486" i="61"/>
  <c r="AA1486" i="61"/>
  <c r="Z1486" i="61"/>
  <c r="AB1485" i="61"/>
  <c r="AA1485" i="61"/>
  <c r="Z1485" i="61"/>
  <c r="AB1484" i="61"/>
  <c r="AA1484" i="61"/>
  <c r="Z1484" i="61"/>
  <c r="AB1483" i="61"/>
  <c r="AA1483" i="61"/>
  <c r="Z1483" i="61"/>
  <c r="AB1482" i="61"/>
  <c r="AA1482" i="61"/>
  <c r="Z1482" i="61"/>
  <c r="AB1481" i="61"/>
  <c r="AA1481" i="61"/>
  <c r="Z1481" i="61"/>
  <c r="AB1480" i="61"/>
  <c r="AA1480" i="61"/>
  <c r="Z1480" i="61"/>
  <c r="AB1479" i="61"/>
  <c r="AA1479" i="61"/>
  <c r="Z1479" i="61"/>
  <c r="AB1478" i="61"/>
  <c r="AA1478" i="61"/>
  <c r="Z1478" i="61"/>
  <c r="AB1477" i="61"/>
  <c r="AA1477" i="61"/>
  <c r="Z1477" i="61"/>
  <c r="AB1476" i="61"/>
  <c r="AA1476" i="61"/>
  <c r="Z1476" i="61"/>
  <c r="AB1475" i="61"/>
  <c r="AA1475" i="61"/>
  <c r="Z1475" i="61"/>
  <c r="AB1474" i="61"/>
  <c r="AA1474" i="61"/>
  <c r="Z1474" i="61"/>
  <c r="AB1473" i="61"/>
  <c r="AA1473" i="61"/>
  <c r="Z1473" i="61"/>
  <c r="AB1472" i="61"/>
  <c r="AA1472" i="61"/>
  <c r="Z1472" i="61"/>
  <c r="AB1471" i="61"/>
  <c r="AA1471" i="61"/>
  <c r="Z1471" i="61"/>
  <c r="AB1470" i="61"/>
  <c r="AA1470" i="61"/>
  <c r="Z1470" i="61"/>
  <c r="AB1469" i="61"/>
  <c r="AA1469" i="61"/>
  <c r="Z1469" i="61"/>
  <c r="AB1468" i="61"/>
  <c r="AA1468" i="61"/>
  <c r="Z1468" i="61"/>
  <c r="AB1467" i="61"/>
  <c r="AA1467" i="61"/>
  <c r="Z1467" i="61"/>
  <c r="AB1466" i="61"/>
  <c r="AA1466" i="61"/>
  <c r="Z1466" i="61"/>
  <c r="AB1465" i="61"/>
  <c r="AA1465" i="61"/>
  <c r="Z1465" i="61"/>
  <c r="AB1464" i="61"/>
  <c r="AA1464" i="61"/>
  <c r="Z1464" i="61"/>
  <c r="AB1463" i="61"/>
  <c r="AA1463" i="61"/>
  <c r="Z1463" i="61"/>
  <c r="AB1462" i="61"/>
  <c r="AA1462" i="61"/>
  <c r="Z1462" i="61"/>
  <c r="AB1461" i="61"/>
  <c r="AA1461" i="61"/>
  <c r="Z1461" i="61"/>
  <c r="AB1460" i="61"/>
  <c r="AA1460" i="61"/>
  <c r="Z1460" i="61"/>
  <c r="AB1459" i="61"/>
  <c r="AA1459" i="61"/>
  <c r="Z1459" i="61"/>
  <c r="AB1458" i="61"/>
  <c r="AA1458" i="61"/>
  <c r="Z1458" i="61"/>
  <c r="AB1457" i="61"/>
  <c r="AA1457" i="61"/>
  <c r="Z1457" i="61"/>
  <c r="AB1456" i="61"/>
  <c r="AA1456" i="61"/>
  <c r="Z1456" i="61"/>
  <c r="AB1455" i="61"/>
  <c r="AA1455" i="61"/>
  <c r="Z1455" i="61"/>
  <c r="AB1454" i="61"/>
  <c r="AA1454" i="61"/>
  <c r="Z1454" i="61"/>
  <c r="AB1453" i="61"/>
  <c r="AA1453" i="61"/>
  <c r="Z1453" i="61"/>
  <c r="AB1452" i="61"/>
  <c r="AA1452" i="61"/>
  <c r="Z1452" i="61"/>
  <c r="AB1451" i="61"/>
  <c r="AA1451" i="61"/>
  <c r="Z1451" i="61"/>
  <c r="AB1450" i="61"/>
  <c r="AA1450" i="61"/>
  <c r="Z1450" i="61"/>
  <c r="AB1449" i="61"/>
  <c r="AA1449" i="61"/>
  <c r="Z1449" i="61"/>
  <c r="AB1448" i="61"/>
  <c r="AA1448" i="61"/>
  <c r="Z1448" i="61"/>
  <c r="AB1447" i="61"/>
  <c r="AA1447" i="61"/>
  <c r="Z1447" i="61"/>
  <c r="AB1446" i="61"/>
  <c r="AA1446" i="61"/>
  <c r="Z1446" i="61"/>
  <c r="AB1445" i="61"/>
  <c r="AA1445" i="61"/>
  <c r="Z1445" i="61"/>
  <c r="AB1444" i="61"/>
  <c r="AA1444" i="61"/>
  <c r="Z1444" i="61"/>
  <c r="AB1443" i="61"/>
  <c r="AA1443" i="61"/>
  <c r="Z1443" i="61"/>
  <c r="AB1442" i="61"/>
  <c r="AA1442" i="61"/>
  <c r="Z1442" i="61"/>
  <c r="AB1441" i="61"/>
  <c r="AA1441" i="61"/>
  <c r="Z1441" i="61"/>
  <c r="AB1440" i="61"/>
  <c r="AA1440" i="61"/>
  <c r="Z1440" i="61"/>
  <c r="AB1439" i="61"/>
  <c r="AA1439" i="61"/>
  <c r="Z1439" i="61"/>
  <c r="AB1438" i="61"/>
  <c r="AA1438" i="61"/>
  <c r="Z1438" i="61"/>
  <c r="AB1437" i="61"/>
  <c r="AA1437" i="61"/>
  <c r="Z1437" i="61"/>
  <c r="AB1436" i="61"/>
  <c r="AA1436" i="61"/>
  <c r="Z1436" i="61"/>
  <c r="AB1435" i="61"/>
  <c r="AA1435" i="61"/>
  <c r="Z1435" i="61"/>
  <c r="AB1434" i="61"/>
  <c r="AA1434" i="61"/>
  <c r="Z1434" i="61"/>
  <c r="AB1433" i="61"/>
  <c r="AA1433" i="61"/>
  <c r="Z1433" i="61"/>
  <c r="AB1432" i="61"/>
  <c r="AA1432" i="61"/>
  <c r="Z1432" i="61"/>
  <c r="AB1431" i="61"/>
  <c r="AA1431" i="61"/>
  <c r="Z1431" i="61"/>
  <c r="AB1430" i="61"/>
  <c r="AA1430" i="61"/>
  <c r="Z1430" i="61"/>
  <c r="AB1429" i="61"/>
  <c r="AA1429" i="61"/>
  <c r="Z1429" i="61"/>
  <c r="AB1428" i="61"/>
  <c r="AA1428" i="61"/>
  <c r="Z1428" i="61"/>
  <c r="AB1427" i="61"/>
  <c r="AA1427" i="61"/>
  <c r="Z1427" i="61"/>
  <c r="AB1426" i="61"/>
  <c r="AA1426" i="61"/>
  <c r="Z1426" i="61"/>
  <c r="AB1425" i="61"/>
  <c r="AA1425" i="61"/>
  <c r="Z1425" i="61"/>
  <c r="AB1424" i="61"/>
  <c r="AA1424" i="61"/>
  <c r="Z1424" i="61"/>
  <c r="AB1423" i="61"/>
  <c r="AA1423" i="61"/>
  <c r="Z1423" i="61"/>
  <c r="AB1422" i="61"/>
  <c r="AA1422" i="61"/>
  <c r="Z1422" i="61"/>
  <c r="AB1421" i="61"/>
  <c r="AA1421" i="61"/>
  <c r="Z1421" i="61"/>
  <c r="AB1420" i="61"/>
  <c r="AA1420" i="61"/>
  <c r="Z1420" i="61"/>
  <c r="AB1419" i="61"/>
  <c r="AA1419" i="61"/>
  <c r="Z1419" i="61"/>
  <c r="AB1418" i="61"/>
  <c r="AA1418" i="61"/>
  <c r="Z1418" i="61"/>
  <c r="AB1417" i="61"/>
  <c r="AA1417" i="61"/>
  <c r="Z1417" i="61"/>
  <c r="AB1416" i="61"/>
  <c r="AA1416" i="61"/>
  <c r="Z1416" i="61"/>
  <c r="AB1415" i="61"/>
  <c r="AA1415" i="61"/>
  <c r="Z1415" i="61"/>
  <c r="AB1414" i="61"/>
  <c r="AA1414" i="61"/>
  <c r="Z1414" i="61"/>
  <c r="AB1413" i="61"/>
  <c r="AA1413" i="61"/>
  <c r="Z1413" i="61"/>
  <c r="AB1412" i="61"/>
  <c r="AA1412" i="61"/>
  <c r="Z1412" i="61"/>
  <c r="AB1411" i="61"/>
  <c r="AA1411" i="61"/>
  <c r="Z1411" i="61"/>
  <c r="AB1410" i="61"/>
  <c r="AA1410" i="61"/>
  <c r="Z1410" i="61"/>
  <c r="AB1409" i="61"/>
  <c r="AA1409" i="61"/>
  <c r="Z1409" i="61"/>
  <c r="AB1408" i="61"/>
  <c r="AA1408" i="61"/>
  <c r="Z1408" i="61"/>
  <c r="AB1407" i="61"/>
  <c r="AA1407" i="61"/>
  <c r="Z1407" i="61"/>
  <c r="AB1406" i="61"/>
  <c r="AA1406" i="61"/>
  <c r="Z1406" i="61"/>
  <c r="AB1405" i="61"/>
  <c r="AA1405" i="61"/>
  <c r="Z1405" i="61"/>
  <c r="AB1404" i="61"/>
  <c r="AA1404" i="61"/>
  <c r="Z1404" i="61"/>
  <c r="AB1403" i="61"/>
  <c r="AA1403" i="61"/>
  <c r="Z1403" i="61"/>
  <c r="AB1402" i="61"/>
  <c r="AA1402" i="61"/>
  <c r="Z1402" i="61"/>
  <c r="AB1401" i="61"/>
  <c r="AA1401" i="61"/>
  <c r="Z1401" i="61"/>
  <c r="AB1400" i="61"/>
  <c r="AA1400" i="61"/>
  <c r="Z1400" i="61"/>
  <c r="AB1399" i="61"/>
  <c r="AA1399" i="61"/>
  <c r="Z1399" i="61"/>
  <c r="AB1398" i="61"/>
  <c r="AA1398" i="61"/>
  <c r="Z1398" i="61"/>
  <c r="AB1397" i="61"/>
  <c r="AA1397" i="61"/>
  <c r="Z1397" i="61"/>
  <c r="AB1396" i="61"/>
  <c r="AA1396" i="61"/>
  <c r="Z1396" i="61"/>
  <c r="AB1395" i="61"/>
  <c r="AA1395" i="61"/>
  <c r="Z1395" i="61"/>
  <c r="AB1394" i="61"/>
  <c r="AA1394" i="61"/>
  <c r="Z1394" i="61"/>
  <c r="AB1393" i="61"/>
  <c r="AA1393" i="61"/>
  <c r="Z1393" i="61"/>
  <c r="AB1392" i="61"/>
  <c r="AA1392" i="61"/>
  <c r="Z1392" i="61"/>
  <c r="AB1391" i="61"/>
  <c r="AA1391" i="61"/>
  <c r="Z1391" i="61"/>
  <c r="AB1390" i="61"/>
  <c r="AA1390" i="61"/>
  <c r="Z1390" i="61"/>
  <c r="AB1389" i="61"/>
  <c r="AA1389" i="61"/>
  <c r="Z1389" i="61"/>
  <c r="AB1388" i="61"/>
  <c r="AA1388" i="61"/>
  <c r="Z1388" i="61"/>
  <c r="AB1387" i="61"/>
  <c r="AA1387" i="61"/>
  <c r="Z1387" i="61"/>
  <c r="AB1386" i="61"/>
  <c r="AA1386" i="61"/>
  <c r="Z1386" i="61"/>
  <c r="AB1385" i="61"/>
  <c r="AA1385" i="61"/>
  <c r="Z1385" i="61"/>
  <c r="AB1384" i="61"/>
  <c r="AA1384" i="61"/>
  <c r="Z1384" i="61"/>
  <c r="AB1383" i="61"/>
  <c r="AA1383" i="61"/>
  <c r="Z1383" i="61"/>
  <c r="AB1382" i="61"/>
  <c r="AA1382" i="61"/>
  <c r="Z1382" i="61"/>
  <c r="AB1381" i="61"/>
  <c r="AA1381" i="61"/>
  <c r="Z1381" i="61"/>
  <c r="AB1380" i="61"/>
  <c r="AA1380" i="61"/>
  <c r="Z1380" i="61"/>
  <c r="AB1379" i="61"/>
  <c r="AA1379" i="61"/>
  <c r="Z1379" i="61"/>
  <c r="AB1378" i="61"/>
  <c r="AA1378" i="61"/>
  <c r="Z1378" i="61"/>
  <c r="AB1377" i="61"/>
  <c r="AA1377" i="61"/>
  <c r="Z1377" i="61"/>
  <c r="AB1376" i="61"/>
  <c r="AA1376" i="61"/>
  <c r="Z1376" i="61"/>
  <c r="AB1375" i="61"/>
  <c r="AA1375" i="61"/>
  <c r="Z1375" i="61"/>
  <c r="AB1374" i="61"/>
  <c r="AA1374" i="61"/>
  <c r="Z1374" i="61"/>
  <c r="AB1373" i="61"/>
  <c r="AA1373" i="61"/>
  <c r="Z1373" i="61"/>
  <c r="AB1372" i="61"/>
  <c r="AA1372" i="61"/>
  <c r="Z1372" i="61"/>
  <c r="AB1371" i="61"/>
  <c r="AA1371" i="61"/>
  <c r="Z1371" i="61"/>
  <c r="AB1370" i="61"/>
  <c r="AA1370" i="61"/>
  <c r="Z1370" i="61"/>
  <c r="AB1369" i="61"/>
  <c r="AA1369" i="61"/>
  <c r="Z1369" i="61"/>
  <c r="AB1368" i="61"/>
  <c r="AA1368" i="61"/>
  <c r="Z1368" i="61"/>
  <c r="AB1367" i="61"/>
  <c r="AA1367" i="61"/>
  <c r="Z1367" i="61"/>
  <c r="AB1366" i="61"/>
  <c r="AA1366" i="61"/>
  <c r="Z1366" i="61"/>
  <c r="AB1365" i="61"/>
  <c r="AA1365" i="61"/>
  <c r="Z1365" i="61"/>
  <c r="AB1364" i="61"/>
  <c r="AA1364" i="61"/>
  <c r="Z1364" i="61"/>
  <c r="AB1363" i="61"/>
  <c r="AA1363" i="61"/>
  <c r="Z1363" i="61"/>
  <c r="AB1362" i="61"/>
  <c r="AA1362" i="61"/>
  <c r="Z1362" i="61"/>
  <c r="AB1361" i="61"/>
  <c r="AA1361" i="61"/>
  <c r="Z1361" i="61"/>
  <c r="AB1360" i="61"/>
  <c r="AA1360" i="61"/>
  <c r="Z1360" i="61"/>
  <c r="AB1359" i="61"/>
  <c r="AA1359" i="61"/>
  <c r="Z1359" i="61"/>
  <c r="AB1358" i="61"/>
  <c r="AA1358" i="61"/>
  <c r="Z1358" i="61"/>
  <c r="AB1357" i="61"/>
  <c r="AA1357" i="61"/>
  <c r="Z1357" i="61"/>
  <c r="AB1356" i="61"/>
  <c r="AA1356" i="61"/>
  <c r="Z1356" i="61"/>
  <c r="AB1355" i="61"/>
  <c r="AA1355" i="61"/>
  <c r="Z1355" i="61"/>
  <c r="AB1354" i="61"/>
  <c r="AA1354" i="61"/>
  <c r="Z1354" i="61"/>
  <c r="AB1353" i="61"/>
  <c r="AA1353" i="61"/>
  <c r="Z1353" i="61"/>
  <c r="AB1352" i="61"/>
  <c r="AA1352" i="61"/>
  <c r="Z1352" i="61"/>
  <c r="AB1351" i="61"/>
  <c r="AA1351" i="61"/>
  <c r="Z1351" i="61"/>
  <c r="AB1350" i="61"/>
  <c r="AA1350" i="61"/>
  <c r="Z1350" i="61"/>
  <c r="AB1349" i="61"/>
  <c r="AA1349" i="61"/>
  <c r="Z1349" i="61"/>
  <c r="AB1348" i="61"/>
  <c r="AA1348" i="61"/>
  <c r="Z1348" i="61"/>
  <c r="AB1347" i="61"/>
  <c r="AA1347" i="61"/>
  <c r="Z1347" i="61"/>
  <c r="AB1346" i="61"/>
  <c r="AA1346" i="61"/>
  <c r="Z1346" i="61"/>
  <c r="AB1345" i="61"/>
  <c r="AA1345" i="61"/>
  <c r="Z1345" i="61"/>
  <c r="AB1344" i="61"/>
  <c r="AA1344" i="61"/>
  <c r="Z1344" i="61"/>
  <c r="AB1343" i="61"/>
  <c r="AA1343" i="61"/>
  <c r="Z1343" i="61"/>
  <c r="AB1342" i="61"/>
  <c r="AA1342" i="61"/>
  <c r="Z1342" i="61"/>
  <c r="AB1341" i="61"/>
  <c r="AA1341" i="61"/>
  <c r="Z1341" i="61"/>
  <c r="AB1340" i="61"/>
  <c r="AA1340" i="61"/>
  <c r="Z1340" i="61"/>
  <c r="AB1339" i="61"/>
  <c r="AA1339" i="61"/>
  <c r="Z1339" i="61"/>
  <c r="AB1338" i="61"/>
  <c r="AA1338" i="61"/>
  <c r="Z1338" i="61"/>
  <c r="AB1337" i="61"/>
  <c r="AA1337" i="61"/>
  <c r="Z1337" i="61"/>
  <c r="AB1336" i="61"/>
  <c r="AA1336" i="61"/>
  <c r="Z1336" i="61"/>
  <c r="AB1335" i="61"/>
  <c r="AA1335" i="61"/>
  <c r="Z1335" i="61"/>
  <c r="AB1334" i="61"/>
  <c r="AA1334" i="61"/>
  <c r="Z1334" i="61"/>
  <c r="AB1333" i="61"/>
  <c r="AA1333" i="61"/>
  <c r="Z1333" i="61"/>
  <c r="AB1332" i="61"/>
  <c r="AA1332" i="61"/>
  <c r="Z1332" i="61"/>
  <c r="AB1331" i="61"/>
  <c r="AA1331" i="61"/>
  <c r="Z1331" i="61"/>
  <c r="AB1330" i="61"/>
  <c r="AA1330" i="61"/>
  <c r="Z1330" i="61"/>
  <c r="AB1329" i="61"/>
  <c r="AA1329" i="61"/>
  <c r="Z1329" i="61"/>
  <c r="AB1328" i="61"/>
  <c r="AA1328" i="61"/>
  <c r="Z1328" i="61"/>
  <c r="AB1327" i="61"/>
  <c r="AA1327" i="61"/>
  <c r="Z1327" i="61"/>
  <c r="AB1326" i="61"/>
  <c r="AA1326" i="61"/>
  <c r="Z1326" i="61"/>
  <c r="AB1325" i="61"/>
  <c r="AA1325" i="61"/>
  <c r="Z1325" i="61"/>
  <c r="AB1324" i="61"/>
  <c r="AA1324" i="61"/>
  <c r="Z1324" i="61"/>
  <c r="AB1323" i="61"/>
  <c r="AA1323" i="61"/>
  <c r="Z1323" i="61"/>
  <c r="AB1322" i="61"/>
  <c r="AA1322" i="61"/>
  <c r="Z1322" i="61"/>
  <c r="AB1321" i="61"/>
  <c r="AA1321" i="61"/>
  <c r="Z1321" i="61"/>
  <c r="AB1320" i="61"/>
  <c r="AA1320" i="61"/>
  <c r="Z1320" i="61"/>
  <c r="AB1319" i="61"/>
  <c r="AA1319" i="61"/>
  <c r="Z1319" i="61"/>
  <c r="AB1318" i="61"/>
  <c r="AA1318" i="61"/>
  <c r="Z1318" i="61"/>
  <c r="AB1317" i="61"/>
  <c r="AA1317" i="61"/>
  <c r="Z1317" i="61"/>
  <c r="AB1316" i="61"/>
  <c r="AA1316" i="61"/>
  <c r="Z1316" i="61"/>
  <c r="AB1315" i="61"/>
  <c r="AA1315" i="61"/>
  <c r="Z1315" i="61"/>
  <c r="AB1314" i="61"/>
  <c r="AA1314" i="61"/>
  <c r="Z1314" i="61"/>
  <c r="AB1313" i="61"/>
  <c r="AA1313" i="61"/>
  <c r="Z1313" i="61"/>
  <c r="AB1312" i="61"/>
  <c r="AA1312" i="61"/>
  <c r="Z1312" i="61"/>
  <c r="AB1311" i="61"/>
  <c r="AA1311" i="61"/>
  <c r="Z1311" i="61"/>
  <c r="AB1310" i="61"/>
  <c r="AA1310" i="61"/>
  <c r="Z1310" i="61"/>
  <c r="AB1309" i="61"/>
  <c r="AA1309" i="61"/>
  <c r="Z1309" i="61"/>
  <c r="AB1308" i="61"/>
  <c r="AA1308" i="61"/>
  <c r="Z1308" i="61"/>
  <c r="AB1307" i="61"/>
  <c r="AA1307" i="61"/>
  <c r="Z1307" i="61"/>
  <c r="AB1306" i="61"/>
  <c r="AA1306" i="61"/>
  <c r="Z1306" i="61"/>
  <c r="AB1305" i="61"/>
  <c r="AA1305" i="61"/>
  <c r="Z1305" i="61"/>
  <c r="AB1304" i="61"/>
  <c r="AA1304" i="61"/>
  <c r="Z1304" i="61"/>
  <c r="AB1303" i="61"/>
  <c r="AA1303" i="61"/>
  <c r="Z1303" i="61"/>
  <c r="AB1302" i="61"/>
  <c r="AA1302" i="61"/>
  <c r="Z1302" i="61"/>
  <c r="AB1301" i="61"/>
  <c r="AA1301" i="61"/>
  <c r="Z1301" i="61"/>
  <c r="AB1300" i="61"/>
  <c r="AA1300" i="61"/>
  <c r="Z1300" i="61"/>
  <c r="AB1299" i="61"/>
  <c r="AA1299" i="61"/>
  <c r="Z1299" i="61"/>
  <c r="AB1298" i="61"/>
  <c r="AA1298" i="61"/>
  <c r="Z1298" i="61"/>
  <c r="AB1297" i="61"/>
  <c r="AA1297" i="61"/>
  <c r="Z1297" i="61"/>
  <c r="AB1296" i="61"/>
  <c r="AA1296" i="61"/>
  <c r="Z1296" i="61"/>
  <c r="AB1295" i="61"/>
  <c r="AA1295" i="61"/>
  <c r="Z1295" i="61"/>
  <c r="AB1294" i="61"/>
  <c r="AA1294" i="61"/>
  <c r="Z1294" i="61"/>
  <c r="AB1293" i="61"/>
  <c r="AA1293" i="61"/>
  <c r="Z1293" i="61"/>
  <c r="AB1292" i="61"/>
  <c r="AA1292" i="61"/>
  <c r="Z1292" i="61"/>
  <c r="AB1291" i="61"/>
  <c r="AA1291" i="61"/>
  <c r="Z1291" i="61"/>
  <c r="AB1290" i="61"/>
  <c r="AA1290" i="61"/>
  <c r="Z1290" i="61"/>
  <c r="AB1289" i="61"/>
  <c r="AA1289" i="61"/>
  <c r="Z1289" i="61"/>
  <c r="AB1288" i="61"/>
  <c r="AA1288" i="61"/>
  <c r="Z1288" i="61"/>
  <c r="AB1287" i="61"/>
  <c r="AA1287" i="61"/>
  <c r="Z1287" i="61"/>
  <c r="AB1286" i="61"/>
  <c r="AA1286" i="61"/>
  <c r="Z1286" i="61"/>
  <c r="AB1285" i="61"/>
  <c r="AA1285" i="61"/>
  <c r="Z1285" i="61"/>
  <c r="AB1284" i="61"/>
  <c r="AA1284" i="61"/>
  <c r="Z1284" i="61"/>
  <c r="AB1283" i="61"/>
  <c r="AA1283" i="61"/>
  <c r="Z1283" i="61"/>
  <c r="AB1282" i="61"/>
  <c r="AA1282" i="61"/>
  <c r="Z1282" i="61"/>
  <c r="AB1281" i="61"/>
  <c r="AA1281" i="61"/>
  <c r="Z1281" i="61"/>
  <c r="AB1280" i="61"/>
  <c r="AA1280" i="61"/>
  <c r="Z1280" i="61"/>
  <c r="AB1279" i="61"/>
  <c r="AA1279" i="61"/>
  <c r="Z1279" i="61"/>
  <c r="AB1278" i="61"/>
  <c r="AA1278" i="61"/>
  <c r="Z1278" i="61"/>
  <c r="AB1277" i="61"/>
  <c r="AA1277" i="61"/>
  <c r="Z1277" i="61"/>
  <c r="AB1276" i="61"/>
  <c r="AA1276" i="61"/>
  <c r="Z1276" i="61"/>
  <c r="AB1275" i="61"/>
  <c r="AA1275" i="61"/>
  <c r="Z1275" i="61"/>
  <c r="AB1274" i="61"/>
  <c r="AA1274" i="61"/>
  <c r="Z1274" i="61"/>
  <c r="AB1273" i="61"/>
  <c r="AA1273" i="61"/>
  <c r="Z1273" i="61"/>
  <c r="AB1272" i="61"/>
  <c r="AA1272" i="61"/>
  <c r="Z1272" i="61"/>
  <c r="AB1271" i="61"/>
  <c r="AA1271" i="61"/>
  <c r="Z1271" i="61"/>
  <c r="AB1270" i="61"/>
  <c r="AA1270" i="61"/>
  <c r="Z1270" i="61"/>
  <c r="AB1269" i="61"/>
  <c r="AA1269" i="61"/>
  <c r="Z1269" i="61"/>
  <c r="AB1268" i="61"/>
  <c r="AA1268" i="61"/>
  <c r="Z1268" i="61"/>
  <c r="AB1267" i="61"/>
  <c r="AA1267" i="61"/>
  <c r="Z1267" i="61"/>
  <c r="AB1266" i="61"/>
  <c r="AA1266" i="61"/>
  <c r="Z1266" i="61"/>
  <c r="AB1265" i="61"/>
  <c r="AA1265" i="61"/>
  <c r="Z1265" i="61"/>
  <c r="AB1264" i="61"/>
  <c r="AA1264" i="61"/>
  <c r="Z1264" i="61"/>
  <c r="AB1263" i="61"/>
  <c r="AA1263" i="61"/>
  <c r="Z1263" i="61"/>
  <c r="AB1262" i="61"/>
  <c r="AA1262" i="61"/>
  <c r="Z1262" i="61"/>
  <c r="AB1261" i="61"/>
  <c r="AA1261" i="61"/>
  <c r="Z1261" i="61"/>
  <c r="AB1260" i="61"/>
  <c r="AA1260" i="61"/>
  <c r="Z1260" i="61"/>
  <c r="AB1259" i="61"/>
  <c r="AA1259" i="61"/>
  <c r="Z1259" i="61"/>
  <c r="AB1258" i="61"/>
  <c r="AA1258" i="61"/>
  <c r="Z1258" i="61"/>
  <c r="AB1257" i="61"/>
  <c r="AA1257" i="61"/>
  <c r="Z1257" i="61"/>
  <c r="AB1256" i="61"/>
  <c r="AA1256" i="61"/>
  <c r="Z1256" i="61"/>
  <c r="AB1255" i="61"/>
  <c r="AA1255" i="61"/>
  <c r="Z1255" i="61"/>
  <c r="AB1254" i="61"/>
  <c r="AA1254" i="61"/>
  <c r="Z1254" i="61"/>
  <c r="AB1253" i="61"/>
  <c r="AA1253" i="61"/>
  <c r="Z1253" i="61"/>
  <c r="AB1252" i="61"/>
  <c r="AA1252" i="61"/>
  <c r="Z1252" i="61"/>
  <c r="AB1251" i="61"/>
  <c r="AA1251" i="61"/>
  <c r="Z1251" i="61"/>
  <c r="AB1250" i="61"/>
  <c r="AA1250" i="61"/>
  <c r="Z1250" i="61"/>
  <c r="AB1249" i="61"/>
  <c r="AA1249" i="61"/>
  <c r="Z1249" i="61"/>
  <c r="AB1248" i="61"/>
  <c r="AA1248" i="61"/>
  <c r="Z1248" i="61"/>
  <c r="AB1247" i="61"/>
  <c r="AA1247" i="61"/>
  <c r="Z1247" i="61"/>
  <c r="AB1246" i="61"/>
  <c r="AA1246" i="61"/>
  <c r="Z1246" i="61"/>
  <c r="AB1245" i="61"/>
  <c r="AA1245" i="61"/>
  <c r="Z1245" i="61"/>
  <c r="AB1244" i="61"/>
  <c r="AA1244" i="61"/>
  <c r="Z1244" i="61"/>
  <c r="AB1243" i="61"/>
  <c r="AA1243" i="61"/>
  <c r="Z1243" i="61"/>
  <c r="AB1242" i="61"/>
  <c r="AA1242" i="61"/>
  <c r="Z1242" i="61"/>
  <c r="AB1241" i="61"/>
  <c r="AA1241" i="61"/>
  <c r="Z1241" i="61"/>
  <c r="AB1240" i="61"/>
  <c r="AA1240" i="61"/>
  <c r="Z1240" i="61"/>
  <c r="AB1239" i="61"/>
  <c r="AA1239" i="61"/>
  <c r="Z1239" i="61"/>
  <c r="AB1238" i="61"/>
  <c r="AA1238" i="61"/>
  <c r="Z1238" i="61"/>
  <c r="AB1237" i="61"/>
  <c r="AA1237" i="61"/>
  <c r="Z1237" i="61"/>
  <c r="AB1236" i="61"/>
  <c r="AA1236" i="61"/>
  <c r="Z1236" i="61"/>
  <c r="AB1235" i="61"/>
  <c r="AA1235" i="61"/>
  <c r="Z1235" i="61"/>
  <c r="AB1234" i="61"/>
  <c r="AA1234" i="61"/>
  <c r="Z1234" i="61"/>
  <c r="AB1233" i="61"/>
  <c r="AA1233" i="61"/>
  <c r="Z1233" i="61"/>
  <c r="AB1232" i="61"/>
  <c r="AA1232" i="61"/>
  <c r="Z1232" i="61"/>
  <c r="AB1231" i="61"/>
  <c r="AA1231" i="61"/>
  <c r="Z1231" i="61"/>
  <c r="AB1230" i="61"/>
  <c r="AA1230" i="61"/>
  <c r="Z1230" i="61"/>
  <c r="AB1229" i="61"/>
  <c r="AA1229" i="61"/>
  <c r="Z1229" i="61"/>
  <c r="AB1228" i="61"/>
  <c r="AA1228" i="61"/>
  <c r="Z1228" i="61"/>
  <c r="AB1227" i="61"/>
  <c r="AA1227" i="61"/>
  <c r="Z1227" i="61"/>
  <c r="AB1226" i="61"/>
  <c r="AA1226" i="61"/>
  <c r="Z1226" i="61"/>
  <c r="AB1225" i="61"/>
  <c r="AA1225" i="61"/>
  <c r="Z1225" i="61"/>
  <c r="AB1224" i="61"/>
  <c r="AA1224" i="61"/>
  <c r="Z1224" i="61"/>
  <c r="AB1223" i="61"/>
  <c r="AA1223" i="61"/>
  <c r="Z1223" i="61"/>
  <c r="AB1222" i="61"/>
  <c r="AA1222" i="61"/>
  <c r="Z1222" i="61"/>
  <c r="AB1221" i="61"/>
  <c r="AA1221" i="61"/>
  <c r="Z1221" i="61"/>
  <c r="AB1220" i="61"/>
  <c r="AA1220" i="61"/>
  <c r="Z1220" i="61"/>
  <c r="AB1219" i="61"/>
  <c r="AA1219" i="61"/>
  <c r="Z1219" i="61"/>
  <c r="AB1218" i="61"/>
  <c r="AA1218" i="61"/>
  <c r="Z1218" i="61"/>
  <c r="AB1217" i="61"/>
  <c r="AA1217" i="61"/>
  <c r="Z1217" i="61"/>
  <c r="AB1216" i="61"/>
  <c r="AA1216" i="61"/>
  <c r="Z1216" i="61"/>
  <c r="AB1215" i="61"/>
  <c r="AA1215" i="61"/>
  <c r="Z1215" i="61"/>
  <c r="AB1214" i="61"/>
  <c r="AA1214" i="61"/>
  <c r="Z1214" i="61"/>
  <c r="AB1213" i="61"/>
  <c r="AA1213" i="61"/>
  <c r="Z1213" i="61"/>
  <c r="AB1212" i="61"/>
  <c r="AA1212" i="61"/>
  <c r="Z1212" i="61"/>
  <c r="AB1211" i="61"/>
  <c r="AA1211" i="61"/>
  <c r="Z1211" i="61"/>
  <c r="AB1210" i="61"/>
  <c r="AA1210" i="61"/>
  <c r="Z1210" i="61"/>
  <c r="AB1209" i="61"/>
  <c r="AA1209" i="61"/>
  <c r="Z1209" i="61"/>
  <c r="AB1208" i="61"/>
  <c r="AA1208" i="61"/>
  <c r="Z1208" i="61"/>
  <c r="AB1207" i="61"/>
  <c r="AA1207" i="61"/>
  <c r="Z1207" i="61"/>
  <c r="AB1206" i="61"/>
  <c r="AA1206" i="61"/>
  <c r="Z1206" i="61"/>
  <c r="AB1205" i="61"/>
  <c r="AA1205" i="61"/>
  <c r="Z1205" i="61"/>
  <c r="AB1204" i="61"/>
  <c r="AA1204" i="61"/>
  <c r="Z1204" i="61"/>
  <c r="AB1203" i="61"/>
  <c r="AA1203" i="61"/>
  <c r="Z1203" i="61"/>
  <c r="AB1202" i="61"/>
  <c r="AA1202" i="61"/>
  <c r="Z1202" i="61"/>
  <c r="AB1201" i="61"/>
  <c r="AA1201" i="61"/>
  <c r="Z1201" i="61"/>
  <c r="AB1200" i="61"/>
  <c r="AA1200" i="61"/>
  <c r="Z1200" i="61"/>
  <c r="AB1199" i="61"/>
  <c r="AA1199" i="61"/>
  <c r="Z1199" i="61"/>
  <c r="AB1198" i="61"/>
  <c r="AA1198" i="61"/>
  <c r="Z1198" i="61"/>
  <c r="AB1197" i="61"/>
  <c r="AA1197" i="61"/>
  <c r="Z1197" i="61"/>
  <c r="AB1196" i="61"/>
  <c r="AA1196" i="61"/>
  <c r="Z1196" i="61"/>
  <c r="AB1195" i="61"/>
  <c r="AA1195" i="61"/>
  <c r="Z1195" i="61"/>
  <c r="AB1194" i="61"/>
  <c r="AA1194" i="61"/>
  <c r="Z1194" i="61"/>
  <c r="AB1193" i="61"/>
  <c r="AA1193" i="61"/>
  <c r="Z1193" i="61"/>
  <c r="AB1192" i="61"/>
  <c r="AA1192" i="61"/>
  <c r="Z1192" i="61"/>
  <c r="AB1191" i="61"/>
  <c r="AA1191" i="61"/>
  <c r="Z1191" i="61"/>
  <c r="AB1190" i="61"/>
  <c r="AA1190" i="61"/>
  <c r="Z1190" i="61"/>
  <c r="AB1189" i="61"/>
  <c r="AA1189" i="61"/>
  <c r="Z1189" i="61"/>
  <c r="AB1188" i="61"/>
  <c r="AA1188" i="61"/>
  <c r="Z1188" i="61"/>
  <c r="AB1187" i="61"/>
  <c r="AA1187" i="61"/>
  <c r="Z1187" i="61"/>
  <c r="AB1186" i="61"/>
  <c r="AA1186" i="61"/>
  <c r="Z1186" i="61"/>
  <c r="AB1185" i="61"/>
  <c r="AA1185" i="61"/>
  <c r="Z1185" i="61"/>
  <c r="AB1184" i="61"/>
  <c r="AA1184" i="61"/>
  <c r="Z1184" i="61"/>
  <c r="AB1183" i="61"/>
  <c r="AA1183" i="61"/>
  <c r="Z1183" i="61"/>
  <c r="AB1182" i="61"/>
  <c r="AA1182" i="61"/>
  <c r="Z1182" i="61"/>
  <c r="AB1181" i="61"/>
  <c r="AA1181" i="61"/>
  <c r="Z1181" i="61"/>
  <c r="AB1180" i="61"/>
  <c r="AA1180" i="61"/>
  <c r="Z1180" i="61"/>
  <c r="AB1179" i="61"/>
  <c r="AA1179" i="61"/>
  <c r="Z1179" i="61"/>
  <c r="AB1178" i="61"/>
  <c r="AA1178" i="61"/>
  <c r="Z1178" i="61"/>
  <c r="AB1177" i="61"/>
  <c r="AA1177" i="61"/>
  <c r="Z1177" i="61"/>
  <c r="AB1176" i="61"/>
  <c r="AA1176" i="61"/>
  <c r="Z1176" i="61"/>
  <c r="AB1175" i="61"/>
  <c r="AA1175" i="61"/>
  <c r="Z1175" i="61"/>
  <c r="AB1174" i="61"/>
  <c r="AA1174" i="61"/>
  <c r="Z1174" i="61"/>
  <c r="AB1173" i="61"/>
  <c r="AA1173" i="61"/>
  <c r="Z1173" i="61"/>
  <c r="AB1172" i="61"/>
  <c r="AA1172" i="61"/>
  <c r="Z1172" i="61"/>
  <c r="AB1171" i="61"/>
  <c r="AA1171" i="61"/>
  <c r="Z1171" i="61"/>
  <c r="AB1170" i="61"/>
  <c r="AA1170" i="61"/>
  <c r="Z1170" i="61"/>
  <c r="AB1169" i="61"/>
  <c r="AA1169" i="61"/>
  <c r="Z1169" i="61"/>
  <c r="AB1168" i="61"/>
  <c r="AA1168" i="61"/>
  <c r="Z1168" i="61"/>
  <c r="AB1167" i="61"/>
  <c r="AA1167" i="61"/>
  <c r="Z1167" i="61"/>
  <c r="AB1166" i="61"/>
  <c r="AA1166" i="61"/>
  <c r="Z1166" i="61"/>
  <c r="AB1165" i="61"/>
  <c r="AA1165" i="61"/>
  <c r="Z1165" i="61"/>
  <c r="AB1164" i="61"/>
  <c r="AA1164" i="61"/>
  <c r="Z1164" i="61"/>
  <c r="AB1163" i="61"/>
  <c r="AA1163" i="61"/>
  <c r="Z1163" i="61"/>
  <c r="AB1162" i="61"/>
  <c r="AA1162" i="61"/>
  <c r="Z1162" i="61"/>
  <c r="AB1161" i="61"/>
  <c r="AA1161" i="61"/>
  <c r="Z1161" i="61"/>
  <c r="AB1160" i="61"/>
  <c r="AA1160" i="61"/>
  <c r="Z1160" i="61"/>
  <c r="AB1159" i="61"/>
  <c r="AA1159" i="61"/>
  <c r="Z1159" i="61"/>
  <c r="AB1158" i="61"/>
  <c r="AA1158" i="61"/>
  <c r="Z1158" i="61"/>
  <c r="AB1157" i="61"/>
  <c r="AA1157" i="61"/>
  <c r="Z1157" i="61"/>
  <c r="AB1156" i="61"/>
  <c r="AA1156" i="61"/>
  <c r="Z1156" i="61"/>
  <c r="AB1155" i="61"/>
  <c r="AA1155" i="61"/>
  <c r="Z1155" i="61"/>
  <c r="AB1154" i="61"/>
  <c r="AA1154" i="61"/>
  <c r="Z1154" i="61"/>
  <c r="AB1153" i="61"/>
  <c r="AA1153" i="61"/>
  <c r="Z1153" i="61"/>
  <c r="AB1152" i="61"/>
  <c r="AA1152" i="61"/>
  <c r="Z1152" i="61"/>
  <c r="AB1151" i="61"/>
  <c r="AA1151" i="61"/>
  <c r="Z1151" i="61"/>
  <c r="AB1150" i="61"/>
  <c r="AA1150" i="61"/>
  <c r="Z1150" i="61"/>
  <c r="AB1149" i="61"/>
  <c r="AA1149" i="61"/>
  <c r="Z1149" i="61"/>
  <c r="AB1148" i="61"/>
  <c r="AA1148" i="61"/>
  <c r="Z1148" i="61"/>
  <c r="AB1147" i="61"/>
  <c r="AA1147" i="61"/>
  <c r="Z1147" i="61"/>
  <c r="AB1146" i="61"/>
  <c r="AA1146" i="61"/>
  <c r="Z1146" i="61"/>
  <c r="AB1145" i="61"/>
  <c r="AA1145" i="61"/>
  <c r="Z1145" i="61"/>
  <c r="AB1144" i="61"/>
  <c r="AA1144" i="61"/>
  <c r="Z1144" i="61"/>
  <c r="AB1143" i="61"/>
  <c r="AA1143" i="61"/>
  <c r="Z1143" i="61"/>
  <c r="AB1142" i="61"/>
  <c r="AA1142" i="61"/>
  <c r="Z1142" i="61"/>
  <c r="AB1141" i="61"/>
  <c r="AA1141" i="61"/>
  <c r="Z1141" i="61"/>
  <c r="AB1140" i="61"/>
  <c r="AA1140" i="61"/>
  <c r="Z1140" i="61"/>
  <c r="AB1139" i="61"/>
  <c r="AA1139" i="61"/>
  <c r="Z1139" i="61"/>
  <c r="AB1138" i="61"/>
  <c r="AA1138" i="61"/>
  <c r="Z1138" i="61"/>
  <c r="AB1137" i="61"/>
  <c r="AA1137" i="61"/>
  <c r="Z1137" i="61"/>
  <c r="AB1136" i="61"/>
  <c r="AA1136" i="61"/>
  <c r="Z1136" i="61"/>
  <c r="AB1135" i="61"/>
  <c r="AA1135" i="61"/>
  <c r="Z1135" i="61"/>
  <c r="AB1134" i="61"/>
  <c r="AA1134" i="61"/>
  <c r="Z1134" i="61"/>
  <c r="AB1133" i="61"/>
  <c r="AA1133" i="61"/>
  <c r="Z1133" i="61"/>
  <c r="AB1132" i="61"/>
  <c r="AA1132" i="61"/>
  <c r="Z1132" i="61"/>
  <c r="AB1131" i="61"/>
  <c r="AA1131" i="61"/>
  <c r="Z1131" i="61"/>
  <c r="AB1130" i="61"/>
  <c r="AA1130" i="61"/>
  <c r="Z1130" i="61"/>
  <c r="AB1129" i="61"/>
  <c r="AA1129" i="61"/>
  <c r="Z1129" i="61"/>
  <c r="AB1128" i="61"/>
  <c r="AA1128" i="61"/>
  <c r="Z1128" i="61"/>
  <c r="AB1127" i="61"/>
  <c r="AA1127" i="61"/>
  <c r="Z1127" i="61"/>
  <c r="AB1126" i="61"/>
  <c r="AA1126" i="61"/>
  <c r="Z1126" i="61"/>
  <c r="AB1125" i="61"/>
  <c r="AA1125" i="61"/>
  <c r="Z1125" i="61"/>
  <c r="AB1124" i="61"/>
  <c r="AA1124" i="61"/>
  <c r="Z1124" i="61"/>
  <c r="AB1123" i="61"/>
  <c r="AA1123" i="61"/>
  <c r="Z1123" i="61"/>
  <c r="AB1122" i="61"/>
  <c r="AA1122" i="61"/>
  <c r="Z1122" i="61"/>
  <c r="AB1121" i="61"/>
  <c r="AA1121" i="61"/>
  <c r="Z1121" i="61"/>
  <c r="AB1120" i="61"/>
  <c r="AA1120" i="61"/>
  <c r="Z1120" i="61"/>
  <c r="AB1119" i="61"/>
  <c r="AA1119" i="61"/>
  <c r="Z1119" i="61"/>
  <c r="AB1118" i="61"/>
  <c r="AA1118" i="61"/>
  <c r="Z1118" i="61"/>
  <c r="AB1117" i="61"/>
  <c r="AA1117" i="61"/>
  <c r="Z1117" i="61"/>
  <c r="AB1116" i="61"/>
  <c r="AA1116" i="61"/>
  <c r="Z1116" i="61"/>
  <c r="AB1115" i="61"/>
  <c r="AA1115" i="61"/>
  <c r="Z1115" i="61"/>
  <c r="AB1114" i="61"/>
  <c r="AA1114" i="61"/>
  <c r="Z1114" i="61"/>
  <c r="AB1113" i="61"/>
  <c r="AA1113" i="61"/>
  <c r="Z1113" i="61"/>
  <c r="AB1112" i="61"/>
  <c r="AA1112" i="61"/>
  <c r="Z1112" i="61"/>
  <c r="AB1111" i="61"/>
  <c r="AA1111" i="61"/>
  <c r="Z1111" i="61"/>
  <c r="AB1110" i="61"/>
  <c r="AA1110" i="61"/>
  <c r="Z1110" i="61"/>
  <c r="AB1109" i="61"/>
  <c r="AA1109" i="61"/>
  <c r="Z1109" i="61"/>
  <c r="AB1108" i="61"/>
  <c r="AA1108" i="61"/>
  <c r="Z1108" i="61"/>
  <c r="AB1107" i="61"/>
  <c r="AA1107" i="61"/>
  <c r="Z1107" i="61"/>
  <c r="AB1106" i="61"/>
  <c r="AA1106" i="61"/>
  <c r="Z1106" i="61"/>
  <c r="AB1105" i="61"/>
  <c r="AA1105" i="61"/>
  <c r="Z1105" i="61"/>
  <c r="AB1104" i="61"/>
  <c r="AA1104" i="61"/>
  <c r="Z1104" i="61"/>
  <c r="AB1103" i="61"/>
  <c r="AA1103" i="61"/>
  <c r="Z1103" i="61"/>
  <c r="AB1102" i="61"/>
  <c r="AA1102" i="61"/>
  <c r="Z1102" i="61"/>
  <c r="AB1101" i="61"/>
  <c r="AA1101" i="61"/>
  <c r="Z1101" i="61"/>
  <c r="AB1100" i="61"/>
  <c r="AA1100" i="61"/>
  <c r="Z1100" i="61"/>
  <c r="AB1099" i="61"/>
  <c r="AA1099" i="61"/>
  <c r="Z1099" i="61"/>
  <c r="AB1098" i="61"/>
  <c r="AA1098" i="61"/>
  <c r="Z1098" i="61"/>
  <c r="AB1097" i="61"/>
  <c r="AA1097" i="61"/>
  <c r="Z1097" i="61"/>
  <c r="AB1096" i="61"/>
  <c r="AA1096" i="61"/>
  <c r="Z1096" i="61"/>
  <c r="AB1095" i="61"/>
  <c r="AA1095" i="61"/>
  <c r="Z1095" i="61"/>
  <c r="AB1094" i="61"/>
  <c r="AA1094" i="61"/>
  <c r="Z1094" i="61"/>
  <c r="AB1093" i="61"/>
  <c r="AA1093" i="61"/>
  <c r="Z1093" i="61"/>
  <c r="AB1092" i="61"/>
  <c r="AA1092" i="61"/>
  <c r="Z1092" i="61"/>
  <c r="AB1091" i="61"/>
  <c r="AA1091" i="61"/>
  <c r="Z1091" i="61"/>
  <c r="AB1090" i="61"/>
  <c r="AA1090" i="61"/>
  <c r="Z1090" i="61"/>
  <c r="AB1089" i="61"/>
  <c r="AA1089" i="61"/>
  <c r="Z1089" i="61"/>
  <c r="AB1088" i="61"/>
  <c r="AA1088" i="61"/>
  <c r="Z1088" i="61"/>
  <c r="AB1087" i="61"/>
  <c r="AA1087" i="61"/>
  <c r="Z1087" i="61"/>
  <c r="AB1086" i="61"/>
  <c r="AA1086" i="61"/>
  <c r="Z1086" i="61"/>
  <c r="AB1085" i="61"/>
  <c r="AA1085" i="61"/>
  <c r="Z1085" i="61"/>
  <c r="AB1084" i="61"/>
  <c r="AA1084" i="61"/>
  <c r="Z1084" i="61"/>
  <c r="AB1083" i="61"/>
  <c r="AA1083" i="61"/>
  <c r="Z1083" i="61"/>
  <c r="AB1082" i="61"/>
  <c r="AA1082" i="61"/>
  <c r="Z1082" i="61"/>
  <c r="AB1081" i="61"/>
  <c r="AA1081" i="61"/>
  <c r="Z1081" i="61"/>
  <c r="AB1080" i="61"/>
  <c r="AA1080" i="61"/>
  <c r="Z1080" i="61"/>
  <c r="AB1079" i="61"/>
  <c r="AA1079" i="61"/>
  <c r="Z1079" i="61"/>
  <c r="AB1078" i="61"/>
  <c r="AA1078" i="61"/>
  <c r="Z1078" i="61"/>
  <c r="AB1077" i="61"/>
  <c r="AA1077" i="61"/>
  <c r="Z1077" i="61"/>
  <c r="AB1076" i="61"/>
  <c r="AA1076" i="61"/>
  <c r="Z1076" i="61"/>
  <c r="AB1075" i="61"/>
  <c r="AA1075" i="61"/>
  <c r="Z1075" i="61"/>
  <c r="AB1074" i="61"/>
  <c r="AA1074" i="61"/>
  <c r="Z1074" i="61"/>
  <c r="AB1073" i="61"/>
  <c r="AA1073" i="61"/>
  <c r="Z1073" i="61"/>
  <c r="AB1072" i="61"/>
  <c r="AA1072" i="61"/>
  <c r="Z1072" i="61"/>
  <c r="AB1071" i="61"/>
  <c r="AA1071" i="61"/>
  <c r="Z1071" i="61"/>
  <c r="AB1070" i="61"/>
  <c r="AA1070" i="61"/>
  <c r="Z1070" i="61"/>
  <c r="AB1069" i="61"/>
  <c r="AA1069" i="61"/>
  <c r="Z1069" i="61"/>
  <c r="AB1068" i="61"/>
  <c r="AA1068" i="61"/>
  <c r="Z1068" i="61"/>
  <c r="AB1067" i="61"/>
  <c r="AA1067" i="61"/>
  <c r="Z1067" i="61"/>
  <c r="AB1066" i="61"/>
  <c r="AA1066" i="61"/>
  <c r="Z1066" i="61"/>
  <c r="AB1065" i="61"/>
  <c r="AA1065" i="61"/>
  <c r="Z1065" i="61"/>
  <c r="AB1064" i="61"/>
  <c r="AA1064" i="61"/>
  <c r="Z1064" i="61"/>
  <c r="AB1063" i="61"/>
  <c r="AA1063" i="61"/>
  <c r="Z1063" i="61"/>
  <c r="AB1062" i="61"/>
  <c r="AA1062" i="61"/>
  <c r="Z1062" i="61"/>
  <c r="AB1061" i="61"/>
  <c r="AA1061" i="61"/>
  <c r="Z1061" i="61"/>
  <c r="AB1060" i="61"/>
  <c r="AA1060" i="61"/>
  <c r="Z1060" i="61"/>
  <c r="AB1059" i="61"/>
  <c r="AA1059" i="61"/>
  <c r="Z1059" i="61"/>
  <c r="AB1058" i="61"/>
  <c r="AA1058" i="61"/>
  <c r="Z1058" i="61"/>
  <c r="AB1057" i="61"/>
  <c r="AA1057" i="61"/>
  <c r="Z1057" i="61"/>
  <c r="AB1056" i="61"/>
  <c r="AA1056" i="61"/>
  <c r="Z1056" i="61"/>
  <c r="AB1055" i="61"/>
  <c r="AA1055" i="61"/>
  <c r="Z1055" i="61"/>
  <c r="AB1054" i="61"/>
  <c r="AA1054" i="61"/>
  <c r="Z1054" i="61"/>
  <c r="AB1053" i="61"/>
  <c r="AA1053" i="61"/>
  <c r="Z1053" i="61"/>
  <c r="AB1052" i="61"/>
  <c r="AA1052" i="61"/>
  <c r="Z1052" i="61"/>
  <c r="AB1051" i="61"/>
  <c r="AA1051" i="61"/>
  <c r="Z1051" i="61"/>
  <c r="AB1050" i="61"/>
  <c r="AA1050" i="61"/>
  <c r="Z1050" i="61"/>
  <c r="AB1049" i="61"/>
  <c r="AA1049" i="61"/>
  <c r="Z1049" i="61"/>
  <c r="AB1048" i="61"/>
  <c r="AA1048" i="61"/>
  <c r="Z1048" i="61"/>
  <c r="AB1047" i="61"/>
  <c r="AA1047" i="61"/>
  <c r="Z1047" i="61"/>
  <c r="AB1046" i="61"/>
  <c r="AA1046" i="61"/>
  <c r="Z1046" i="61"/>
  <c r="AB1045" i="61"/>
  <c r="AA1045" i="61"/>
  <c r="Z1045" i="61"/>
  <c r="AB1044" i="61"/>
  <c r="AA1044" i="61"/>
  <c r="Z1044" i="61"/>
  <c r="AB1043" i="61"/>
  <c r="AA1043" i="61"/>
  <c r="Z1043" i="61"/>
  <c r="AB1042" i="61"/>
  <c r="AA1042" i="61"/>
  <c r="Z1042" i="61"/>
  <c r="AB1041" i="61"/>
  <c r="AA1041" i="61"/>
  <c r="Z1041" i="61"/>
  <c r="AB1040" i="61"/>
  <c r="AA1040" i="61"/>
  <c r="Z1040" i="61"/>
  <c r="AB1039" i="61"/>
  <c r="AA1039" i="61"/>
  <c r="Z1039" i="61"/>
  <c r="AB1038" i="61"/>
  <c r="AA1038" i="61"/>
  <c r="Z1038" i="61"/>
  <c r="AB1037" i="61"/>
  <c r="AA1037" i="61"/>
  <c r="Z1037" i="61"/>
  <c r="AB1036" i="61"/>
  <c r="AA1036" i="61"/>
  <c r="Z1036" i="61"/>
  <c r="AB1035" i="61"/>
  <c r="AA1035" i="61"/>
  <c r="Z1035" i="61"/>
  <c r="AB1034" i="61"/>
  <c r="AA1034" i="61"/>
  <c r="Z1034" i="61"/>
  <c r="AB1033" i="61"/>
  <c r="AA1033" i="61"/>
  <c r="Z1033" i="61"/>
  <c r="AB1032" i="61"/>
  <c r="AA1032" i="61"/>
  <c r="Z1032" i="61"/>
  <c r="AB1031" i="61"/>
  <c r="AA1031" i="61"/>
  <c r="Z1031" i="61"/>
  <c r="AB1030" i="61"/>
  <c r="AA1030" i="61"/>
  <c r="Z1030" i="61"/>
  <c r="AB1029" i="61"/>
  <c r="AA1029" i="61"/>
  <c r="Z1029" i="61"/>
  <c r="AB1028" i="61"/>
  <c r="AA1028" i="61"/>
  <c r="Z1028" i="61"/>
  <c r="AB1027" i="61"/>
  <c r="AA1027" i="61"/>
  <c r="Z1027" i="61"/>
  <c r="AB1026" i="61"/>
  <c r="AA1026" i="61"/>
  <c r="Z1026" i="61"/>
  <c r="AB1025" i="61"/>
  <c r="AA1025" i="61"/>
  <c r="Z1025" i="61"/>
  <c r="AB1024" i="61"/>
  <c r="AA1024" i="61"/>
  <c r="Z1024" i="61"/>
  <c r="AB1023" i="61"/>
  <c r="AA1023" i="61"/>
  <c r="Z1023" i="61"/>
  <c r="AB1022" i="61"/>
  <c r="AA1022" i="61"/>
  <c r="Z1022" i="61"/>
  <c r="AB1021" i="61"/>
  <c r="AA1021" i="61"/>
  <c r="Z1021" i="61"/>
  <c r="AB1020" i="61"/>
  <c r="AA1020" i="61"/>
  <c r="Z1020" i="61"/>
  <c r="AB1019" i="61"/>
  <c r="AA1019" i="61"/>
  <c r="Z1019" i="61"/>
  <c r="AB1018" i="61"/>
  <c r="AA1018" i="61"/>
  <c r="Z1018" i="61"/>
  <c r="AB1017" i="61"/>
  <c r="AA1017" i="61"/>
  <c r="Z1017" i="61"/>
  <c r="AB1016" i="61"/>
  <c r="AA1016" i="61"/>
  <c r="Z1016" i="61"/>
  <c r="AB1015" i="61"/>
  <c r="AA1015" i="61"/>
  <c r="Z1015" i="61"/>
  <c r="AB1014" i="61"/>
  <c r="AA1014" i="61"/>
  <c r="Z1014" i="61"/>
  <c r="AB1013" i="61"/>
  <c r="AA1013" i="61"/>
  <c r="Z1013" i="61"/>
  <c r="AB1012" i="61"/>
  <c r="AA1012" i="61"/>
  <c r="Z1012" i="61"/>
  <c r="AB1011" i="61"/>
  <c r="AA1011" i="61"/>
  <c r="Z1011" i="61"/>
  <c r="AB1010" i="61"/>
  <c r="AA1010" i="61"/>
  <c r="Z1010" i="61"/>
  <c r="AB1009" i="61"/>
  <c r="AA1009" i="61"/>
  <c r="Z1009" i="61"/>
  <c r="AB1008" i="61"/>
  <c r="AA1008" i="61"/>
  <c r="Z1008" i="61"/>
  <c r="AB1007" i="61"/>
  <c r="AA1007" i="61"/>
  <c r="Z1007" i="61"/>
  <c r="AB1006" i="61"/>
  <c r="AA1006" i="61"/>
  <c r="Z1006" i="61"/>
  <c r="AB1005" i="61"/>
  <c r="AA1005" i="61"/>
  <c r="Z1005" i="61"/>
  <c r="AB1004" i="61"/>
  <c r="AA1004" i="61"/>
  <c r="Z1004" i="61"/>
  <c r="AB1003" i="61"/>
  <c r="AA1003" i="61"/>
  <c r="Z1003" i="61"/>
  <c r="AB1002" i="61"/>
  <c r="AA1002" i="61"/>
  <c r="Z1002" i="61"/>
  <c r="AB1001" i="61"/>
  <c r="AA1001" i="61"/>
  <c r="Z1001" i="61"/>
  <c r="AB1000" i="61"/>
  <c r="AA1000" i="61"/>
  <c r="Z1000" i="61"/>
  <c r="AB999" i="61"/>
  <c r="AA999" i="61"/>
  <c r="Z999" i="61"/>
  <c r="AB998" i="61"/>
  <c r="AA998" i="61"/>
  <c r="Z998" i="61"/>
  <c r="AB997" i="61"/>
  <c r="AA997" i="61"/>
  <c r="Z997" i="61"/>
  <c r="AB996" i="61"/>
  <c r="AA996" i="61"/>
  <c r="Z996" i="61"/>
  <c r="AB995" i="61"/>
  <c r="AA995" i="61"/>
  <c r="Z995" i="61"/>
  <c r="AB994" i="61"/>
  <c r="AA994" i="61"/>
  <c r="Z994" i="61"/>
  <c r="AB993" i="61"/>
  <c r="AA993" i="61"/>
  <c r="Z993" i="61"/>
  <c r="AB992" i="61"/>
  <c r="AA992" i="61"/>
  <c r="Z992" i="61"/>
  <c r="AB991" i="61"/>
  <c r="AA991" i="61"/>
  <c r="Z991" i="61"/>
  <c r="AB990" i="61"/>
  <c r="AA990" i="61"/>
  <c r="Z990" i="61"/>
  <c r="AB989" i="61"/>
  <c r="AA989" i="61"/>
  <c r="Z989" i="61"/>
  <c r="AB988" i="61"/>
  <c r="AA988" i="61"/>
  <c r="Z988" i="61"/>
  <c r="AB987" i="61"/>
  <c r="AA987" i="61"/>
  <c r="Z987" i="61"/>
  <c r="AB986" i="61"/>
  <c r="AA986" i="61"/>
  <c r="Z986" i="61"/>
  <c r="AB985" i="61"/>
  <c r="AA985" i="61"/>
  <c r="Z985" i="61"/>
  <c r="AB984" i="61"/>
  <c r="AA984" i="61"/>
  <c r="Z984" i="61"/>
  <c r="AB983" i="61"/>
  <c r="AA983" i="61"/>
  <c r="Z983" i="61"/>
  <c r="AB982" i="61"/>
  <c r="AA982" i="61"/>
  <c r="Z982" i="61"/>
  <c r="AB981" i="61"/>
  <c r="AA981" i="61"/>
  <c r="Z981" i="61"/>
  <c r="AB980" i="61"/>
  <c r="AA980" i="61"/>
  <c r="Z980" i="61"/>
  <c r="AB979" i="61"/>
  <c r="AA979" i="61"/>
  <c r="Z979" i="61"/>
  <c r="AB978" i="61"/>
  <c r="AA978" i="61"/>
  <c r="Z978" i="61"/>
  <c r="AB977" i="61"/>
  <c r="AA977" i="61"/>
  <c r="Z977" i="61"/>
  <c r="AB976" i="61"/>
  <c r="AA976" i="61"/>
  <c r="Z976" i="61"/>
  <c r="AB975" i="61"/>
  <c r="AA975" i="61"/>
  <c r="Z975" i="61"/>
  <c r="AB974" i="61"/>
  <c r="AA974" i="61"/>
  <c r="Z974" i="61"/>
  <c r="AB973" i="61"/>
  <c r="AA973" i="61"/>
  <c r="Z973" i="61"/>
  <c r="AB972" i="61"/>
  <c r="AA972" i="61"/>
  <c r="Z972" i="61"/>
  <c r="AB971" i="61"/>
  <c r="AA971" i="61"/>
  <c r="Z971" i="61"/>
  <c r="AB970" i="61"/>
  <c r="AA970" i="61"/>
  <c r="Z970" i="61"/>
  <c r="AB969" i="61"/>
  <c r="AA969" i="61"/>
  <c r="Z969" i="61"/>
  <c r="AB968" i="61"/>
  <c r="AA968" i="61"/>
  <c r="Z968" i="61"/>
  <c r="AB967" i="61"/>
  <c r="AA967" i="61"/>
  <c r="Z967" i="61"/>
  <c r="AB966" i="61"/>
  <c r="AA966" i="61"/>
  <c r="Z966" i="61"/>
  <c r="AB965" i="61"/>
  <c r="AA965" i="61"/>
  <c r="Z965" i="61"/>
  <c r="AB964" i="61"/>
  <c r="AA964" i="61"/>
  <c r="Z964" i="61"/>
  <c r="AB963" i="61"/>
  <c r="AA963" i="61"/>
  <c r="Z963" i="61"/>
  <c r="AB962" i="61"/>
  <c r="AA962" i="61"/>
  <c r="Z962" i="61"/>
  <c r="AB961" i="61"/>
  <c r="AA961" i="61"/>
  <c r="Z961" i="61"/>
  <c r="AB960" i="61"/>
  <c r="AA960" i="61"/>
  <c r="Z960" i="61"/>
  <c r="AB959" i="61"/>
  <c r="AA959" i="61"/>
  <c r="Z959" i="61"/>
  <c r="AB958" i="61"/>
  <c r="AA958" i="61"/>
  <c r="Z958" i="61"/>
  <c r="AB957" i="61"/>
  <c r="AA957" i="61"/>
  <c r="Z957" i="61"/>
  <c r="AB956" i="61"/>
  <c r="AA956" i="61"/>
  <c r="Z956" i="61"/>
  <c r="AB955" i="61"/>
  <c r="AA955" i="61"/>
  <c r="Z955" i="61"/>
  <c r="AB954" i="61"/>
  <c r="AA954" i="61"/>
  <c r="Z954" i="61"/>
  <c r="AB953" i="61"/>
  <c r="AA953" i="61"/>
  <c r="Z953" i="61"/>
  <c r="AB952" i="61"/>
  <c r="AA952" i="61"/>
  <c r="Z952" i="61"/>
  <c r="AB951" i="61"/>
  <c r="AA951" i="61"/>
  <c r="Z951" i="61"/>
  <c r="AB950" i="61"/>
  <c r="AA950" i="61"/>
  <c r="Z950" i="61"/>
  <c r="AB949" i="61"/>
  <c r="AA949" i="61"/>
  <c r="Z949" i="61"/>
  <c r="AB948" i="61"/>
  <c r="AA948" i="61"/>
  <c r="Z948" i="61"/>
  <c r="AB947" i="61"/>
  <c r="AA947" i="61"/>
  <c r="Z947" i="61"/>
  <c r="AB946" i="61"/>
  <c r="AA946" i="61"/>
  <c r="Z946" i="61"/>
  <c r="AB945" i="61"/>
  <c r="AA945" i="61"/>
  <c r="Z945" i="61"/>
  <c r="AB944" i="61"/>
  <c r="AA944" i="61"/>
  <c r="Z944" i="61"/>
  <c r="AB943" i="61"/>
  <c r="AA943" i="61"/>
  <c r="Z943" i="61"/>
  <c r="AB942" i="61"/>
  <c r="AA942" i="61"/>
  <c r="Z942" i="61"/>
  <c r="AB941" i="61"/>
  <c r="AA941" i="61"/>
  <c r="Z941" i="61"/>
  <c r="AB940" i="61"/>
  <c r="AA940" i="61"/>
  <c r="Z940" i="61"/>
  <c r="AB939" i="61"/>
  <c r="AA939" i="61"/>
  <c r="Z939" i="61"/>
  <c r="AB938" i="61"/>
  <c r="AA938" i="61"/>
  <c r="Z938" i="61"/>
  <c r="AB937" i="61"/>
  <c r="AA937" i="61"/>
  <c r="Z937" i="61"/>
  <c r="AB936" i="61"/>
  <c r="AA936" i="61"/>
  <c r="Z936" i="61"/>
  <c r="AB935" i="61"/>
  <c r="AA935" i="61"/>
  <c r="Z935" i="61"/>
  <c r="AB934" i="61"/>
  <c r="AA934" i="61"/>
  <c r="Z934" i="61"/>
  <c r="AB933" i="61"/>
  <c r="AA933" i="61"/>
  <c r="Z933" i="61"/>
  <c r="AB932" i="61"/>
  <c r="AA932" i="61"/>
  <c r="Z932" i="61"/>
  <c r="AB931" i="61"/>
  <c r="AA931" i="61"/>
  <c r="Z931" i="61"/>
  <c r="AB930" i="61"/>
  <c r="AA930" i="61"/>
  <c r="Z930" i="61"/>
  <c r="AB929" i="61"/>
  <c r="AA929" i="61"/>
  <c r="Z929" i="61"/>
  <c r="AB928" i="61"/>
  <c r="AA928" i="61"/>
  <c r="Z928" i="61"/>
  <c r="AB927" i="61"/>
  <c r="AA927" i="61"/>
  <c r="Z927" i="61"/>
  <c r="AB926" i="61"/>
  <c r="AA926" i="61"/>
  <c r="Z926" i="61"/>
  <c r="AB925" i="61"/>
  <c r="AA925" i="61"/>
  <c r="Z925" i="61"/>
  <c r="AB924" i="61"/>
  <c r="AA924" i="61"/>
  <c r="Z924" i="61"/>
  <c r="AB923" i="61"/>
  <c r="AA923" i="61"/>
  <c r="Z923" i="61"/>
  <c r="AB922" i="61"/>
  <c r="AA922" i="61"/>
  <c r="Z922" i="61"/>
  <c r="AB921" i="61"/>
  <c r="AA921" i="61"/>
  <c r="Z921" i="61"/>
  <c r="AB920" i="61"/>
  <c r="AA920" i="61"/>
  <c r="Z920" i="61"/>
  <c r="AB919" i="61"/>
  <c r="AA919" i="61"/>
  <c r="Z919" i="61"/>
  <c r="AB918" i="61"/>
  <c r="AA918" i="61"/>
  <c r="Z918" i="61"/>
  <c r="AB917" i="61"/>
  <c r="AA917" i="61"/>
  <c r="Z917" i="61"/>
  <c r="AB916" i="61"/>
  <c r="AA916" i="61"/>
  <c r="Z916" i="61"/>
  <c r="AB915" i="61"/>
  <c r="AA915" i="61"/>
  <c r="Z915" i="61"/>
  <c r="AB914" i="61"/>
  <c r="AA914" i="61"/>
  <c r="Z914" i="61"/>
  <c r="AB913" i="61"/>
  <c r="AA913" i="61"/>
  <c r="Z913" i="61"/>
  <c r="AB912" i="61"/>
  <c r="AA912" i="61"/>
  <c r="Z912" i="61"/>
  <c r="AB911" i="61"/>
  <c r="AA911" i="61"/>
  <c r="Z911" i="61"/>
  <c r="AB910" i="61"/>
  <c r="AA910" i="61"/>
  <c r="Z910" i="61"/>
  <c r="AB909" i="61"/>
  <c r="AA909" i="61"/>
  <c r="Z909" i="61"/>
  <c r="AB908" i="61"/>
  <c r="AA908" i="61"/>
  <c r="Z908" i="61"/>
  <c r="AB907" i="61"/>
  <c r="AA907" i="61"/>
  <c r="Z907" i="61"/>
  <c r="AB906" i="61"/>
  <c r="AA906" i="61"/>
  <c r="Z906" i="61"/>
  <c r="AB905" i="61"/>
  <c r="AA905" i="61"/>
  <c r="Z905" i="61"/>
  <c r="AB904" i="61"/>
  <c r="AA904" i="61"/>
  <c r="Z904" i="61"/>
  <c r="AB903" i="61"/>
  <c r="AA903" i="61"/>
  <c r="Z903" i="61"/>
  <c r="AB902" i="61"/>
  <c r="AA902" i="61"/>
  <c r="Z902" i="61"/>
  <c r="AB901" i="61"/>
  <c r="AA901" i="61"/>
  <c r="Z901" i="61"/>
  <c r="AB900" i="61"/>
  <c r="AA900" i="61"/>
  <c r="Z900" i="61"/>
  <c r="AB899" i="61"/>
  <c r="AA899" i="61"/>
  <c r="Z899" i="61"/>
  <c r="AB898" i="61"/>
  <c r="AA898" i="61"/>
  <c r="Z898" i="61"/>
  <c r="AB897" i="61"/>
  <c r="AA897" i="61"/>
  <c r="Z897" i="61"/>
  <c r="AB896" i="61"/>
  <c r="AA896" i="61"/>
  <c r="Z896" i="61"/>
  <c r="AB895" i="61"/>
  <c r="AA895" i="61"/>
  <c r="Z895" i="61"/>
  <c r="AB894" i="61"/>
  <c r="AA894" i="61"/>
  <c r="Z894" i="61"/>
  <c r="AB893" i="61"/>
  <c r="AA893" i="61"/>
  <c r="Z893" i="61"/>
  <c r="AB892" i="61"/>
  <c r="AA892" i="61"/>
  <c r="Z892" i="61"/>
  <c r="AB891" i="61"/>
  <c r="AA891" i="61"/>
  <c r="Z891" i="61"/>
  <c r="AB890" i="61"/>
  <c r="AA890" i="61"/>
  <c r="Z890" i="61"/>
  <c r="AB889" i="61"/>
  <c r="AA889" i="61"/>
  <c r="Z889" i="61"/>
  <c r="AB888" i="61"/>
  <c r="AA888" i="61"/>
  <c r="Z888" i="61"/>
  <c r="AB887" i="61"/>
  <c r="AA887" i="61"/>
  <c r="Z887" i="61"/>
  <c r="AB886" i="61"/>
  <c r="AA886" i="61"/>
  <c r="Z886" i="61"/>
  <c r="AB885" i="61"/>
  <c r="AA885" i="61"/>
  <c r="Z885" i="61"/>
  <c r="AB884" i="61"/>
  <c r="AA884" i="61"/>
  <c r="Z884" i="61"/>
  <c r="AB883" i="61"/>
  <c r="AA883" i="61"/>
  <c r="Z883" i="61"/>
  <c r="AB882" i="61"/>
  <c r="AA882" i="61"/>
  <c r="Z882" i="61"/>
  <c r="AB881" i="61"/>
  <c r="AA881" i="61"/>
  <c r="Z881" i="61"/>
  <c r="AB880" i="61"/>
  <c r="AA880" i="61"/>
  <c r="Z880" i="61"/>
  <c r="AB879" i="61"/>
  <c r="AA879" i="61"/>
  <c r="Z879" i="61"/>
  <c r="AB878" i="61"/>
  <c r="AA878" i="61"/>
  <c r="Z878" i="61"/>
  <c r="AB877" i="61"/>
  <c r="AA877" i="61"/>
  <c r="Z877" i="61"/>
  <c r="AB876" i="61"/>
  <c r="AA876" i="61"/>
  <c r="Z876" i="61"/>
  <c r="AB875" i="61"/>
  <c r="AA875" i="61"/>
  <c r="Z875" i="61"/>
  <c r="AB874" i="61"/>
  <c r="AA874" i="61"/>
  <c r="Z874" i="61"/>
  <c r="AB873" i="61"/>
  <c r="AA873" i="61"/>
  <c r="Z873" i="61"/>
  <c r="AB872" i="61"/>
  <c r="AA872" i="61"/>
  <c r="Z872" i="61"/>
  <c r="AB871" i="61"/>
  <c r="AA871" i="61"/>
  <c r="Z871" i="61"/>
  <c r="AB870" i="61"/>
  <c r="AA870" i="61"/>
  <c r="Z870" i="61"/>
  <c r="AB869" i="61"/>
  <c r="AA869" i="61"/>
  <c r="Z869" i="61"/>
  <c r="AB868" i="61"/>
  <c r="AA868" i="61"/>
  <c r="Z868" i="61"/>
  <c r="AB867" i="61"/>
  <c r="AA867" i="61"/>
  <c r="Z867" i="61"/>
  <c r="AB866" i="61"/>
  <c r="AA866" i="61"/>
  <c r="Z866" i="61"/>
  <c r="AB865" i="61"/>
  <c r="AA865" i="61"/>
  <c r="Z865" i="61"/>
  <c r="AB864" i="61"/>
  <c r="AA864" i="61"/>
  <c r="Z864" i="61"/>
  <c r="AB863" i="61"/>
  <c r="AA863" i="61"/>
  <c r="Z863" i="61"/>
  <c r="AB862" i="61"/>
  <c r="AA862" i="61"/>
  <c r="Z862" i="61"/>
  <c r="AB861" i="61"/>
  <c r="AA861" i="61"/>
  <c r="Z861" i="61"/>
  <c r="AB860" i="61"/>
  <c r="AA860" i="61"/>
  <c r="Z860" i="61"/>
  <c r="AB859" i="61"/>
  <c r="AA859" i="61"/>
  <c r="Z859" i="61"/>
  <c r="AB858" i="61"/>
  <c r="AA858" i="61"/>
  <c r="Z858" i="61"/>
  <c r="AB857" i="61"/>
  <c r="AA857" i="61"/>
  <c r="Z857" i="61"/>
  <c r="AB856" i="61"/>
  <c r="AA856" i="61"/>
  <c r="Z856" i="61"/>
  <c r="AB855" i="61"/>
  <c r="AA855" i="61"/>
  <c r="Z855" i="61"/>
  <c r="AB854" i="61"/>
  <c r="AA854" i="61"/>
  <c r="Z854" i="61"/>
  <c r="AB853" i="61"/>
  <c r="AA853" i="61"/>
  <c r="Z853" i="61"/>
  <c r="AB852" i="61"/>
  <c r="AA852" i="61"/>
  <c r="Z852" i="61"/>
  <c r="AB851" i="61"/>
  <c r="AA851" i="61"/>
  <c r="Z851" i="61"/>
  <c r="AB850" i="61"/>
  <c r="AA850" i="61"/>
  <c r="Z850" i="61"/>
  <c r="AB849" i="61"/>
  <c r="AA849" i="61"/>
  <c r="Z849" i="61"/>
  <c r="AB848" i="61"/>
  <c r="AA848" i="61"/>
  <c r="Z848" i="61"/>
  <c r="AB847" i="61"/>
  <c r="AA847" i="61"/>
  <c r="Z847" i="61"/>
  <c r="AB846" i="61"/>
  <c r="AA846" i="61"/>
  <c r="Z846" i="61"/>
  <c r="AB845" i="61"/>
  <c r="AA845" i="61"/>
  <c r="Z845" i="61"/>
  <c r="AB844" i="61"/>
  <c r="AA844" i="61"/>
  <c r="Z844" i="61"/>
  <c r="AB843" i="61"/>
  <c r="AA843" i="61"/>
  <c r="Z843" i="61"/>
  <c r="AB842" i="61"/>
  <c r="AA842" i="61"/>
  <c r="Z842" i="61"/>
  <c r="AB841" i="61"/>
  <c r="AA841" i="61"/>
  <c r="Z841" i="61"/>
  <c r="AB840" i="61"/>
  <c r="AA840" i="61"/>
  <c r="Z840" i="61"/>
  <c r="AB839" i="61"/>
  <c r="AA839" i="61"/>
  <c r="Z839" i="61"/>
  <c r="AB838" i="61"/>
  <c r="AA838" i="61"/>
  <c r="Z838" i="61"/>
  <c r="AB837" i="61"/>
  <c r="AA837" i="61"/>
  <c r="Z837" i="61"/>
  <c r="AB836" i="61"/>
  <c r="AA836" i="61"/>
  <c r="Z836" i="61"/>
  <c r="AB835" i="61"/>
  <c r="AA835" i="61"/>
  <c r="Z835" i="61"/>
  <c r="AB834" i="61"/>
  <c r="AA834" i="61"/>
  <c r="Z834" i="61"/>
  <c r="AB833" i="61"/>
  <c r="AA833" i="61"/>
  <c r="Z833" i="61"/>
  <c r="AB832" i="61"/>
  <c r="AA832" i="61"/>
  <c r="Z832" i="61"/>
  <c r="AB831" i="61"/>
  <c r="AA831" i="61"/>
  <c r="Z831" i="61"/>
  <c r="AB830" i="61"/>
  <c r="AA830" i="61"/>
  <c r="Z830" i="61"/>
  <c r="AB829" i="61"/>
  <c r="AA829" i="61"/>
  <c r="Z829" i="61"/>
  <c r="AB828" i="61"/>
  <c r="AA828" i="61"/>
  <c r="Z828" i="61"/>
  <c r="AB827" i="61"/>
  <c r="AA827" i="61"/>
  <c r="Z827" i="61"/>
  <c r="AB826" i="61"/>
  <c r="AA826" i="61"/>
  <c r="Z826" i="61"/>
  <c r="AB825" i="61"/>
  <c r="AA825" i="61"/>
  <c r="Z825" i="61"/>
  <c r="AB824" i="61"/>
  <c r="AA824" i="61"/>
  <c r="Z824" i="61"/>
  <c r="AB823" i="61"/>
  <c r="AA823" i="61"/>
  <c r="Z823" i="61"/>
  <c r="AB822" i="61"/>
  <c r="AA822" i="61"/>
  <c r="Z822" i="61"/>
  <c r="AB821" i="61"/>
  <c r="AA821" i="61"/>
  <c r="Z821" i="61"/>
  <c r="AB820" i="61"/>
  <c r="AA820" i="61"/>
  <c r="Z820" i="61"/>
  <c r="AB819" i="61"/>
  <c r="AA819" i="61"/>
  <c r="Z819" i="61"/>
  <c r="AB818" i="61"/>
  <c r="AA818" i="61"/>
  <c r="Z818" i="61"/>
  <c r="AB817" i="61"/>
  <c r="AA817" i="61"/>
  <c r="Z817" i="61"/>
  <c r="AB816" i="61"/>
  <c r="AA816" i="61"/>
  <c r="Z816" i="61"/>
  <c r="AB815" i="61"/>
  <c r="AA815" i="61"/>
  <c r="Z815" i="61"/>
  <c r="AB814" i="61"/>
  <c r="AA814" i="61"/>
  <c r="Z814" i="61"/>
  <c r="AB813" i="61"/>
  <c r="AA813" i="61"/>
  <c r="Z813" i="61"/>
  <c r="AB812" i="61"/>
  <c r="AA812" i="61"/>
  <c r="Z812" i="61"/>
  <c r="AB811" i="61"/>
  <c r="AA811" i="61"/>
  <c r="Z811" i="61"/>
  <c r="AB810" i="61"/>
  <c r="AA810" i="61"/>
  <c r="Z810" i="61"/>
  <c r="AB809" i="61"/>
  <c r="AA809" i="61"/>
  <c r="Z809" i="61"/>
  <c r="AB808" i="61"/>
  <c r="AA808" i="61"/>
  <c r="Z808" i="61"/>
  <c r="AB807" i="61"/>
  <c r="AA807" i="61"/>
  <c r="Z807" i="61"/>
  <c r="AB806" i="61"/>
  <c r="AA806" i="61"/>
  <c r="Z806" i="61"/>
  <c r="AB805" i="61"/>
  <c r="AA805" i="61"/>
  <c r="Z805" i="61"/>
  <c r="AB804" i="61"/>
  <c r="AA804" i="61"/>
  <c r="Z804" i="61"/>
  <c r="AB803" i="61"/>
  <c r="AA803" i="61"/>
  <c r="Z803" i="61"/>
  <c r="AB802" i="61"/>
  <c r="AA802" i="61"/>
  <c r="Z802" i="61"/>
  <c r="AB801" i="61"/>
  <c r="AA801" i="61"/>
  <c r="Z801" i="61"/>
  <c r="AB800" i="61"/>
  <c r="AA800" i="61"/>
  <c r="Z800" i="61"/>
  <c r="AB799" i="61"/>
  <c r="AA799" i="61"/>
  <c r="Z799" i="61"/>
  <c r="AB798" i="61"/>
  <c r="AA798" i="61"/>
  <c r="Z798" i="61"/>
  <c r="AB797" i="61"/>
  <c r="AA797" i="61"/>
  <c r="Z797" i="61"/>
  <c r="AB796" i="61"/>
  <c r="AA796" i="61"/>
  <c r="Z796" i="61"/>
  <c r="AB795" i="61"/>
  <c r="AA795" i="61"/>
  <c r="Z795" i="61"/>
  <c r="AB794" i="61"/>
  <c r="AA794" i="61"/>
  <c r="Z794" i="61"/>
  <c r="AB793" i="61"/>
  <c r="AA793" i="61"/>
  <c r="Z793" i="61"/>
  <c r="AB792" i="61"/>
  <c r="AA792" i="61"/>
  <c r="Z792" i="61"/>
  <c r="AB791" i="61"/>
  <c r="AA791" i="61"/>
  <c r="Z791" i="61"/>
  <c r="AB790" i="61"/>
  <c r="AA790" i="61"/>
  <c r="Z790" i="61"/>
  <c r="AB789" i="61"/>
  <c r="AA789" i="61"/>
  <c r="Z789" i="61"/>
  <c r="AB788" i="61"/>
  <c r="AA788" i="61"/>
  <c r="Z788" i="61"/>
  <c r="AB787" i="61"/>
  <c r="AA787" i="61"/>
  <c r="Z787" i="61"/>
  <c r="AB786" i="61"/>
  <c r="AA786" i="61"/>
  <c r="Z786" i="61"/>
  <c r="AB785" i="61"/>
  <c r="AA785" i="61"/>
  <c r="Z785" i="61"/>
  <c r="AB784" i="61"/>
  <c r="AA784" i="61"/>
  <c r="Z784" i="61"/>
  <c r="AB783" i="61"/>
  <c r="AA783" i="61"/>
  <c r="Z783" i="61"/>
  <c r="AB782" i="61"/>
  <c r="AA782" i="61"/>
  <c r="Z782" i="61"/>
  <c r="AB781" i="61"/>
  <c r="AA781" i="61"/>
  <c r="Z781" i="61"/>
  <c r="AB780" i="61"/>
  <c r="AA780" i="61"/>
  <c r="Z780" i="61"/>
  <c r="AB779" i="61"/>
  <c r="AA779" i="61"/>
  <c r="Z779" i="61"/>
  <c r="AB778" i="61"/>
  <c r="AA778" i="61"/>
  <c r="Z778" i="61"/>
  <c r="AB777" i="61"/>
  <c r="AA777" i="61"/>
  <c r="Z777" i="61"/>
  <c r="AB776" i="61"/>
  <c r="AA776" i="61"/>
  <c r="Z776" i="61"/>
  <c r="AB775" i="61"/>
  <c r="AA775" i="61"/>
  <c r="Z775" i="61"/>
  <c r="AB774" i="61"/>
  <c r="AA774" i="61"/>
  <c r="Z774" i="61"/>
  <c r="AB773" i="61"/>
  <c r="AA773" i="61"/>
  <c r="Z773" i="61"/>
  <c r="AB772" i="61"/>
  <c r="AA772" i="61"/>
  <c r="Z772" i="61"/>
  <c r="AB771" i="61"/>
  <c r="AA771" i="61"/>
  <c r="Z771" i="61"/>
  <c r="AB770" i="61"/>
  <c r="AA770" i="61"/>
  <c r="Z770" i="61"/>
  <c r="AB769" i="61"/>
  <c r="AA769" i="61"/>
  <c r="Z769" i="61"/>
  <c r="AB768" i="61"/>
  <c r="AA768" i="61"/>
  <c r="Z768" i="61"/>
  <c r="AB767" i="61"/>
  <c r="AA767" i="61"/>
  <c r="Z767" i="61"/>
  <c r="AB766" i="61"/>
  <c r="AA766" i="61"/>
  <c r="Z766" i="61"/>
  <c r="AB765" i="61"/>
  <c r="AA765" i="61"/>
  <c r="Z765" i="61"/>
  <c r="AB764" i="61"/>
  <c r="AA764" i="61"/>
  <c r="Z764" i="61"/>
  <c r="AB763" i="61"/>
  <c r="AA763" i="61"/>
  <c r="Z763" i="61"/>
  <c r="AB762" i="61"/>
  <c r="AA762" i="61"/>
  <c r="Z762" i="61"/>
  <c r="AB761" i="61"/>
  <c r="AA761" i="61"/>
  <c r="Z761" i="61"/>
  <c r="AB760" i="61"/>
  <c r="AA760" i="61"/>
  <c r="Z760" i="61"/>
  <c r="AB759" i="61"/>
  <c r="AA759" i="61"/>
  <c r="Z759" i="61"/>
  <c r="AB758" i="61"/>
  <c r="AA758" i="61"/>
  <c r="Z758" i="61"/>
  <c r="AB757" i="61"/>
  <c r="AA757" i="61"/>
  <c r="Z757" i="61"/>
  <c r="AB756" i="61"/>
  <c r="AA756" i="61"/>
  <c r="Z756" i="61"/>
  <c r="AB755" i="61"/>
  <c r="AA755" i="61"/>
  <c r="Z755" i="61"/>
  <c r="AB754" i="61"/>
  <c r="AA754" i="61"/>
  <c r="Z754" i="61"/>
  <c r="AB753" i="61"/>
  <c r="AA753" i="61"/>
  <c r="Z753" i="61"/>
  <c r="AB752" i="61"/>
  <c r="AA752" i="61"/>
  <c r="Z752" i="61"/>
  <c r="AB751" i="61"/>
  <c r="AA751" i="61"/>
  <c r="Z751" i="61"/>
  <c r="AB750" i="61"/>
  <c r="AA750" i="61"/>
  <c r="Z750" i="61"/>
  <c r="AB749" i="61"/>
  <c r="AA749" i="61"/>
  <c r="Z749" i="61"/>
  <c r="AB748" i="61"/>
  <c r="AA748" i="61"/>
  <c r="Z748" i="61"/>
  <c r="AB747" i="61"/>
  <c r="AA747" i="61"/>
  <c r="Z747" i="61"/>
  <c r="AB746" i="61"/>
  <c r="AA746" i="61"/>
  <c r="Z746" i="61"/>
  <c r="AB745" i="61"/>
  <c r="AA745" i="61"/>
  <c r="Z745" i="61"/>
  <c r="AB744" i="61"/>
  <c r="AA744" i="61"/>
  <c r="Z744" i="61"/>
  <c r="AB743" i="61"/>
  <c r="AA743" i="61"/>
  <c r="Z743" i="61"/>
  <c r="AB742" i="61"/>
  <c r="AA742" i="61"/>
  <c r="Z742" i="61"/>
  <c r="AB741" i="61"/>
  <c r="AA741" i="61"/>
  <c r="Z741" i="61"/>
  <c r="AB740" i="61"/>
  <c r="AA740" i="61"/>
  <c r="Z740" i="61"/>
  <c r="AB739" i="61"/>
  <c r="AA739" i="61"/>
  <c r="Z739" i="61"/>
  <c r="AB738" i="61"/>
  <c r="AA738" i="61"/>
  <c r="Z738" i="61"/>
  <c r="AB737" i="61"/>
  <c r="AA737" i="61"/>
  <c r="Z737" i="61"/>
  <c r="AB736" i="61"/>
  <c r="AA736" i="61"/>
  <c r="Z736" i="61"/>
  <c r="AB735" i="61"/>
  <c r="AA735" i="61"/>
  <c r="Z735" i="61"/>
  <c r="AB734" i="61"/>
  <c r="AA734" i="61"/>
  <c r="Z734" i="61"/>
  <c r="AB733" i="61"/>
  <c r="AA733" i="61"/>
  <c r="Z733" i="61"/>
  <c r="AB732" i="61"/>
  <c r="AA732" i="61"/>
  <c r="Z732" i="61"/>
  <c r="AB731" i="61"/>
  <c r="AA731" i="61"/>
  <c r="Z731" i="61"/>
  <c r="AB730" i="61"/>
  <c r="AA730" i="61"/>
  <c r="Z730" i="61"/>
  <c r="AB729" i="61"/>
  <c r="AA729" i="61"/>
  <c r="Z729" i="61"/>
  <c r="AB728" i="61"/>
  <c r="AA728" i="61"/>
  <c r="Z728" i="61"/>
  <c r="AB727" i="61"/>
  <c r="AA727" i="61"/>
  <c r="Z727" i="61"/>
  <c r="AB726" i="61"/>
  <c r="AA726" i="61"/>
  <c r="Z726" i="61"/>
  <c r="AB725" i="61"/>
  <c r="AA725" i="61"/>
  <c r="Z725" i="61"/>
  <c r="AB724" i="61"/>
  <c r="AA724" i="61"/>
  <c r="Z724" i="61"/>
  <c r="AB723" i="61"/>
  <c r="AA723" i="61"/>
  <c r="Z723" i="61"/>
  <c r="AB722" i="61"/>
  <c r="AA722" i="61"/>
  <c r="Z722" i="61"/>
  <c r="AB721" i="61"/>
  <c r="AA721" i="61"/>
  <c r="Z721" i="61"/>
  <c r="AB720" i="61"/>
  <c r="AA720" i="61"/>
  <c r="Z720" i="61"/>
  <c r="AB719" i="61"/>
  <c r="AA719" i="61"/>
  <c r="Z719" i="61"/>
  <c r="AB718" i="61"/>
  <c r="AA718" i="61"/>
  <c r="Z718" i="61"/>
  <c r="AB717" i="61"/>
  <c r="AA717" i="61"/>
  <c r="Z717" i="61"/>
  <c r="AB716" i="61"/>
  <c r="AA716" i="61"/>
  <c r="Z716" i="61"/>
  <c r="AB715" i="61"/>
  <c r="AA715" i="61"/>
  <c r="Z715" i="61"/>
  <c r="AB714" i="61"/>
  <c r="AA714" i="61"/>
  <c r="Z714" i="61"/>
  <c r="AB713" i="61"/>
  <c r="AA713" i="61"/>
  <c r="Z713" i="61"/>
  <c r="AB712" i="61"/>
  <c r="AA712" i="61"/>
  <c r="Z712" i="61"/>
  <c r="AB711" i="61"/>
  <c r="AA711" i="61"/>
  <c r="Z711" i="61"/>
  <c r="AB710" i="61"/>
  <c r="AA710" i="61"/>
  <c r="Z710" i="61"/>
  <c r="AB709" i="61"/>
  <c r="AA709" i="61"/>
  <c r="Z709" i="61"/>
  <c r="AB708" i="61"/>
  <c r="AA708" i="61"/>
  <c r="Z708" i="61"/>
  <c r="AB707" i="61"/>
  <c r="AA707" i="61"/>
  <c r="Z707" i="61"/>
  <c r="AB706" i="61"/>
  <c r="AA706" i="61"/>
  <c r="Z706" i="61"/>
  <c r="AB705" i="61"/>
  <c r="AA705" i="61"/>
  <c r="Z705" i="61"/>
  <c r="AB704" i="61"/>
  <c r="AA704" i="61"/>
  <c r="Z704" i="61"/>
  <c r="AB703" i="61"/>
  <c r="AA703" i="61"/>
  <c r="Z703" i="61"/>
  <c r="AB702" i="61"/>
  <c r="AA702" i="61"/>
  <c r="Z702" i="61"/>
  <c r="AB701" i="61"/>
  <c r="AA701" i="61"/>
  <c r="Z701" i="61"/>
  <c r="AB700" i="61"/>
  <c r="AA700" i="61"/>
  <c r="Z700" i="61"/>
  <c r="AB699" i="61"/>
  <c r="AA699" i="61"/>
  <c r="Z699" i="61"/>
  <c r="AB698" i="61"/>
  <c r="AA698" i="61"/>
  <c r="Z698" i="61"/>
  <c r="AB697" i="61"/>
  <c r="AA697" i="61"/>
  <c r="Z697" i="61"/>
  <c r="AB696" i="61"/>
  <c r="AA696" i="61"/>
  <c r="Z696" i="61"/>
  <c r="AB695" i="61"/>
  <c r="AA695" i="61"/>
  <c r="Z695" i="61"/>
  <c r="AB694" i="61"/>
  <c r="AA694" i="61"/>
  <c r="Z694" i="61"/>
  <c r="AB693" i="61"/>
  <c r="AA693" i="61"/>
  <c r="Z693" i="61"/>
  <c r="AB692" i="61"/>
  <c r="AA692" i="61"/>
  <c r="Z692" i="61"/>
  <c r="AB691" i="61"/>
  <c r="AA691" i="61"/>
  <c r="Z691" i="61"/>
  <c r="AB690" i="61"/>
  <c r="AA690" i="61"/>
  <c r="Z690" i="61"/>
  <c r="AB689" i="61"/>
  <c r="AA689" i="61"/>
  <c r="Z689" i="61"/>
  <c r="AB688" i="61"/>
  <c r="AA688" i="61"/>
  <c r="Z688" i="61"/>
  <c r="AB687" i="61"/>
  <c r="AA687" i="61"/>
  <c r="Z687" i="61"/>
  <c r="AB686" i="61"/>
  <c r="AA686" i="61"/>
  <c r="Z686" i="61"/>
  <c r="AB685" i="61"/>
  <c r="AA685" i="61"/>
  <c r="Z685" i="61"/>
  <c r="AB684" i="61"/>
  <c r="AA684" i="61"/>
  <c r="Z684" i="61"/>
  <c r="AB683" i="61"/>
  <c r="AA683" i="61"/>
  <c r="Z683" i="61"/>
  <c r="AB682" i="61"/>
  <c r="AA682" i="61"/>
  <c r="Z682" i="61"/>
  <c r="AB681" i="61"/>
  <c r="AA681" i="61"/>
  <c r="Z681" i="61"/>
  <c r="AB680" i="61"/>
  <c r="AA680" i="61"/>
  <c r="Z680" i="61"/>
  <c r="AB679" i="61"/>
  <c r="AA679" i="61"/>
  <c r="Z679" i="61"/>
  <c r="AB678" i="61"/>
  <c r="AA678" i="61"/>
  <c r="Z678" i="61"/>
  <c r="AB677" i="61"/>
  <c r="AA677" i="61"/>
  <c r="Z677" i="61"/>
  <c r="AB676" i="61"/>
  <c r="AA676" i="61"/>
  <c r="Z676" i="61"/>
  <c r="AB675" i="61"/>
  <c r="AA675" i="61"/>
  <c r="Z675" i="61"/>
  <c r="AB674" i="61"/>
  <c r="AA674" i="61"/>
  <c r="Z674" i="61"/>
  <c r="AB673" i="61"/>
  <c r="AA673" i="61"/>
  <c r="Z673" i="61"/>
  <c r="AB672" i="61"/>
  <c r="AA672" i="61"/>
  <c r="Z672" i="61"/>
  <c r="AB671" i="61"/>
  <c r="AA671" i="61"/>
  <c r="Z671" i="61"/>
  <c r="AB670" i="61"/>
  <c r="AA670" i="61"/>
  <c r="Z670" i="61"/>
  <c r="AB669" i="61"/>
  <c r="AA669" i="61"/>
  <c r="Z669" i="61"/>
  <c r="AB668" i="61"/>
  <c r="AA668" i="61"/>
  <c r="Z668" i="61"/>
  <c r="AB667" i="61"/>
  <c r="AA667" i="61"/>
  <c r="Z667" i="61"/>
  <c r="AB666" i="61"/>
  <c r="AA666" i="61"/>
  <c r="Z666" i="61"/>
  <c r="AB665" i="61"/>
  <c r="AA665" i="61"/>
  <c r="Z665" i="61"/>
  <c r="AB664" i="61"/>
  <c r="AA664" i="61"/>
  <c r="Z664" i="61"/>
  <c r="AB663" i="61"/>
  <c r="AA663" i="61"/>
  <c r="Z663" i="61"/>
  <c r="AB662" i="61"/>
  <c r="AA662" i="61"/>
  <c r="Z662" i="61"/>
  <c r="AB661" i="61"/>
  <c r="AA661" i="61"/>
  <c r="Z661" i="61"/>
  <c r="AB660" i="61"/>
  <c r="AA660" i="61"/>
  <c r="Z660" i="61"/>
  <c r="AB659" i="61"/>
  <c r="AA659" i="61"/>
  <c r="Z659" i="61"/>
  <c r="AB658" i="61"/>
  <c r="AA658" i="61"/>
  <c r="Z658" i="61"/>
  <c r="AB657" i="61"/>
  <c r="AA657" i="61"/>
  <c r="Z657" i="61"/>
  <c r="AB656" i="61"/>
  <c r="AA656" i="61"/>
  <c r="Z656" i="61"/>
  <c r="AB655" i="61"/>
  <c r="AA655" i="61"/>
  <c r="Z655" i="61"/>
  <c r="AB654" i="61"/>
  <c r="AA654" i="61"/>
  <c r="Z654" i="61"/>
  <c r="AB653" i="61"/>
  <c r="AA653" i="61"/>
  <c r="Z653" i="61"/>
  <c r="AB652" i="61"/>
  <c r="AA652" i="61"/>
  <c r="Z652" i="61"/>
  <c r="AB651" i="61"/>
  <c r="AA651" i="61"/>
  <c r="Z651" i="61"/>
  <c r="AB650" i="61"/>
  <c r="AA650" i="61"/>
  <c r="Z650" i="61"/>
  <c r="AB649" i="61"/>
  <c r="AA649" i="61"/>
  <c r="Z649" i="61"/>
  <c r="AB648" i="61"/>
  <c r="AA648" i="61"/>
  <c r="Z648" i="61"/>
  <c r="AB647" i="61"/>
  <c r="AA647" i="61"/>
  <c r="Z647" i="61"/>
  <c r="AB646" i="61"/>
  <c r="AA646" i="61"/>
  <c r="Z646" i="61"/>
  <c r="AB645" i="61"/>
  <c r="AA645" i="61"/>
  <c r="Z645" i="61"/>
  <c r="AB644" i="61"/>
  <c r="AA644" i="61"/>
  <c r="Z644" i="61"/>
  <c r="AB643" i="61"/>
  <c r="AA643" i="61"/>
  <c r="Z643" i="61"/>
  <c r="AB642" i="61"/>
  <c r="AA642" i="61"/>
  <c r="Z642" i="61"/>
  <c r="AB641" i="61"/>
  <c r="AA641" i="61"/>
  <c r="Z641" i="61"/>
  <c r="AB640" i="61"/>
  <c r="AA640" i="61"/>
  <c r="Z640" i="61"/>
  <c r="AB639" i="61"/>
  <c r="AA639" i="61"/>
  <c r="Z639" i="61"/>
  <c r="AB638" i="61"/>
  <c r="AA638" i="61"/>
  <c r="Z638" i="61"/>
  <c r="AB637" i="61"/>
  <c r="AA637" i="61"/>
  <c r="Z637" i="61"/>
  <c r="AB636" i="61"/>
  <c r="AA636" i="61"/>
  <c r="Z636" i="61"/>
  <c r="AB635" i="61"/>
  <c r="AA635" i="61"/>
  <c r="Z635" i="61"/>
  <c r="AB634" i="61"/>
  <c r="AA634" i="61"/>
  <c r="Z634" i="61"/>
  <c r="AB633" i="61"/>
  <c r="AA633" i="61"/>
  <c r="Z633" i="61"/>
  <c r="AB632" i="61"/>
  <c r="AA632" i="61"/>
  <c r="Z632" i="61"/>
  <c r="AB631" i="61"/>
  <c r="AA631" i="61"/>
  <c r="Z631" i="61"/>
  <c r="AB630" i="61"/>
  <c r="AA630" i="61"/>
  <c r="Z630" i="61"/>
  <c r="AB629" i="61"/>
  <c r="AA629" i="61"/>
  <c r="Z629" i="61"/>
  <c r="AB628" i="61"/>
  <c r="AA628" i="61"/>
  <c r="Z628" i="61"/>
  <c r="AB627" i="61"/>
  <c r="AA627" i="61"/>
  <c r="Z627" i="61"/>
  <c r="AB626" i="61"/>
  <c r="AA626" i="61"/>
  <c r="Z626" i="61"/>
  <c r="AB625" i="61"/>
  <c r="AA625" i="61"/>
  <c r="Z625" i="61"/>
  <c r="AB624" i="61"/>
  <c r="AA624" i="61"/>
  <c r="Z624" i="61"/>
  <c r="AB623" i="61"/>
  <c r="AA623" i="61"/>
  <c r="Z623" i="61"/>
  <c r="AB622" i="61"/>
  <c r="AA622" i="61"/>
  <c r="Z622" i="61"/>
  <c r="AB621" i="61"/>
  <c r="AA621" i="61"/>
  <c r="Z621" i="61"/>
  <c r="AB620" i="61"/>
  <c r="AA620" i="61"/>
  <c r="Z620" i="61"/>
  <c r="AB619" i="61"/>
  <c r="AA619" i="61"/>
  <c r="Z619" i="61"/>
  <c r="AB618" i="61"/>
  <c r="AA618" i="61"/>
  <c r="Z618" i="61"/>
  <c r="AB617" i="61"/>
  <c r="AA617" i="61"/>
  <c r="Z617" i="61"/>
  <c r="AB616" i="61"/>
  <c r="AA616" i="61"/>
  <c r="Z616" i="61"/>
  <c r="AB615" i="61"/>
  <c r="AA615" i="61"/>
  <c r="Z615" i="61"/>
  <c r="AB614" i="61"/>
  <c r="AA614" i="61"/>
  <c r="Z614" i="61"/>
  <c r="AB613" i="61"/>
  <c r="AA613" i="61"/>
  <c r="Z613" i="61"/>
  <c r="AB612" i="61"/>
  <c r="AA612" i="61"/>
  <c r="Z612" i="61"/>
  <c r="AB611" i="61"/>
  <c r="AA611" i="61"/>
  <c r="Z611" i="61"/>
  <c r="AB610" i="61"/>
  <c r="AA610" i="61"/>
  <c r="Z610" i="61"/>
  <c r="AB609" i="61"/>
  <c r="AA609" i="61"/>
  <c r="Z609" i="61"/>
  <c r="AB608" i="61"/>
  <c r="AA608" i="61"/>
  <c r="Z608" i="61"/>
  <c r="AB607" i="61"/>
  <c r="AA607" i="61"/>
  <c r="Z607" i="61"/>
  <c r="AB606" i="61"/>
  <c r="AA606" i="61"/>
  <c r="Z606" i="61"/>
  <c r="AB605" i="61"/>
  <c r="AA605" i="61"/>
  <c r="Z605" i="61"/>
  <c r="AB604" i="61"/>
  <c r="AA604" i="61"/>
  <c r="Z604" i="61"/>
  <c r="AB603" i="61"/>
  <c r="AA603" i="61"/>
  <c r="Z603" i="61"/>
  <c r="AB602" i="61"/>
  <c r="AA602" i="61"/>
  <c r="Z602" i="61"/>
  <c r="AB601" i="61"/>
  <c r="AA601" i="61"/>
  <c r="Z601" i="61"/>
  <c r="AB600" i="61"/>
  <c r="AA600" i="61"/>
  <c r="Z600" i="61"/>
  <c r="AB599" i="61"/>
  <c r="AA599" i="61"/>
  <c r="Z599" i="61"/>
  <c r="AB598" i="61"/>
  <c r="AA598" i="61"/>
  <c r="Z598" i="61"/>
  <c r="AB597" i="61"/>
  <c r="AA597" i="61"/>
  <c r="Z597" i="61"/>
  <c r="AB596" i="61"/>
  <c r="AA596" i="61"/>
  <c r="Z596" i="61"/>
  <c r="AB595" i="61"/>
  <c r="AA595" i="61"/>
  <c r="Z595" i="61"/>
  <c r="AB594" i="61"/>
  <c r="AA594" i="61"/>
  <c r="Z594" i="61"/>
  <c r="AB593" i="61"/>
  <c r="AA593" i="61"/>
  <c r="Z593" i="61"/>
  <c r="AB592" i="61"/>
  <c r="AA592" i="61"/>
  <c r="Z592" i="61"/>
  <c r="AB591" i="61"/>
  <c r="AA591" i="61"/>
  <c r="Z591" i="61"/>
  <c r="AB590" i="61"/>
  <c r="AA590" i="61"/>
  <c r="Z590" i="61"/>
  <c r="AB589" i="61"/>
  <c r="AA589" i="61"/>
  <c r="Z589" i="61"/>
  <c r="AB588" i="61"/>
  <c r="AA588" i="61"/>
  <c r="Z588" i="61"/>
  <c r="AB587" i="61"/>
  <c r="AA587" i="61"/>
  <c r="Z587" i="61"/>
  <c r="AB586" i="61"/>
  <c r="AA586" i="61"/>
  <c r="Z586" i="61"/>
  <c r="AB585" i="61"/>
  <c r="AA585" i="61"/>
  <c r="Z585" i="61"/>
  <c r="AB584" i="61"/>
  <c r="AA584" i="61"/>
  <c r="Z584" i="61"/>
  <c r="AB583" i="61"/>
  <c r="AA583" i="61"/>
  <c r="Z583" i="61"/>
  <c r="AB582" i="61"/>
  <c r="AA582" i="61"/>
  <c r="Z582" i="61"/>
  <c r="AB581" i="61"/>
  <c r="AA581" i="61"/>
  <c r="Z581" i="61"/>
  <c r="AB580" i="61"/>
  <c r="AA580" i="61"/>
  <c r="Z580" i="61"/>
  <c r="AB579" i="61"/>
  <c r="AA579" i="61"/>
  <c r="Z579" i="61"/>
  <c r="AB578" i="61"/>
  <c r="AA578" i="61"/>
  <c r="Z578" i="61"/>
  <c r="AB577" i="61"/>
  <c r="AA577" i="61"/>
  <c r="Z577" i="61"/>
  <c r="AB576" i="61"/>
  <c r="AA576" i="61"/>
  <c r="Z576" i="61"/>
  <c r="AB575" i="61"/>
  <c r="AA575" i="61"/>
  <c r="Z575" i="61"/>
  <c r="AB574" i="61"/>
  <c r="AA574" i="61"/>
  <c r="Z574" i="61"/>
  <c r="AB573" i="61"/>
  <c r="AA573" i="61"/>
  <c r="Z573" i="61"/>
  <c r="AB572" i="61"/>
  <c r="AA572" i="61"/>
  <c r="Z572" i="61"/>
  <c r="AB571" i="61"/>
  <c r="AA571" i="61"/>
  <c r="Z571" i="61"/>
  <c r="AB570" i="61"/>
  <c r="AA570" i="61"/>
  <c r="Z570" i="61"/>
  <c r="AB569" i="61"/>
  <c r="AA569" i="61"/>
  <c r="Z569" i="61"/>
  <c r="AB568" i="61"/>
  <c r="AA568" i="61"/>
  <c r="Z568" i="61"/>
  <c r="AB567" i="61"/>
  <c r="AA567" i="61"/>
  <c r="Z567" i="61"/>
  <c r="AB566" i="61"/>
  <c r="AA566" i="61"/>
  <c r="Z566" i="61"/>
  <c r="AB565" i="61"/>
  <c r="AA565" i="61"/>
  <c r="Z565" i="61"/>
  <c r="AB564" i="61"/>
  <c r="AA564" i="61"/>
  <c r="Z564" i="61"/>
  <c r="AB563" i="61"/>
  <c r="AA563" i="61"/>
  <c r="Z563" i="61"/>
  <c r="AB562" i="61"/>
  <c r="AA562" i="61"/>
  <c r="Z562" i="61"/>
  <c r="AB561" i="61"/>
  <c r="AA561" i="61"/>
  <c r="Z561" i="61"/>
  <c r="AB560" i="61"/>
  <c r="AA560" i="61"/>
  <c r="Z560" i="61"/>
  <c r="AB559" i="61"/>
  <c r="AA559" i="61"/>
  <c r="Z559" i="61"/>
  <c r="AB558" i="61"/>
  <c r="AA558" i="61"/>
  <c r="Z558" i="61"/>
  <c r="AB557" i="61"/>
  <c r="AA557" i="61"/>
  <c r="Z557" i="61"/>
  <c r="AB556" i="61"/>
  <c r="AA556" i="61"/>
  <c r="Z556" i="61"/>
  <c r="AB555" i="61"/>
  <c r="AA555" i="61"/>
  <c r="Z555" i="61"/>
  <c r="AB554" i="61"/>
  <c r="AA554" i="61"/>
  <c r="Z554" i="61"/>
  <c r="AB553" i="61"/>
  <c r="AA553" i="61"/>
  <c r="Z553" i="61"/>
  <c r="AB552" i="61"/>
  <c r="AA552" i="61"/>
  <c r="Z552" i="61"/>
  <c r="AB551" i="61"/>
  <c r="AA551" i="61"/>
  <c r="Z551" i="61"/>
  <c r="AB550" i="61"/>
  <c r="AA550" i="61"/>
  <c r="Z550" i="61"/>
  <c r="AB549" i="61"/>
  <c r="AA549" i="61"/>
  <c r="Z549" i="61"/>
  <c r="AB548" i="61"/>
  <c r="AA548" i="61"/>
  <c r="Z548" i="61"/>
  <c r="AB547" i="61"/>
  <c r="AA547" i="61"/>
  <c r="Z547" i="61"/>
  <c r="AB546" i="61"/>
  <c r="AA546" i="61"/>
  <c r="Z546" i="61"/>
  <c r="AB545" i="61"/>
  <c r="AA545" i="61"/>
  <c r="Z545" i="61"/>
  <c r="AB544" i="61"/>
  <c r="AA544" i="61"/>
  <c r="Z544" i="61"/>
  <c r="AB543" i="61"/>
  <c r="AA543" i="61"/>
  <c r="Z543" i="61"/>
  <c r="AB542" i="61"/>
  <c r="AA542" i="61"/>
  <c r="Z542" i="61"/>
  <c r="AB541" i="61"/>
  <c r="AA541" i="61"/>
  <c r="Z541" i="61"/>
  <c r="AB540" i="61"/>
  <c r="AA540" i="61"/>
  <c r="Z540" i="61"/>
  <c r="AB539" i="61"/>
  <c r="AA539" i="61"/>
  <c r="Z539" i="61"/>
  <c r="AB538" i="61"/>
  <c r="AA538" i="61"/>
  <c r="Z538" i="61"/>
  <c r="AB537" i="61"/>
  <c r="AA537" i="61"/>
  <c r="Z537" i="61"/>
  <c r="AB536" i="61"/>
  <c r="AA536" i="61"/>
  <c r="Z536" i="61"/>
  <c r="AB535" i="61"/>
  <c r="AA535" i="61"/>
  <c r="Z535" i="61"/>
  <c r="AB534" i="61"/>
  <c r="AA534" i="61"/>
  <c r="Z534" i="61"/>
  <c r="AB533" i="61"/>
  <c r="AA533" i="61"/>
  <c r="Z533" i="61"/>
  <c r="AB532" i="61"/>
  <c r="AA532" i="61"/>
  <c r="Z532" i="61"/>
  <c r="AB531" i="61"/>
  <c r="AA531" i="61"/>
  <c r="Z531" i="61"/>
  <c r="AB530" i="61"/>
  <c r="AA530" i="61"/>
  <c r="Z530" i="61"/>
  <c r="AB529" i="61"/>
  <c r="AA529" i="61"/>
  <c r="Z529" i="61"/>
  <c r="AB528" i="61"/>
  <c r="AA528" i="61"/>
  <c r="Z528" i="61"/>
  <c r="AB527" i="61"/>
  <c r="AA527" i="61"/>
  <c r="Z527" i="61"/>
  <c r="AB526" i="61"/>
  <c r="AA526" i="61"/>
  <c r="Z526" i="61"/>
  <c r="AB525" i="61"/>
  <c r="AA525" i="61"/>
  <c r="Z525" i="61"/>
  <c r="AB524" i="61"/>
  <c r="AA524" i="61"/>
  <c r="Z524" i="61"/>
  <c r="AB523" i="61"/>
  <c r="AA523" i="61"/>
  <c r="Z523" i="61"/>
  <c r="AB522" i="61"/>
  <c r="AA522" i="61"/>
  <c r="Z522" i="61"/>
  <c r="AB521" i="61"/>
  <c r="AA521" i="61"/>
  <c r="Z521" i="61"/>
  <c r="AB520" i="61"/>
  <c r="AA520" i="61"/>
  <c r="Z520" i="61"/>
  <c r="AB519" i="61"/>
  <c r="AA519" i="61"/>
  <c r="Z519" i="61"/>
  <c r="AB518" i="61"/>
  <c r="AA518" i="61"/>
  <c r="Z518" i="61"/>
  <c r="AB517" i="61"/>
  <c r="AA517" i="61"/>
  <c r="Z517" i="61"/>
  <c r="AB516" i="61"/>
  <c r="AA516" i="61"/>
  <c r="Z516" i="61"/>
  <c r="AB515" i="61"/>
  <c r="AA515" i="61"/>
  <c r="Z515" i="61"/>
  <c r="AB514" i="61"/>
  <c r="AA514" i="61"/>
  <c r="Z514" i="61"/>
  <c r="AB513" i="61"/>
  <c r="AA513" i="61"/>
  <c r="Z513" i="61"/>
  <c r="AB512" i="61"/>
  <c r="AA512" i="61"/>
  <c r="Z512" i="61"/>
  <c r="AB511" i="61"/>
  <c r="AA511" i="61"/>
  <c r="Z511" i="61"/>
  <c r="AB510" i="61"/>
  <c r="AA510" i="61"/>
  <c r="Z510" i="61"/>
  <c r="AB509" i="61"/>
  <c r="AA509" i="61"/>
  <c r="Z509" i="61"/>
  <c r="AB508" i="61"/>
  <c r="AA508" i="61"/>
  <c r="Z508" i="61"/>
  <c r="AB507" i="61"/>
  <c r="AA507" i="61"/>
  <c r="Z507" i="61"/>
  <c r="AB506" i="61"/>
  <c r="AA506" i="61"/>
  <c r="Z506" i="61"/>
  <c r="AB505" i="61"/>
  <c r="AA505" i="61"/>
  <c r="Z505" i="61"/>
  <c r="AB504" i="61"/>
  <c r="AA504" i="61"/>
  <c r="Z504" i="61"/>
  <c r="AB503" i="61"/>
  <c r="AA503" i="61"/>
  <c r="Z503" i="61"/>
  <c r="AB502" i="61"/>
  <c r="AA502" i="61"/>
  <c r="Z502" i="61"/>
  <c r="AB501" i="61"/>
  <c r="AA501" i="61"/>
  <c r="Z501" i="61"/>
  <c r="AB500" i="61"/>
  <c r="AA500" i="61"/>
  <c r="Z500" i="61"/>
  <c r="AB499" i="61"/>
  <c r="AA499" i="61"/>
  <c r="Z499" i="61"/>
  <c r="AB498" i="61"/>
  <c r="AA498" i="61"/>
  <c r="Z498" i="61"/>
  <c r="AB497" i="61"/>
  <c r="AA497" i="61"/>
  <c r="Z497" i="61"/>
  <c r="AB496" i="61"/>
  <c r="AA496" i="61"/>
  <c r="Z496" i="61"/>
  <c r="AB495" i="61"/>
  <c r="AA495" i="61"/>
  <c r="Z495" i="61"/>
  <c r="AB494" i="61"/>
  <c r="AA494" i="61"/>
  <c r="Z494" i="61"/>
  <c r="AB493" i="61"/>
  <c r="AA493" i="61"/>
  <c r="Z493" i="61"/>
  <c r="AB492" i="61"/>
  <c r="AA492" i="61"/>
  <c r="Z492" i="61"/>
  <c r="AB491" i="61"/>
  <c r="AA491" i="61"/>
  <c r="Z491" i="61"/>
  <c r="AB490" i="61"/>
  <c r="AA490" i="61"/>
  <c r="Z490" i="61"/>
  <c r="AB489" i="61"/>
  <c r="AA489" i="61"/>
  <c r="Z489" i="61"/>
  <c r="AB488" i="61"/>
  <c r="AA488" i="61"/>
  <c r="Z488" i="61"/>
  <c r="AB487" i="61"/>
  <c r="AA487" i="61"/>
  <c r="Z487" i="61"/>
  <c r="AB486" i="61"/>
  <c r="AA486" i="61"/>
  <c r="Z486" i="61"/>
  <c r="AB485" i="61"/>
  <c r="AA485" i="61"/>
  <c r="Z485" i="61"/>
  <c r="AB484" i="61"/>
  <c r="AA484" i="61"/>
  <c r="Z484" i="61"/>
  <c r="AB483" i="61"/>
  <c r="AA483" i="61"/>
  <c r="Z483" i="61"/>
  <c r="AB482" i="61"/>
  <c r="AA482" i="61"/>
  <c r="Z482" i="61"/>
  <c r="AB481" i="61"/>
  <c r="AA481" i="61"/>
  <c r="Z481" i="61"/>
  <c r="AB480" i="61"/>
  <c r="AA480" i="61"/>
  <c r="Z480" i="61"/>
  <c r="AB479" i="61"/>
  <c r="AA479" i="61"/>
  <c r="Z479" i="61"/>
  <c r="AB478" i="61"/>
  <c r="AA478" i="61"/>
  <c r="Z478" i="61"/>
  <c r="AB477" i="61"/>
  <c r="AA477" i="61"/>
  <c r="Z477" i="61"/>
  <c r="AB476" i="61"/>
  <c r="AA476" i="61"/>
  <c r="Z476" i="61"/>
  <c r="AB475" i="61"/>
  <c r="AA475" i="61"/>
  <c r="Z475" i="61"/>
  <c r="AB474" i="61"/>
  <c r="AA474" i="61"/>
  <c r="Z474" i="61"/>
  <c r="AB473" i="61"/>
  <c r="AA473" i="61"/>
  <c r="Z473" i="61"/>
  <c r="AB472" i="61"/>
  <c r="AA472" i="61"/>
  <c r="Z472" i="61"/>
  <c r="AB471" i="61"/>
  <c r="AA471" i="61"/>
  <c r="Z471" i="61"/>
  <c r="AB470" i="61"/>
  <c r="AA470" i="61"/>
  <c r="Z470" i="61"/>
  <c r="AB469" i="61"/>
  <c r="AA469" i="61"/>
  <c r="Z469" i="61"/>
  <c r="AB468" i="61"/>
  <c r="AA468" i="61"/>
  <c r="Z468" i="61"/>
  <c r="AB467" i="61"/>
  <c r="AA467" i="61"/>
  <c r="Z467" i="61"/>
  <c r="AB466" i="61"/>
  <c r="AA466" i="61"/>
  <c r="Z466" i="61"/>
  <c r="AB465" i="61"/>
  <c r="AA465" i="61"/>
  <c r="Z465" i="61"/>
  <c r="AB464" i="61"/>
  <c r="AA464" i="61"/>
  <c r="Z464" i="61"/>
  <c r="AB463" i="61"/>
  <c r="AA463" i="61"/>
  <c r="Z463" i="61"/>
  <c r="AB462" i="61"/>
  <c r="AA462" i="61"/>
  <c r="Z462" i="61"/>
  <c r="AB461" i="61"/>
  <c r="AA461" i="61"/>
  <c r="Z461" i="61"/>
  <c r="AB460" i="61"/>
  <c r="AA460" i="61"/>
  <c r="Z460" i="61"/>
  <c r="AB459" i="61"/>
  <c r="AA459" i="61"/>
  <c r="Z459" i="61"/>
  <c r="AB458" i="61"/>
  <c r="AA458" i="61"/>
  <c r="Z458" i="61"/>
  <c r="AB457" i="61"/>
  <c r="AA457" i="61"/>
  <c r="Z457" i="61"/>
  <c r="AB456" i="61"/>
  <c r="AA456" i="61"/>
  <c r="Z456" i="61"/>
  <c r="AB455" i="61"/>
  <c r="AA455" i="61"/>
  <c r="Z455" i="61"/>
  <c r="AB454" i="61"/>
  <c r="AA454" i="61"/>
  <c r="Z454" i="61"/>
  <c r="AB453" i="61"/>
  <c r="AA453" i="61"/>
  <c r="Z453" i="61"/>
  <c r="AB452" i="61"/>
  <c r="AA452" i="61"/>
  <c r="Z452" i="61"/>
  <c r="AB451" i="61"/>
  <c r="AA451" i="61"/>
  <c r="Z451" i="61"/>
  <c r="AB450" i="61"/>
  <c r="AA450" i="61"/>
  <c r="Z450" i="61"/>
  <c r="AB449" i="61"/>
  <c r="AA449" i="61"/>
  <c r="Z449" i="61"/>
  <c r="AB448" i="61"/>
  <c r="AA448" i="61"/>
  <c r="Z448" i="61"/>
  <c r="AB447" i="61"/>
  <c r="AA447" i="61"/>
  <c r="Z447" i="61"/>
  <c r="AB446" i="61"/>
  <c r="AA446" i="61"/>
  <c r="Z446" i="61"/>
  <c r="AB445" i="61"/>
  <c r="AA445" i="61"/>
  <c r="Z445" i="61"/>
  <c r="AB444" i="61"/>
  <c r="AA444" i="61"/>
  <c r="Z444" i="61"/>
  <c r="AB443" i="61"/>
  <c r="AA443" i="61"/>
  <c r="Z443" i="61"/>
  <c r="AB442" i="61"/>
  <c r="AA442" i="61"/>
  <c r="Z442" i="61"/>
  <c r="AB441" i="61"/>
  <c r="AA441" i="61"/>
  <c r="Z441" i="61"/>
  <c r="AB440" i="61"/>
  <c r="AA440" i="61"/>
  <c r="Z440" i="61"/>
  <c r="AB439" i="61"/>
  <c r="AA439" i="61"/>
  <c r="Z439" i="61"/>
  <c r="AB438" i="61"/>
  <c r="AA438" i="61"/>
  <c r="Z438" i="61"/>
  <c r="AB437" i="61"/>
  <c r="AA437" i="61"/>
  <c r="Z437" i="61"/>
  <c r="AB436" i="61"/>
  <c r="AA436" i="61"/>
  <c r="Z436" i="61"/>
  <c r="AB435" i="61"/>
  <c r="AA435" i="61"/>
  <c r="Z435" i="61"/>
  <c r="AB434" i="61"/>
  <c r="AA434" i="61"/>
  <c r="Z434" i="61"/>
  <c r="AB433" i="61"/>
  <c r="AA433" i="61"/>
  <c r="Z433" i="61"/>
  <c r="AB432" i="61"/>
  <c r="AA432" i="61"/>
  <c r="Z432" i="61"/>
  <c r="AB431" i="61"/>
  <c r="AA431" i="61"/>
  <c r="Z431" i="61"/>
  <c r="AB430" i="61"/>
  <c r="AA430" i="61"/>
  <c r="Z430" i="61"/>
  <c r="AB429" i="61"/>
  <c r="AA429" i="61"/>
  <c r="Z429" i="61"/>
  <c r="AB428" i="61"/>
  <c r="AA428" i="61"/>
  <c r="Z428" i="61"/>
  <c r="AB427" i="61"/>
  <c r="AA427" i="61"/>
  <c r="Z427" i="61"/>
  <c r="AB426" i="61"/>
  <c r="AA426" i="61"/>
  <c r="Z426" i="61"/>
  <c r="AB425" i="61"/>
  <c r="AA425" i="61"/>
  <c r="Z425" i="61"/>
  <c r="AB424" i="61"/>
  <c r="AA424" i="61"/>
  <c r="Z424" i="61"/>
  <c r="AB423" i="61"/>
  <c r="AA423" i="61"/>
  <c r="Z423" i="61"/>
  <c r="AB422" i="61"/>
  <c r="AA422" i="61"/>
  <c r="Z422" i="61"/>
  <c r="AB421" i="61"/>
  <c r="AA421" i="61"/>
  <c r="Z421" i="61"/>
  <c r="AB420" i="61"/>
  <c r="AA420" i="61"/>
  <c r="Z420" i="61"/>
  <c r="AB419" i="61"/>
  <c r="AA419" i="61"/>
  <c r="Z419" i="61"/>
  <c r="AB418" i="61"/>
  <c r="AA418" i="61"/>
  <c r="Z418" i="61"/>
  <c r="AB417" i="61"/>
  <c r="AA417" i="61"/>
  <c r="Z417" i="61"/>
  <c r="AB416" i="61"/>
  <c r="AA416" i="61"/>
  <c r="Z416" i="61"/>
  <c r="AB415" i="61"/>
  <c r="AA415" i="61"/>
  <c r="Z415" i="61"/>
  <c r="AB414" i="61"/>
  <c r="AA414" i="61"/>
  <c r="Z414" i="61"/>
  <c r="AB413" i="61"/>
  <c r="AA413" i="61"/>
  <c r="Z413" i="61"/>
  <c r="AB412" i="61"/>
  <c r="AA412" i="61"/>
  <c r="Z412" i="61"/>
  <c r="AB411" i="61"/>
  <c r="AA411" i="61"/>
  <c r="Z411" i="61"/>
  <c r="AB410" i="61"/>
  <c r="AA410" i="61"/>
  <c r="Z410" i="61"/>
  <c r="AB409" i="61"/>
  <c r="AA409" i="61"/>
  <c r="Z409" i="61"/>
  <c r="AB408" i="61"/>
  <c r="AA408" i="61"/>
  <c r="Z408" i="61"/>
  <c r="AB407" i="61"/>
  <c r="AA407" i="61"/>
  <c r="Z407" i="61"/>
  <c r="AB406" i="61"/>
  <c r="AA406" i="61"/>
  <c r="Z406" i="61"/>
  <c r="AB405" i="61"/>
  <c r="AA405" i="61"/>
  <c r="Z405" i="61"/>
  <c r="AB404" i="61"/>
  <c r="AA404" i="61"/>
  <c r="Z404" i="61"/>
  <c r="AB403" i="61"/>
  <c r="AA403" i="61"/>
  <c r="Z403" i="61"/>
  <c r="AB402" i="61"/>
  <c r="AA402" i="61"/>
  <c r="Z402" i="61"/>
  <c r="AB401" i="61"/>
  <c r="AA401" i="61"/>
  <c r="Z401" i="61"/>
  <c r="AB400" i="61"/>
  <c r="AA400" i="61"/>
  <c r="Z400" i="61"/>
  <c r="AB399" i="61"/>
  <c r="AA399" i="61"/>
  <c r="Z399" i="61"/>
  <c r="AB398" i="61"/>
  <c r="AA398" i="61"/>
  <c r="Z398" i="61"/>
  <c r="AB397" i="61"/>
  <c r="AA397" i="61"/>
  <c r="Z397" i="61"/>
  <c r="AB396" i="61"/>
  <c r="AA396" i="61"/>
  <c r="Z396" i="61"/>
  <c r="AB395" i="61"/>
  <c r="AA395" i="61"/>
  <c r="Z395" i="61"/>
  <c r="AB394" i="61"/>
  <c r="AA394" i="61"/>
  <c r="Z394" i="61"/>
  <c r="AB393" i="61"/>
  <c r="AA393" i="61"/>
  <c r="Z393" i="61"/>
  <c r="AB392" i="61"/>
  <c r="AA392" i="61"/>
  <c r="Z392" i="61"/>
  <c r="AB391" i="61"/>
  <c r="AA391" i="61"/>
  <c r="Z391" i="61"/>
  <c r="AB390" i="61"/>
  <c r="AA390" i="61"/>
  <c r="Z390" i="61"/>
  <c r="AB389" i="61"/>
  <c r="AA389" i="61"/>
  <c r="Z389" i="61"/>
  <c r="AB388" i="61"/>
  <c r="AA388" i="61"/>
  <c r="Z388" i="61"/>
  <c r="AB387" i="61"/>
  <c r="AA387" i="61"/>
  <c r="Z387" i="61"/>
  <c r="AB386" i="61"/>
  <c r="AA386" i="61"/>
  <c r="Z386" i="61"/>
  <c r="AB385" i="61"/>
  <c r="AA385" i="61"/>
  <c r="Z385" i="61"/>
  <c r="AB384" i="61"/>
  <c r="AA384" i="61"/>
  <c r="Z384" i="61"/>
  <c r="AB383" i="61"/>
  <c r="AA383" i="61"/>
  <c r="Z383" i="61"/>
  <c r="AB382" i="61"/>
  <c r="AA382" i="61"/>
  <c r="Z382" i="61"/>
  <c r="AB381" i="61"/>
  <c r="AA381" i="61"/>
  <c r="Z381" i="61"/>
  <c r="AB380" i="61"/>
  <c r="AA380" i="61"/>
  <c r="Z380" i="61"/>
  <c r="AB379" i="61"/>
  <c r="AA379" i="61"/>
  <c r="Z379" i="61"/>
  <c r="AB378" i="61"/>
  <c r="AA378" i="61"/>
  <c r="Z378" i="61"/>
  <c r="AB377" i="61"/>
  <c r="AA377" i="61"/>
  <c r="Z377" i="61"/>
  <c r="AB376" i="61"/>
  <c r="AA376" i="61"/>
  <c r="Z376" i="61"/>
  <c r="AB375" i="61"/>
  <c r="AA375" i="61"/>
  <c r="Z375" i="61"/>
  <c r="AB374" i="61"/>
  <c r="AA374" i="61"/>
  <c r="Z374" i="61"/>
  <c r="AB373" i="61"/>
  <c r="AA373" i="61"/>
  <c r="Z373" i="61"/>
  <c r="AB372" i="61"/>
  <c r="AA372" i="61"/>
  <c r="Z372" i="61"/>
  <c r="AB371" i="61"/>
  <c r="AA371" i="61"/>
  <c r="Z371" i="61"/>
  <c r="AB370" i="61"/>
  <c r="AA370" i="61"/>
  <c r="Z370" i="61"/>
  <c r="AB369" i="61"/>
  <c r="AA369" i="61"/>
  <c r="Z369" i="61"/>
  <c r="AB368" i="61"/>
  <c r="AA368" i="61"/>
  <c r="Z368" i="61"/>
  <c r="AB367" i="61"/>
  <c r="AA367" i="61"/>
  <c r="Z367" i="61"/>
  <c r="AB366" i="61"/>
  <c r="AA366" i="61"/>
  <c r="Z366" i="61"/>
  <c r="AB365" i="61"/>
  <c r="AA365" i="61"/>
  <c r="Z365" i="61"/>
  <c r="AB364" i="61"/>
  <c r="AA364" i="61"/>
  <c r="Z364" i="61"/>
  <c r="AB363" i="61"/>
  <c r="AA363" i="61"/>
  <c r="Z363" i="61"/>
  <c r="AB362" i="61"/>
  <c r="AA362" i="61"/>
  <c r="Z362" i="61"/>
  <c r="AB361" i="61"/>
  <c r="AA361" i="61"/>
  <c r="Z361" i="61"/>
  <c r="AB360" i="61"/>
  <c r="AA360" i="61"/>
  <c r="Z360" i="61"/>
  <c r="AB359" i="61"/>
  <c r="AA359" i="61"/>
  <c r="Z359" i="61"/>
  <c r="AB358" i="61"/>
  <c r="AA358" i="61"/>
  <c r="Z358" i="61"/>
  <c r="AB357" i="61"/>
  <c r="AA357" i="61"/>
  <c r="Z357" i="61"/>
  <c r="AB356" i="61"/>
  <c r="AA356" i="61"/>
  <c r="Z356" i="61"/>
  <c r="AB355" i="61"/>
  <c r="AA355" i="61"/>
  <c r="Z355" i="61"/>
  <c r="AB354" i="61"/>
  <c r="AA354" i="61"/>
  <c r="Z354" i="61"/>
  <c r="AB353" i="61"/>
  <c r="AA353" i="61"/>
  <c r="Z353" i="61"/>
  <c r="AB352" i="61"/>
  <c r="AA352" i="61"/>
  <c r="Z352" i="61"/>
  <c r="AB351" i="61"/>
  <c r="AA351" i="61"/>
  <c r="Z351" i="61"/>
  <c r="AB350" i="61"/>
  <c r="AA350" i="61"/>
  <c r="Z350" i="61"/>
  <c r="AB349" i="61"/>
  <c r="AA349" i="61"/>
  <c r="Z349" i="61"/>
  <c r="AB348" i="61"/>
  <c r="AA348" i="61"/>
  <c r="Z348" i="61"/>
  <c r="AB347" i="61"/>
  <c r="AA347" i="61"/>
  <c r="Z347" i="61"/>
  <c r="AB346" i="61"/>
  <c r="AA346" i="61"/>
  <c r="Z346" i="61"/>
  <c r="AB345" i="61"/>
  <c r="AA345" i="61"/>
  <c r="Z345" i="61"/>
  <c r="AB344" i="61"/>
  <c r="AA344" i="61"/>
  <c r="Z344" i="61"/>
  <c r="AB343" i="61"/>
  <c r="AA343" i="61"/>
  <c r="Z343" i="61"/>
  <c r="AB342" i="61"/>
  <c r="AA342" i="61"/>
  <c r="Z342" i="61"/>
  <c r="AB341" i="61"/>
  <c r="AA341" i="61"/>
  <c r="Z341" i="61"/>
  <c r="AB340" i="61"/>
  <c r="AA340" i="61"/>
  <c r="Z340" i="61"/>
  <c r="AB339" i="61"/>
  <c r="AA339" i="61"/>
  <c r="Z339" i="61"/>
  <c r="AB338" i="61"/>
  <c r="AA338" i="61"/>
  <c r="Z338" i="61"/>
  <c r="AB337" i="61"/>
  <c r="AA337" i="61"/>
  <c r="Z337" i="61"/>
  <c r="AB336" i="61"/>
  <c r="AA336" i="61"/>
  <c r="Z336" i="61"/>
  <c r="AB335" i="61"/>
  <c r="AA335" i="61"/>
  <c r="Z335" i="61"/>
  <c r="AB334" i="61"/>
  <c r="AA334" i="61"/>
  <c r="Z334" i="61"/>
  <c r="AB333" i="61"/>
  <c r="AA333" i="61"/>
  <c r="Z333" i="61"/>
  <c r="AB332" i="61"/>
  <c r="AA332" i="61"/>
  <c r="Z332" i="61"/>
  <c r="AB331" i="61"/>
  <c r="AA331" i="61"/>
  <c r="Z331" i="61"/>
  <c r="AB330" i="61"/>
  <c r="AA330" i="61"/>
  <c r="Z330" i="61"/>
  <c r="AB329" i="61"/>
  <c r="AA329" i="61"/>
  <c r="Z329" i="61"/>
  <c r="AB328" i="61"/>
  <c r="AA328" i="61"/>
  <c r="Z328" i="61"/>
  <c r="AB327" i="61"/>
  <c r="AA327" i="61"/>
  <c r="Z327" i="61"/>
  <c r="AB326" i="61"/>
  <c r="AA326" i="61"/>
  <c r="Z326" i="61"/>
  <c r="AB325" i="61"/>
  <c r="AA325" i="61"/>
  <c r="Z325" i="61"/>
  <c r="AB324" i="61"/>
  <c r="AA324" i="61"/>
  <c r="Z324" i="61"/>
  <c r="AB323" i="61"/>
  <c r="AA323" i="61"/>
  <c r="Z323" i="61"/>
  <c r="AB322" i="61"/>
  <c r="AA322" i="61"/>
  <c r="Z322" i="61"/>
  <c r="AB321" i="61"/>
  <c r="AA321" i="61"/>
  <c r="Z321" i="61"/>
  <c r="AB320" i="61"/>
  <c r="AA320" i="61"/>
  <c r="Z320" i="61"/>
  <c r="AB319" i="61"/>
  <c r="AA319" i="61"/>
  <c r="Z319" i="61"/>
  <c r="AB318" i="61"/>
  <c r="AA318" i="61"/>
  <c r="Z318" i="61"/>
  <c r="AB317" i="61"/>
  <c r="AA317" i="61"/>
  <c r="Z317" i="61"/>
  <c r="AB316" i="61"/>
  <c r="AA316" i="61"/>
  <c r="Z316" i="61"/>
  <c r="AB315" i="61"/>
  <c r="AA315" i="61"/>
  <c r="Z315" i="61"/>
  <c r="AB314" i="61"/>
  <c r="AA314" i="61"/>
  <c r="Z314" i="61"/>
  <c r="AB313" i="61"/>
  <c r="AA313" i="61"/>
  <c r="Z313" i="61"/>
  <c r="AB312" i="61"/>
  <c r="AA312" i="61"/>
  <c r="Z312" i="61"/>
  <c r="AB311" i="61"/>
  <c r="AA311" i="61"/>
  <c r="Z311" i="61"/>
  <c r="AB310" i="61"/>
  <c r="AA310" i="61"/>
  <c r="Z310" i="61"/>
  <c r="AB309" i="61"/>
  <c r="AA309" i="61"/>
  <c r="Z309" i="61"/>
  <c r="AB308" i="61"/>
  <c r="AA308" i="61"/>
  <c r="Z308" i="61"/>
  <c r="AB307" i="61"/>
  <c r="AA307" i="61"/>
  <c r="Z307" i="61"/>
  <c r="AB306" i="61"/>
  <c r="AA306" i="61"/>
  <c r="Z306" i="61"/>
  <c r="AB305" i="61"/>
  <c r="AA305" i="61"/>
  <c r="Z305" i="61"/>
  <c r="AB304" i="61"/>
  <c r="AA304" i="61"/>
  <c r="Z304" i="61"/>
  <c r="AB303" i="61"/>
  <c r="AA303" i="61"/>
  <c r="Z303" i="61"/>
  <c r="AB302" i="61"/>
  <c r="AA302" i="61"/>
  <c r="Z302" i="61"/>
  <c r="AB301" i="61"/>
  <c r="AA301" i="61"/>
  <c r="Z301" i="61"/>
  <c r="AB300" i="61"/>
  <c r="AA300" i="61"/>
  <c r="Z300" i="61"/>
  <c r="AB299" i="61"/>
  <c r="AA299" i="61"/>
  <c r="Z299" i="61"/>
  <c r="AB298" i="61"/>
  <c r="AA298" i="61"/>
  <c r="Z298" i="61"/>
  <c r="AB297" i="61"/>
  <c r="AA297" i="61"/>
  <c r="Z297" i="61"/>
  <c r="AB296" i="61"/>
  <c r="AA296" i="61"/>
  <c r="Z296" i="61"/>
  <c r="AB295" i="61"/>
  <c r="AA295" i="61"/>
  <c r="Z295" i="61"/>
  <c r="AB294" i="61"/>
  <c r="AA294" i="61"/>
  <c r="Z294" i="61"/>
  <c r="AB293" i="61"/>
  <c r="AA293" i="61"/>
  <c r="Z293" i="61"/>
  <c r="AB292" i="61"/>
  <c r="AA292" i="61"/>
  <c r="Z292" i="61"/>
  <c r="AB291" i="61"/>
  <c r="AA291" i="61"/>
  <c r="Z291" i="61"/>
  <c r="AB290" i="61"/>
  <c r="AA290" i="61"/>
  <c r="Z290" i="61"/>
  <c r="AB289" i="61"/>
  <c r="AA289" i="61"/>
  <c r="Z289" i="61"/>
  <c r="AB288" i="61"/>
  <c r="AA288" i="61"/>
  <c r="Z288" i="61"/>
  <c r="AB287" i="61"/>
  <c r="AA287" i="61"/>
  <c r="Z287" i="61"/>
  <c r="AB286" i="61"/>
  <c r="AA286" i="61"/>
  <c r="Z286" i="61"/>
  <c r="AB285" i="61"/>
  <c r="AA285" i="61"/>
  <c r="Z285" i="61"/>
  <c r="AB284" i="61"/>
  <c r="AA284" i="61"/>
  <c r="Z284" i="61"/>
  <c r="AB283" i="61"/>
  <c r="AA283" i="61"/>
  <c r="Z283" i="61"/>
  <c r="AB282" i="61"/>
  <c r="AA282" i="61"/>
  <c r="Z282" i="61"/>
  <c r="AB281" i="61"/>
  <c r="AA281" i="61"/>
  <c r="Z281" i="61"/>
  <c r="AB280" i="61"/>
  <c r="AA280" i="61"/>
  <c r="Z280" i="61"/>
  <c r="AB279" i="61"/>
  <c r="AA279" i="61"/>
  <c r="Z279" i="61"/>
  <c r="AB278" i="61"/>
  <c r="AA278" i="61"/>
  <c r="Z278" i="61"/>
  <c r="AB277" i="61"/>
  <c r="AA277" i="61"/>
  <c r="Z277" i="61"/>
  <c r="AB276" i="61"/>
  <c r="AA276" i="61"/>
  <c r="Z276" i="61"/>
  <c r="AB275" i="61"/>
  <c r="AA275" i="61"/>
  <c r="Z275" i="61"/>
  <c r="AB274" i="61"/>
  <c r="AA274" i="61"/>
  <c r="Z274" i="61"/>
  <c r="AB273" i="61"/>
  <c r="AA273" i="61"/>
  <c r="Z273" i="61"/>
  <c r="AB272" i="61"/>
  <c r="AA272" i="61"/>
  <c r="Z272" i="61"/>
  <c r="AB271" i="61"/>
  <c r="AA271" i="61"/>
  <c r="Z271" i="61"/>
  <c r="AB270" i="61"/>
  <c r="AA270" i="61"/>
  <c r="Z270" i="61"/>
  <c r="AB269" i="61"/>
  <c r="AA269" i="61"/>
  <c r="Z269" i="61"/>
  <c r="AB268" i="61"/>
  <c r="AA268" i="61"/>
  <c r="Z268" i="61"/>
  <c r="AB267" i="61"/>
  <c r="AA267" i="61"/>
  <c r="Z267" i="61"/>
  <c r="AB266" i="61"/>
  <c r="AA266" i="61"/>
  <c r="Z266" i="61"/>
  <c r="AB265" i="61"/>
  <c r="AA265" i="61"/>
  <c r="Z265" i="61"/>
  <c r="AB264" i="61"/>
  <c r="AA264" i="61"/>
  <c r="Z264" i="61"/>
  <c r="AB263" i="61"/>
  <c r="AA263" i="61"/>
  <c r="Z263" i="61"/>
  <c r="AB262" i="61"/>
  <c r="AA262" i="61"/>
  <c r="Z262" i="61"/>
  <c r="AB261" i="61"/>
  <c r="AA261" i="61"/>
  <c r="Z261" i="61"/>
  <c r="AB260" i="61"/>
  <c r="AA260" i="61"/>
  <c r="Z260" i="61"/>
  <c r="AB259" i="61"/>
  <c r="AA259" i="61"/>
  <c r="Z259" i="61"/>
  <c r="AB258" i="61"/>
  <c r="AA258" i="61"/>
  <c r="Z258" i="61"/>
  <c r="AB257" i="61"/>
  <c r="AA257" i="61"/>
  <c r="Z257" i="61"/>
  <c r="AB256" i="61"/>
  <c r="AA256" i="61"/>
  <c r="Z256" i="61"/>
  <c r="AB255" i="61"/>
  <c r="AA255" i="61"/>
  <c r="Z255" i="61"/>
  <c r="AB254" i="61"/>
  <c r="AA254" i="61"/>
  <c r="Z254" i="61"/>
  <c r="AB253" i="61"/>
  <c r="AA253" i="61"/>
  <c r="Z253" i="61"/>
  <c r="AB252" i="61"/>
  <c r="AA252" i="61"/>
  <c r="Z252" i="61"/>
  <c r="AB251" i="61"/>
  <c r="AA251" i="61"/>
  <c r="Z251" i="61"/>
  <c r="AB250" i="61"/>
  <c r="AA250" i="61"/>
  <c r="Z250" i="61"/>
  <c r="AB249" i="61"/>
  <c r="AA249" i="61"/>
  <c r="Z249" i="61"/>
  <c r="AB248" i="61"/>
  <c r="AA248" i="61"/>
  <c r="Z248" i="61"/>
  <c r="AB247" i="61"/>
  <c r="AA247" i="61"/>
  <c r="Z247" i="61"/>
  <c r="AB246" i="61"/>
  <c r="AA246" i="61"/>
  <c r="Z246" i="61"/>
  <c r="AB245" i="61"/>
  <c r="AA245" i="61"/>
  <c r="Z245" i="61"/>
  <c r="AB244" i="61"/>
  <c r="AA244" i="61"/>
  <c r="Z244" i="61"/>
  <c r="AB243" i="61"/>
  <c r="AA243" i="61"/>
  <c r="Z243" i="61"/>
  <c r="AB242" i="61"/>
  <c r="AA242" i="61"/>
  <c r="Z242" i="61"/>
  <c r="AB241" i="61"/>
  <c r="AA241" i="61"/>
  <c r="Z241" i="61"/>
  <c r="AB240" i="61"/>
  <c r="AA240" i="61"/>
  <c r="Z240" i="61"/>
  <c r="AB239" i="61"/>
  <c r="AA239" i="61"/>
  <c r="Z239" i="61"/>
  <c r="AB238" i="61"/>
  <c r="AA238" i="61"/>
  <c r="Z238" i="61"/>
  <c r="AB237" i="61"/>
  <c r="AA237" i="61"/>
  <c r="Z237" i="61"/>
  <c r="AB236" i="61"/>
  <c r="AA236" i="61"/>
  <c r="Z236" i="61"/>
  <c r="AB235" i="61"/>
  <c r="AA235" i="61"/>
  <c r="Z235" i="61"/>
  <c r="AB234" i="61"/>
  <c r="AA234" i="61"/>
  <c r="Z234" i="61"/>
  <c r="AB233" i="61"/>
  <c r="AA233" i="61"/>
  <c r="Z233" i="61"/>
  <c r="AB232" i="61"/>
  <c r="AA232" i="61"/>
  <c r="Z232" i="61"/>
  <c r="AB231" i="61"/>
  <c r="AA231" i="61"/>
  <c r="Z231" i="61"/>
  <c r="AB230" i="61"/>
  <c r="AA230" i="61"/>
  <c r="Z230" i="61"/>
  <c r="AB229" i="61"/>
  <c r="AA229" i="61"/>
  <c r="Z229" i="61"/>
  <c r="AB228" i="61"/>
  <c r="AA228" i="61"/>
  <c r="Z228" i="61"/>
  <c r="AB227" i="61"/>
  <c r="AA227" i="61"/>
  <c r="Z227" i="61"/>
  <c r="AB226" i="61"/>
  <c r="AA226" i="61"/>
  <c r="Z226" i="61"/>
  <c r="AB225" i="61"/>
  <c r="AA225" i="61"/>
  <c r="Z225" i="61"/>
  <c r="AB224" i="61"/>
  <c r="AA224" i="61"/>
  <c r="Z224" i="61"/>
  <c r="AB223" i="61"/>
  <c r="AA223" i="61"/>
  <c r="Z223" i="61"/>
  <c r="AB222" i="61"/>
  <c r="AA222" i="61"/>
  <c r="Z222" i="61"/>
  <c r="AB221" i="61"/>
  <c r="AA221" i="61"/>
  <c r="Z221" i="61"/>
  <c r="AB220" i="61"/>
  <c r="AA220" i="61"/>
  <c r="Z220" i="61"/>
  <c r="AB219" i="61"/>
  <c r="AA219" i="61"/>
  <c r="Z219" i="61"/>
  <c r="AB218" i="61"/>
  <c r="AA218" i="61"/>
  <c r="Z218" i="61"/>
  <c r="AB217" i="61"/>
  <c r="AA217" i="61"/>
  <c r="Z217" i="61"/>
  <c r="AB216" i="61"/>
  <c r="AA216" i="61"/>
  <c r="Z216" i="61"/>
  <c r="AB215" i="61"/>
  <c r="AA215" i="61"/>
  <c r="Z215" i="61"/>
  <c r="AB214" i="61"/>
  <c r="AA214" i="61"/>
  <c r="Z214" i="61"/>
  <c r="AB213" i="61"/>
  <c r="AA213" i="61"/>
  <c r="Z213" i="61"/>
  <c r="AB212" i="61"/>
  <c r="AA212" i="61"/>
  <c r="Z212" i="61"/>
  <c r="AB211" i="61"/>
  <c r="AA211" i="61"/>
  <c r="Z211" i="61"/>
  <c r="AB210" i="61"/>
  <c r="AA210" i="61"/>
  <c r="Z210" i="61"/>
  <c r="AB209" i="61"/>
  <c r="AA209" i="61"/>
  <c r="Z209" i="61"/>
  <c r="AB208" i="61"/>
  <c r="AA208" i="61"/>
  <c r="Z208" i="61"/>
  <c r="AB207" i="61"/>
  <c r="AA207" i="61"/>
  <c r="Z207" i="61"/>
  <c r="AB206" i="61"/>
  <c r="AA206" i="61"/>
  <c r="Z206" i="61"/>
  <c r="AB205" i="61"/>
  <c r="AA205" i="61"/>
  <c r="Z205" i="61"/>
  <c r="AB204" i="61"/>
  <c r="AA204" i="61"/>
  <c r="Z204" i="61"/>
  <c r="AB203" i="61"/>
  <c r="AA203" i="61"/>
  <c r="Z203" i="61"/>
  <c r="AB202" i="61"/>
  <c r="AA202" i="61"/>
  <c r="Z202" i="61"/>
  <c r="AB201" i="61"/>
  <c r="AA201" i="61"/>
  <c r="Z201" i="61"/>
  <c r="AB200" i="61"/>
  <c r="AA200" i="61"/>
  <c r="Z200" i="61"/>
  <c r="AB199" i="61"/>
  <c r="AA199" i="61"/>
  <c r="Z199" i="61"/>
  <c r="AB198" i="61"/>
  <c r="AA198" i="61"/>
  <c r="Z198" i="61"/>
  <c r="AB197" i="61"/>
  <c r="AA197" i="61"/>
  <c r="Z197" i="61"/>
  <c r="AB196" i="61"/>
  <c r="AA196" i="61"/>
  <c r="Z196" i="61"/>
  <c r="AB195" i="61"/>
  <c r="AA195" i="61"/>
  <c r="Z195" i="61"/>
  <c r="AB194" i="61"/>
  <c r="AA194" i="61"/>
  <c r="Z194" i="61"/>
  <c r="AB193" i="61"/>
  <c r="AA193" i="61"/>
  <c r="Z193" i="61"/>
  <c r="AB192" i="61"/>
  <c r="AA192" i="61"/>
  <c r="Z192" i="61"/>
  <c r="AB191" i="61"/>
  <c r="AA191" i="61"/>
  <c r="Z191" i="61"/>
  <c r="AB190" i="61"/>
  <c r="AA190" i="61"/>
  <c r="Z190" i="61"/>
  <c r="AB189" i="61"/>
  <c r="AA189" i="61"/>
  <c r="Z189" i="61"/>
  <c r="AB188" i="61"/>
  <c r="AA188" i="61"/>
  <c r="Z188" i="61"/>
  <c r="AB187" i="61"/>
  <c r="AA187" i="61"/>
  <c r="Z187" i="61"/>
  <c r="AB186" i="61"/>
  <c r="AA186" i="61"/>
  <c r="Z186" i="61"/>
  <c r="AB185" i="61"/>
  <c r="AA185" i="61"/>
  <c r="Z185" i="61"/>
  <c r="AB184" i="61"/>
  <c r="AA184" i="61"/>
  <c r="Z184" i="61"/>
  <c r="AB183" i="61"/>
  <c r="AA183" i="61"/>
  <c r="Z183" i="61"/>
  <c r="AB182" i="61"/>
  <c r="AA182" i="61"/>
  <c r="Z182" i="61"/>
  <c r="AB181" i="61"/>
  <c r="AA181" i="61"/>
  <c r="Z181" i="61"/>
  <c r="AB180" i="61"/>
  <c r="AA180" i="61"/>
  <c r="Z180" i="61"/>
  <c r="AB179" i="61"/>
  <c r="AA179" i="61"/>
  <c r="Z179" i="61"/>
  <c r="AB178" i="61"/>
  <c r="AA178" i="61"/>
  <c r="Z178" i="61"/>
  <c r="AB177" i="61"/>
  <c r="AA177" i="61"/>
  <c r="Z177" i="61"/>
  <c r="AB176" i="61"/>
  <c r="AA176" i="61"/>
  <c r="Z176" i="61"/>
  <c r="AB175" i="61"/>
  <c r="AA175" i="61"/>
  <c r="Z175" i="61"/>
  <c r="AB174" i="61"/>
  <c r="AA174" i="61"/>
  <c r="Z174" i="61"/>
  <c r="AB173" i="61"/>
  <c r="AA173" i="61"/>
  <c r="Z173" i="61"/>
  <c r="AB172" i="61"/>
  <c r="AA172" i="61"/>
  <c r="Z172" i="61"/>
  <c r="AB171" i="61"/>
  <c r="AA171" i="61"/>
  <c r="Z171" i="61"/>
  <c r="AB170" i="61"/>
  <c r="AA170" i="61"/>
  <c r="Z170" i="61"/>
  <c r="AB169" i="61"/>
  <c r="AA169" i="61"/>
  <c r="Z169" i="61"/>
  <c r="AB168" i="61"/>
  <c r="AA168" i="61"/>
  <c r="Z168" i="61"/>
  <c r="AB167" i="61"/>
  <c r="AA167" i="61"/>
  <c r="Z167" i="61"/>
  <c r="AB166" i="61"/>
  <c r="AA166" i="61"/>
  <c r="Z166" i="61"/>
  <c r="AB165" i="61"/>
  <c r="AA165" i="61"/>
  <c r="Z165" i="61"/>
  <c r="AB164" i="61"/>
  <c r="AA164" i="61"/>
  <c r="Z164" i="61"/>
  <c r="AB163" i="61"/>
  <c r="AA163" i="61"/>
  <c r="Z163" i="61"/>
  <c r="AB162" i="61"/>
  <c r="AA162" i="61"/>
  <c r="Z162" i="61"/>
  <c r="AB161" i="61"/>
  <c r="AA161" i="61"/>
  <c r="Z161" i="61"/>
  <c r="AB160" i="61"/>
  <c r="AA160" i="61"/>
  <c r="Z160" i="61"/>
  <c r="AB159" i="61"/>
  <c r="AA159" i="61"/>
  <c r="Z159" i="61"/>
  <c r="AB158" i="61"/>
  <c r="AA158" i="61"/>
  <c r="Z158" i="61"/>
  <c r="AB157" i="61"/>
  <c r="AA157" i="61"/>
  <c r="Z157" i="61"/>
  <c r="AB156" i="61"/>
  <c r="AA156" i="61"/>
  <c r="Z156" i="61"/>
  <c r="AB155" i="61"/>
  <c r="AA155" i="61"/>
  <c r="Z155" i="61"/>
  <c r="AB154" i="61"/>
  <c r="AA154" i="61"/>
  <c r="Z154" i="61"/>
  <c r="AB153" i="61"/>
  <c r="AA153" i="61"/>
  <c r="Z153" i="61"/>
  <c r="AB152" i="61"/>
  <c r="AA152" i="61"/>
  <c r="Z152" i="61"/>
  <c r="AB151" i="61"/>
  <c r="AA151" i="61"/>
  <c r="Z151" i="61"/>
  <c r="AB150" i="61"/>
  <c r="AA150" i="61"/>
  <c r="Z150" i="61"/>
  <c r="AB149" i="61"/>
  <c r="AA149" i="61"/>
  <c r="Z149" i="61"/>
  <c r="AB148" i="61"/>
  <c r="AA148" i="61"/>
  <c r="Z148" i="61"/>
  <c r="AB147" i="61"/>
  <c r="AA147" i="61"/>
  <c r="Z147" i="61"/>
  <c r="AB146" i="61"/>
  <c r="AA146" i="61"/>
  <c r="Z146" i="61"/>
  <c r="AB145" i="61"/>
  <c r="AA145" i="61"/>
  <c r="Z145" i="61"/>
  <c r="AB144" i="61"/>
  <c r="AA144" i="61"/>
  <c r="Z144" i="61"/>
  <c r="AB143" i="61"/>
  <c r="AA143" i="61"/>
  <c r="Z143" i="61"/>
  <c r="AB142" i="61"/>
  <c r="AA142" i="61"/>
  <c r="Z142" i="61"/>
  <c r="AB141" i="61"/>
  <c r="AA141" i="61"/>
  <c r="Z141" i="61"/>
  <c r="AB140" i="61"/>
  <c r="AA140" i="61"/>
  <c r="Z140" i="61"/>
  <c r="AB139" i="61"/>
  <c r="AA139" i="61"/>
  <c r="Z139" i="61"/>
  <c r="AB138" i="61"/>
  <c r="AA138" i="61"/>
  <c r="Z138" i="61"/>
  <c r="AB137" i="61"/>
  <c r="AA137" i="61"/>
  <c r="Z137" i="61"/>
  <c r="AB136" i="61"/>
  <c r="AA136" i="61"/>
  <c r="Z136" i="61"/>
  <c r="AB135" i="61"/>
  <c r="AA135" i="61"/>
  <c r="Z135" i="61"/>
  <c r="AB134" i="61"/>
  <c r="AA134" i="61"/>
  <c r="Z134" i="61"/>
  <c r="AB133" i="61"/>
  <c r="AA133" i="61"/>
  <c r="Z133" i="61"/>
  <c r="AB132" i="61"/>
  <c r="AA132" i="61"/>
  <c r="Z132" i="61"/>
  <c r="AB131" i="61"/>
  <c r="AA131" i="61"/>
  <c r="Z131" i="61"/>
  <c r="AB130" i="61"/>
  <c r="AA130" i="61"/>
  <c r="Z130" i="61"/>
  <c r="AB129" i="61"/>
  <c r="AA129" i="61"/>
  <c r="Z129" i="61"/>
  <c r="AB128" i="61"/>
  <c r="AA128" i="61"/>
  <c r="Z128" i="61"/>
  <c r="AB127" i="61"/>
  <c r="AA127" i="61"/>
  <c r="Z127" i="61"/>
  <c r="AB126" i="61"/>
  <c r="AA126" i="61"/>
  <c r="Z126" i="61"/>
  <c r="AB125" i="61"/>
  <c r="AA125" i="61"/>
  <c r="Z125" i="61"/>
  <c r="AB124" i="61"/>
  <c r="AA124" i="61"/>
  <c r="Z124" i="61"/>
  <c r="AB123" i="61"/>
  <c r="AA123" i="61"/>
  <c r="Z123" i="61"/>
  <c r="AB122" i="61"/>
  <c r="AA122" i="61"/>
  <c r="Z122" i="61"/>
  <c r="AB121" i="61"/>
  <c r="AA121" i="61"/>
  <c r="Z121" i="61"/>
  <c r="AB120" i="61"/>
  <c r="AA120" i="61"/>
  <c r="Z120" i="61"/>
  <c r="AB119" i="61"/>
  <c r="AA119" i="61"/>
  <c r="Z119" i="61"/>
  <c r="AB118" i="61"/>
  <c r="AA118" i="61"/>
  <c r="Z118" i="61"/>
  <c r="AB117" i="61"/>
  <c r="AA117" i="61"/>
  <c r="Z117" i="61"/>
  <c r="AB116" i="61"/>
  <c r="AA116" i="61"/>
  <c r="Z116" i="61"/>
  <c r="AB115" i="61"/>
  <c r="AA115" i="61"/>
  <c r="Z115" i="61"/>
  <c r="AB114" i="61"/>
  <c r="AA114" i="61"/>
  <c r="Z114" i="61"/>
  <c r="AB113" i="61"/>
  <c r="AA113" i="61"/>
  <c r="Z113" i="61"/>
  <c r="AB112" i="61"/>
  <c r="AA112" i="61"/>
  <c r="Z112" i="61"/>
  <c r="AB111" i="61"/>
  <c r="AA111" i="61"/>
  <c r="Z111" i="61"/>
  <c r="AB110" i="61"/>
  <c r="AA110" i="61"/>
  <c r="Z110" i="61"/>
  <c r="AB109" i="61"/>
  <c r="AA109" i="61"/>
  <c r="Z109" i="61"/>
  <c r="AB108" i="61"/>
  <c r="AA108" i="61"/>
  <c r="Z108" i="61"/>
  <c r="AB107" i="61"/>
  <c r="AA107" i="61"/>
  <c r="Z107" i="61"/>
  <c r="AB106" i="61"/>
  <c r="AA106" i="61"/>
  <c r="Z106" i="61"/>
  <c r="AB105" i="61"/>
  <c r="AA105" i="61"/>
  <c r="Z105" i="61"/>
  <c r="AB104" i="61"/>
  <c r="AA104" i="61"/>
  <c r="Z104" i="61"/>
  <c r="AB103" i="61"/>
  <c r="AA103" i="61"/>
  <c r="Z103" i="61"/>
  <c r="AB102" i="61"/>
  <c r="AA102" i="61"/>
  <c r="Z102" i="61"/>
  <c r="AB101" i="61"/>
  <c r="AA101" i="61"/>
  <c r="Z101" i="61"/>
  <c r="AB100" i="61"/>
  <c r="AA100" i="61"/>
  <c r="Z100" i="61"/>
  <c r="AB99" i="61"/>
  <c r="AA99" i="61"/>
  <c r="Z99" i="61"/>
  <c r="AB98" i="61"/>
  <c r="AA98" i="61"/>
  <c r="Z98" i="61"/>
  <c r="AB97" i="61"/>
  <c r="AA97" i="61"/>
  <c r="Z97" i="61"/>
  <c r="AB96" i="61"/>
  <c r="AA96" i="61"/>
  <c r="Z96" i="61"/>
  <c r="AB95" i="61"/>
  <c r="AA95" i="61"/>
  <c r="Z95" i="61"/>
  <c r="AB94" i="61"/>
  <c r="AA94" i="61"/>
  <c r="Z94" i="61"/>
  <c r="AB93" i="61"/>
  <c r="AA93" i="61"/>
  <c r="Z93" i="61"/>
  <c r="AB92" i="61"/>
  <c r="AA92" i="61"/>
  <c r="Z92" i="61"/>
  <c r="AB91" i="61"/>
  <c r="AA91" i="61"/>
  <c r="Z91" i="61"/>
  <c r="AB90" i="61"/>
  <c r="AA90" i="61"/>
  <c r="Z90" i="61"/>
  <c r="AB89" i="61"/>
  <c r="AA89" i="61"/>
  <c r="Z89" i="61"/>
  <c r="AB88" i="61"/>
  <c r="AA88" i="61"/>
  <c r="Z88" i="61"/>
  <c r="AB87" i="61"/>
  <c r="AA87" i="61"/>
  <c r="Z87" i="61"/>
  <c r="AB86" i="61"/>
  <c r="AA86" i="61"/>
  <c r="Z86" i="61"/>
  <c r="AB85" i="61"/>
  <c r="AA85" i="61"/>
  <c r="Z85" i="61"/>
  <c r="AB84" i="61"/>
  <c r="AA84" i="61"/>
  <c r="Z84" i="61"/>
  <c r="AB83" i="61"/>
  <c r="AA83" i="61"/>
  <c r="Z83" i="61"/>
  <c r="AB82" i="61"/>
  <c r="AA82" i="61"/>
  <c r="Z82" i="61"/>
  <c r="AB81" i="61"/>
  <c r="AA81" i="61"/>
  <c r="Z81" i="61"/>
  <c r="AB80" i="61"/>
  <c r="AA80" i="61"/>
  <c r="Z80" i="61"/>
  <c r="AB79" i="61"/>
  <c r="AA79" i="61"/>
  <c r="Z79" i="61"/>
  <c r="AB78" i="61"/>
  <c r="AA78" i="61"/>
  <c r="Z78" i="61"/>
  <c r="AB77" i="61"/>
  <c r="AA77" i="61"/>
  <c r="Z77" i="61"/>
  <c r="AB76" i="61"/>
  <c r="AA76" i="61"/>
  <c r="Z76" i="61"/>
  <c r="AB75" i="61"/>
  <c r="AA75" i="61"/>
  <c r="Z75" i="61"/>
  <c r="AB74" i="61"/>
  <c r="AA74" i="61"/>
  <c r="Z74" i="61"/>
  <c r="AB73" i="61"/>
  <c r="AA73" i="61"/>
  <c r="Z73" i="61"/>
  <c r="AB72" i="61"/>
  <c r="AA72" i="61"/>
  <c r="Z72" i="61"/>
  <c r="AB71" i="61"/>
  <c r="AA71" i="61"/>
  <c r="Z71" i="61"/>
  <c r="AB70" i="61"/>
  <c r="AA70" i="61"/>
  <c r="Z70" i="61"/>
  <c r="AB69" i="61"/>
  <c r="AA69" i="61"/>
  <c r="Z69" i="61"/>
  <c r="AB68" i="61"/>
  <c r="AA68" i="61"/>
  <c r="Z68" i="61"/>
  <c r="AB67" i="61"/>
  <c r="AA67" i="61"/>
  <c r="Z67" i="61"/>
  <c r="AB66" i="61"/>
  <c r="AA66" i="61"/>
  <c r="Z66" i="61"/>
  <c r="AB65" i="61"/>
  <c r="AA65" i="61"/>
  <c r="Z65" i="61"/>
  <c r="AB64" i="61"/>
  <c r="AA64" i="61"/>
  <c r="Z64" i="61"/>
  <c r="AB63" i="61"/>
  <c r="AA63" i="61"/>
  <c r="Z63" i="61"/>
  <c r="AB62" i="61"/>
  <c r="AA62" i="61"/>
  <c r="Z62" i="61"/>
  <c r="AB61" i="61"/>
  <c r="AA61" i="61"/>
  <c r="Z61" i="61"/>
  <c r="AB60" i="61"/>
  <c r="AA60" i="61"/>
  <c r="Z60" i="61"/>
  <c r="AB59" i="61"/>
  <c r="AA59" i="61"/>
  <c r="Z59" i="61"/>
  <c r="AB58" i="61"/>
  <c r="AA58" i="61"/>
  <c r="Z58" i="61"/>
  <c r="AB57" i="61"/>
  <c r="AA57" i="61"/>
  <c r="Z57" i="61"/>
  <c r="AB56" i="61"/>
  <c r="AA56" i="61"/>
  <c r="Z56" i="61"/>
  <c r="AB55" i="61"/>
  <c r="AA55" i="61"/>
  <c r="Z55" i="61"/>
  <c r="AB54" i="61"/>
  <c r="AA54" i="61"/>
  <c r="Z54" i="61"/>
  <c r="AB53" i="61"/>
  <c r="AA53" i="61"/>
  <c r="Z53" i="61"/>
  <c r="AB52" i="61"/>
  <c r="AA52" i="61"/>
  <c r="Z52" i="61"/>
  <c r="AB51" i="61"/>
  <c r="AA51" i="61"/>
  <c r="Z51" i="61"/>
  <c r="AB50" i="61"/>
  <c r="AA50" i="61"/>
  <c r="Z50" i="61"/>
  <c r="AB49" i="61"/>
  <c r="AA49" i="61"/>
  <c r="Z49" i="61"/>
  <c r="AB48" i="61"/>
  <c r="AA48" i="61"/>
  <c r="Z48" i="61"/>
  <c r="AB47" i="61"/>
  <c r="AA47" i="61"/>
  <c r="Z47" i="61"/>
  <c r="AB46" i="61"/>
  <c r="AA46" i="61"/>
  <c r="Z46" i="61"/>
  <c r="AB45" i="61"/>
  <c r="AA45" i="61"/>
  <c r="Z45" i="61"/>
  <c r="AB44" i="61"/>
  <c r="AA44" i="61"/>
  <c r="Z44" i="61"/>
  <c r="AB43" i="61"/>
  <c r="AA43" i="61"/>
  <c r="Z43" i="61"/>
  <c r="AB42" i="61"/>
  <c r="AA42" i="61"/>
  <c r="Z42" i="61"/>
  <c r="AB41" i="61"/>
  <c r="AA41" i="61"/>
  <c r="Z41" i="61"/>
  <c r="AB40" i="61"/>
  <c r="AA40" i="61"/>
  <c r="Z40" i="61"/>
  <c r="AB39" i="61"/>
  <c r="AA39" i="61"/>
  <c r="Z39" i="61"/>
  <c r="AB38" i="61"/>
  <c r="AA38" i="61"/>
  <c r="Z38" i="61"/>
  <c r="AB37" i="61"/>
  <c r="AA37" i="61"/>
  <c r="Z37" i="61"/>
  <c r="AB36" i="61"/>
  <c r="AA36" i="61"/>
  <c r="Z36" i="61"/>
  <c r="AB35" i="61"/>
  <c r="AA35" i="61"/>
  <c r="Z35" i="61"/>
  <c r="AB34" i="61"/>
  <c r="AA34" i="61"/>
  <c r="Z34" i="61"/>
  <c r="AB33" i="61"/>
  <c r="AA33" i="61"/>
  <c r="Z33" i="61"/>
  <c r="AB32" i="61"/>
  <c r="AA32" i="61"/>
  <c r="Z32" i="61"/>
  <c r="AB31" i="61"/>
  <c r="AA31" i="61"/>
  <c r="Z31" i="61"/>
  <c r="AB30" i="61"/>
  <c r="AA30" i="61"/>
  <c r="Z30" i="61"/>
  <c r="AB29" i="61"/>
  <c r="AA29" i="61"/>
  <c r="Z29" i="61"/>
  <c r="AB28" i="61"/>
  <c r="AA28" i="61"/>
  <c r="Z28" i="61"/>
  <c r="AB27" i="61"/>
  <c r="AA27" i="61"/>
  <c r="Z27" i="61"/>
  <c r="AB26" i="61"/>
  <c r="AA26" i="61"/>
  <c r="Z26" i="61"/>
  <c r="AB25" i="61"/>
  <c r="AA25" i="61"/>
  <c r="Z25" i="61"/>
  <c r="AB24" i="61"/>
  <c r="AA24" i="61"/>
  <c r="Z24" i="61"/>
  <c r="AB23" i="61"/>
  <c r="AA23" i="61"/>
  <c r="Z23" i="61"/>
  <c r="AB22" i="61"/>
  <c r="AA22" i="61"/>
  <c r="Z22" i="61"/>
  <c r="AB21" i="61"/>
  <c r="AA21" i="61"/>
  <c r="Z21" i="61"/>
  <c r="AB20" i="61"/>
  <c r="AA20" i="61"/>
  <c r="Z20" i="61"/>
  <c r="AB19" i="61"/>
  <c r="AA19" i="61"/>
  <c r="Z19" i="61"/>
  <c r="AB18" i="61"/>
  <c r="AA18" i="61"/>
  <c r="Z18" i="61"/>
  <c r="AB17" i="61"/>
  <c r="AA17" i="61"/>
  <c r="Z17" i="61"/>
  <c r="AB16" i="61"/>
  <c r="AA16" i="61"/>
  <c r="Z16" i="61"/>
  <c r="AB15" i="61"/>
  <c r="AA15" i="61"/>
  <c r="Z15" i="61"/>
  <c r="AB14" i="61"/>
  <c r="AA14" i="61"/>
  <c r="Z14" i="61"/>
  <c r="AB13" i="61"/>
  <c r="AA13" i="61"/>
  <c r="Z13" i="61"/>
  <c r="AB12" i="61"/>
  <c r="AA12" i="61"/>
  <c r="Z12" i="61"/>
  <c r="AB11" i="61"/>
  <c r="AA11" i="61"/>
  <c r="Z11" i="61"/>
  <c r="F18" i="77" l="1"/>
  <c r="P9" i="61"/>
  <c r="E21" i="30" s="1"/>
  <c r="O9" i="61"/>
  <c r="X9" i="61"/>
  <c r="F31" i="72" s="1"/>
  <c r="V9" i="61"/>
  <c r="F25" i="72" s="1"/>
  <c r="AB9" i="61"/>
  <c r="E12" i="49" s="1"/>
  <c r="AA9" i="61"/>
  <c r="Z9" i="61"/>
  <c r="U9" i="61"/>
  <c r="T9" i="61"/>
  <c r="F16" i="14" s="1"/>
  <c r="S9" i="61"/>
  <c r="E28" i="50" s="1"/>
  <c r="E32" i="50" s="1"/>
  <c r="R9" i="61"/>
  <c r="AD9" i="61"/>
  <c r="Y9" i="61"/>
  <c r="E12" i="3" s="1"/>
  <c r="AC9" i="61"/>
  <c r="E15" i="23" s="1"/>
  <c r="Q9" i="61"/>
  <c r="E22" i="79" s="1"/>
  <c r="E26" i="79" s="1"/>
  <c r="E34" i="79" s="1"/>
  <c r="BN6" i="74"/>
  <c r="BM12" i="74" s="1"/>
  <c r="AT6" i="74"/>
  <c r="AS13" i="74" s="1"/>
  <c r="AQ6" i="74"/>
  <c r="AP6" i="74"/>
  <c r="AD6" i="74"/>
  <c r="AF6" i="74"/>
  <c r="I6" i="74"/>
  <c r="N6" i="74"/>
  <c r="H3" i="74"/>
  <c r="BR3" i="74"/>
  <c r="BQ3" i="74"/>
  <c r="BE6" i="74"/>
  <c r="BE13" i="74" s="1"/>
  <c r="BG6" i="74"/>
  <c r="BJ8" i="74" s="1"/>
  <c r="BA3" i="74"/>
  <c r="U3" i="74"/>
  <c r="T3" i="74"/>
  <c r="Y3" i="74"/>
  <c r="P3" i="74"/>
  <c r="L3" i="74"/>
  <c r="G3" i="74"/>
  <c r="E22" i="50" l="1"/>
  <c r="F22" i="14"/>
  <c r="F34" i="14"/>
  <c r="AI6" i="74" s="1"/>
  <c r="F36" i="14"/>
  <c r="AH6" i="74" s="1"/>
  <c r="AH8" i="74" s="1"/>
  <c r="H34" i="79"/>
  <c r="D15" i="78" s="1"/>
  <c r="F15" i="78"/>
  <c r="E11" i="26"/>
  <c r="D6" i="74" s="1"/>
  <c r="B4" i="77"/>
  <c r="F20" i="46"/>
  <c r="F19" i="72"/>
  <c r="F26" i="46"/>
  <c r="F30" i="46" s="1"/>
  <c r="F13" i="72"/>
  <c r="F46" i="59"/>
  <c r="F40" i="59"/>
  <c r="F17" i="59"/>
  <c r="F23" i="59"/>
  <c r="E18" i="44"/>
  <c r="E28" i="45"/>
  <c r="E24" i="23"/>
  <c r="E28" i="23" s="1"/>
  <c r="E22" i="45"/>
  <c r="E27" i="42"/>
  <c r="E27" i="43"/>
  <c r="E21" i="42"/>
  <c r="E21" i="43"/>
  <c r="E25" i="43" s="1"/>
  <c r="BM11" i="74"/>
  <c r="BM3" i="74" s="1"/>
  <c r="F39" i="72" s="1"/>
  <c r="AS11" i="74"/>
  <c r="AS12" i="74"/>
  <c r="BE12" i="74"/>
  <c r="BE14" i="74"/>
  <c r="BE15" i="74"/>
  <c r="BE11" i="74"/>
  <c r="BH8" i="74"/>
  <c r="BK8" i="74"/>
  <c r="BG8" i="74"/>
  <c r="BI8" i="74"/>
  <c r="AM14" i="74"/>
  <c r="AM13" i="74"/>
  <c r="AM12" i="74"/>
  <c r="AM11" i="74"/>
  <c r="AL14" i="74"/>
  <c r="AL13" i="74"/>
  <c r="AL12" i="74"/>
  <c r="AL11" i="74"/>
  <c r="AC12" i="74"/>
  <c r="AC13" i="74"/>
  <c r="AC14" i="74"/>
  <c r="AC15" i="74"/>
  <c r="AC16" i="74"/>
  <c r="AC17" i="74"/>
  <c r="AC18" i="74"/>
  <c r="AC19" i="74"/>
  <c r="AC20" i="74"/>
  <c r="AC21" i="74"/>
  <c r="AC22" i="74"/>
  <c r="AC11" i="74"/>
  <c r="AI8" i="74" l="1"/>
  <c r="AJ8" i="74"/>
  <c r="C11" i="74"/>
  <c r="C12" i="74"/>
  <c r="C13" i="74"/>
  <c r="C14" i="74"/>
  <c r="AS3" i="74"/>
  <c r="F48" i="14" s="1"/>
  <c r="BE3" i="74"/>
  <c r="F16" i="71" s="1"/>
  <c r="AL3" i="74"/>
  <c r="F46" i="14" s="1"/>
  <c r="AC3" i="74" l="1"/>
  <c r="F44" i="14" s="1"/>
  <c r="C3" i="74"/>
  <c r="F15" i="26" s="1"/>
  <c r="F17" i="26" s="1"/>
  <c r="F13" i="78" s="1"/>
  <c r="C16" i="45" l="1"/>
  <c r="C14" i="45"/>
  <c r="C18" i="71"/>
  <c r="F35" i="72" l="1"/>
  <c r="F29" i="72"/>
  <c r="C46" i="72"/>
  <c r="C110" i="77" s="1"/>
  <c r="F17" i="72"/>
  <c r="C10" i="72"/>
  <c r="D8" i="72"/>
  <c r="D7" i="72"/>
  <c r="D6" i="72"/>
  <c r="B4" i="72"/>
  <c r="C21" i="71"/>
  <c r="C10" i="71"/>
  <c r="D8" i="71"/>
  <c r="F34" i="78" s="1"/>
  <c r="D7" i="71"/>
  <c r="D6" i="71"/>
  <c r="B4" i="71"/>
  <c r="C28" i="70"/>
  <c r="C113" i="77" s="1"/>
  <c r="E15" i="70"/>
  <c r="C10" i="70"/>
  <c r="D8" i="70"/>
  <c r="E23" i="70" s="1"/>
  <c r="F25" i="78" s="1"/>
  <c r="D7" i="70"/>
  <c r="D6" i="70"/>
  <c r="B4" i="70"/>
  <c r="C38" i="68"/>
  <c r="C77" i="77" s="1"/>
  <c r="C10" i="68"/>
  <c r="D8" i="68"/>
  <c r="D7" i="68"/>
  <c r="D6" i="68"/>
  <c r="B4" i="68"/>
  <c r="C24" i="67"/>
  <c r="C98" i="77" s="1"/>
  <c r="C10" i="67"/>
  <c r="D8" i="67"/>
  <c r="E18" i="67" s="1"/>
  <c r="F21" i="78" s="1"/>
  <c r="D7" i="67"/>
  <c r="D6" i="67"/>
  <c r="B4" i="67"/>
  <c r="C46" i="45"/>
  <c r="C146" i="77" s="1"/>
  <c r="C10" i="45"/>
  <c r="D8" i="45"/>
  <c r="D7" i="45"/>
  <c r="D6" i="45"/>
  <c r="B4" i="45"/>
  <c r="C45" i="43"/>
  <c r="C143" i="77" s="1"/>
  <c r="C10" i="43"/>
  <c r="D8" i="43"/>
  <c r="D7" i="43"/>
  <c r="D6" i="43"/>
  <c r="B4" i="43"/>
  <c r="C44" i="42"/>
  <c r="C140" i="77" s="1"/>
  <c r="C11" i="42"/>
  <c r="D9" i="42"/>
  <c r="D8" i="42"/>
  <c r="D7" i="42"/>
  <c r="B4" i="42"/>
  <c r="C37" i="44"/>
  <c r="C137" i="77" s="1"/>
  <c r="C10" i="44"/>
  <c r="D8" i="44"/>
  <c r="D7" i="44"/>
  <c r="D6" i="44"/>
  <c r="B4" i="44"/>
  <c r="C27" i="49"/>
  <c r="C134" i="77" s="1"/>
  <c r="C10" i="49"/>
  <c r="D8" i="49"/>
  <c r="E22" i="49" s="1"/>
  <c r="F33" i="78" s="1"/>
  <c r="D7" i="49"/>
  <c r="D6" i="49"/>
  <c r="B4" i="49"/>
  <c r="C28" i="48"/>
  <c r="C131" i="77" s="1"/>
  <c r="C10" i="48"/>
  <c r="D8" i="48"/>
  <c r="F23" i="48" s="1"/>
  <c r="F32" i="78" s="1"/>
  <c r="D7" i="48"/>
  <c r="D6" i="48"/>
  <c r="B4" i="48"/>
  <c r="C39" i="46"/>
  <c r="C128" i="77" s="1"/>
  <c r="C10" i="46"/>
  <c r="D8" i="46"/>
  <c r="D7" i="46"/>
  <c r="D6" i="46"/>
  <c r="B4" i="46"/>
  <c r="C60" i="14"/>
  <c r="C125" i="77" s="1"/>
  <c r="C10" i="14"/>
  <c r="D8" i="14"/>
  <c r="D7" i="14"/>
  <c r="D6" i="14"/>
  <c r="B4" i="14"/>
  <c r="I16" i="71" l="1"/>
  <c r="D34" i="78" s="1"/>
  <c r="I23" i="48"/>
  <c r="D32" i="78" s="1"/>
  <c r="H18" i="67"/>
  <c r="D21" i="78" s="1"/>
  <c r="H23" i="70"/>
  <c r="D25" i="78" s="1"/>
  <c r="H22" i="49"/>
  <c r="D33" i="78" s="1"/>
  <c r="C61" i="59"/>
  <c r="C122" i="77" s="1"/>
  <c r="C10" i="59"/>
  <c r="D8" i="59"/>
  <c r="D7" i="59"/>
  <c r="D6" i="59"/>
  <c r="B4" i="59"/>
  <c r="C31" i="16"/>
  <c r="C119" i="77" s="1"/>
  <c r="C10" i="16"/>
  <c r="D8" i="16"/>
  <c r="E26" i="16" s="1"/>
  <c r="F28" i="78" s="1"/>
  <c r="D7" i="16"/>
  <c r="D6" i="16"/>
  <c r="B4" i="16"/>
  <c r="C27" i="3"/>
  <c r="C116" i="77" s="1"/>
  <c r="C10" i="3"/>
  <c r="D8" i="3"/>
  <c r="D7" i="3"/>
  <c r="D6" i="3"/>
  <c r="B4" i="3"/>
  <c r="C32" i="39"/>
  <c r="C10" i="39"/>
  <c r="D8" i="39"/>
  <c r="F22" i="78" s="1"/>
  <c r="D7" i="39"/>
  <c r="D6" i="39"/>
  <c r="B4" i="39"/>
  <c r="C29" i="65"/>
  <c r="C95" i="77" s="1"/>
  <c r="C10" i="65"/>
  <c r="D8" i="65"/>
  <c r="D7" i="65"/>
  <c r="D6" i="65"/>
  <c r="B4" i="65"/>
  <c r="C29" i="64"/>
  <c r="C92" i="77" s="1"/>
  <c r="C10" i="64"/>
  <c r="D8" i="64"/>
  <c r="D7" i="64"/>
  <c r="D6" i="64"/>
  <c r="B4" i="64"/>
  <c r="C89" i="77"/>
  <c r="C10" i="23"/>
  <c r="D8" i="23"/>
  <c r="D7" i="23"/>
  <c r="D6" i="23"/>
  <c r="B4" i="23"/>
  <c r="C41" i="30"/>
  <c r="C83" i="77" s="1"/>
  <c r="C10" i="30"/>
  <c r="D8" i="30"/>
  <c r="D7" i="30"/>
  <c r="D6" i="30"/>
  <c r="B4" i="30"/>
  <c r="C29" i="27"/>
  <c r="C71" i="77" s="1"/>
  <c r="C10" i="27"/>
  <c r="D8" i="27"/>
  <c r="E24" i="27" s="1"/>
  <c r="D7" i="27"/>
  <c r="D6" i="27"/>
  <c r="B4" i="27"/>
  <c r="C27" i="55"/>
  <c r="C68" i="77" s="1"/>
  <c r="D8" i="55"/>
  <c r="F22" i="55" s="1"/>
  <c r="D7" i="55"/>
  <c r="D6" i="55"/>
  <c r="B4" i="55"/>
  <c r="C101" i="77" l="1"/>
  <c r="AH25" i="75"/>
  <c r="F11" i="78"/>
  <c r="AH21" i="75"/>
  <c r="AH31" i="75"/>
  <c r="AH33" i="75"/>
  <c r="F12" i="78"/>
  <c r="AH32" i="75"/>
  <c r="C107" i="77"/>
  <c r="H26" i="39"/>
  <c r="D22" i="78" s="1"/>
  <c r="H26" i="16"/>
  <c r="H24" i="27"/>
  <c r="D12" i="78" s="1"/>
  <c r="I22" i="55"/>
  <c r="D11" i="78" s="1"/>
  <c r="E17" i="42"/>
  <c r="AV33" i="75" l="1"/>
  <c r="BF23" i="75"/>
  <c r="AV31" i="75"/>
  <c r="BD23" i="75"/>
  <c r="AV32" i="75"/>
  <c r="BE23" i="75"/>
  <c r="AV21" i="75"/>
  <c r="AT23" i="75"/>
  <c r="AV25" i="75"/>
  <c r="AX23" i="75"/>
  <c r="BF31" i="75"/>
  <c r="AX31" i="75"/>
  <c r="BD31" i="75"/>
  <c r="BE31" i="75"/>
  <c r="AT31" i="75"/>
  <c r="AT21" i="75"/>
  <c r="BF21" i="75"/>
  <c r="AX21" i="75"/>
  <c r="BE21" i="75"/>
  <c r="BD21" i="75"/>
  <c r="AT33" i="75"/>
  <c r="BF33" i="75"/>
  <c r="AX33" i="75"/>
  <c r="BE33" i="75"/>
  <c r="BD33" i="75"/>
  <c r="BF25" i="75"/>
  <c r="AX25" i="75"/>
  <c r="AT25" i="75"/>
  <c r="BE25" i="75"/>
  <c r="BD25" i="75"/>
  <c r="AX32" i="75"/>
  <c r="AT32" i="75"/>
  <c r="BF32" i="75"/>
  <c r="BE32" i="75"/>
  <c r="BD32" i="75"/>
  <c r="D28" i="78"/>
  <c r="AH12" i="75"/>
  <c r="AK25" i="75" s="1"/>
  <c r="AH11" i="75"/>
  <c r="AJ25" i="75" s="1"/>
  <c r="AH22" i="75"/>
  <c r="AU21" i="75" s="1"/>
  <c r="AJ33" i="75" l="1"/>
  <c r="AU33" i="75"/>
  <c r="AK33" i="75"/>
  <c r="AU32" i="75"/>
  <c r="AJ32" i="75"/>
  <c r="AK32" i="75"/>
  <c r="AJ31" i="75"/>
  <c r="AU31" i="75"/>
  <c r="AK31" i="75"/>
  <c r="AU25" i="75"/>
  <c r="AV11" i="75"/>
  <c r="AJ23" i="75"/>
  <c r="AV12" i="75"/>
  <c r="AK23" i="75"/>
  <c r="AJ21" i="75"/>
  <c r="AK21" i="75"/>
  <c r="AV22" i="75"/>
  <c r="AU23" i="75"/>
  <c r="BD11" i="75"/>
  <c r="AJ11" i="75"/>
  <c r="AX11" i="75"/>
  <c r="AT11" i="75"/>
  <c r="BF11" i="75"/>
  <c r="AU11" i="75"/>
  <c r="BE11" i="75"/>
  <c r="BD22" i="75"/>
  <c r="AT22" i="75"/>
  <c r="BF22" i="75"/>
  <c r="AX22" i="75"/>
  <c r="BE22" i="75"/>
  <c r="AU22" i="75"/>
  <c r="AK22" i="75"/>
  <c r="AJ22" i="75"/>
  <c r="AU12" i="75"/>
  <c r="AK12" i="75"/>
  <c r="AJ12" i="75"/>
  <c r="AT12" i="75"/>
  <c r="AK11" i="75"/>
  <c r="BF12" i="75"/>
  <c r="BE12" i="75"/>
  <c r="BD12" i="75"/>
  <c r="AX12" i="75"/>
  <c r="AH27" i="75"/>
  <c r="AZ32" i="75" l="1"/>
  <c r="AZ33" i="75"/>
  <c r="AZ25" i="75"/>
  <c r="AZ31" i="75"/>
  <c r="AZ22" i="75"/>
  <c r="AZ23" i="75"/>
  <c r="AZ12" i="75"/>
  <c r="AZ21" i="75"/>
  <c r="AZ11" i="75"/>
  <c r="AV27" i="75"/>
  <c r="AT27" i="75"/>
  <c r="AK27" i="75"/>
  <c r="AZ27" i="75"/>
  <c r="AJ27" i="75"/>
  <c r="BF27" i="75"/>
  <c r="AX27" i="75"/>
  <c r="BE27" i="75"/>
  <c r="BD27" i="75"/>
  <c r="AU27" i="75"/>
  <c r="E19" i="43"/>
  <c r="F17" i="48"/>
  <c r="H14" i="40" l="1"/>
  <c r="D24" i="78" s="1"/>
  <c r="C14" i="24"/>
  <c r="C38" i="49"/>
  <c r="F14" i="78" l="1"/>
  <c r="AH24" i="75"/>
  <c r="AW33" i="75" s="1"/>
  <c r="C25" i="48"/>
  <c r="AW31" i="75" l="1"/>
  <c r="AW32" i="75"/>
  <c r="AW25" i="75"/>
  <c r="AW27" i="75"/>
  <c r="AW21" i="75"/>
  <c r="AW23" i="75"/>
  <c r="AW12" i="75"/>
  <c r="AV24" i="75"/>
  <c r="AW22" i="75"/>
  <c r="AT24" i="75"/>
  <c r="AZ24" i="75"/>
  <c r="AK24" i="75"/>
  <c r="AJ24" i="75"/>
  <c r="BF24" i="75"/>
  <c r="AX24" i="75"/>
  <c r="BE24" i="75"/>
  <c r="AW24" i="75"/>
  <c r="BD24" i="75"/>
  <c r="AU24" i="75"/>
  <c r="AW11" i="75"/>
  <c r="H32" i="68"/>
  <c r="D14" i="78" s="1"/>
  <c r="F44" i="59"/>
  <c r="AH15" i="75" l="1"/>
  <c r="AN33" i="75" s="1"/>
  <c r="AH14" i="75"/>
  <c r="AM33" i="75" s="1"/>
  <c r="G13" i="23"/>
  <c r="AM31" i="75" l="1"/>
  <c r="AM32" i="75"/>
  <c r="AN31" i="75"/>
  <c r="AN32" i="75"/>
  <c r="AM25" i="75"/>
  <c r="AM27" i="75"/>
  <c r="AN25" i="75"/>
  <c r="AN27" i="75"/>
  <c r="AM23" i="75"/>
  <c r="AM24" i="75"/>
  <c r="AN23" i="75"/>
  <c r="AN24" i="75"/>
  <c r="AM21" i="75"/>
  <c r="AM22" i="75"/>
  <c r="AN21" i="75"/>
  <c r="AN22" i="75"/>
  <c r="AM12" i="75"/>
  <c r="AV14" i="75"/>
  <c r="AN12" i="75"/>
  <c r="AV15" i="75"/>
  <c r="BD14" i="75"/>
  <c r="AM14" i="75"/>
  <c r="AN14" i="75"/>
  <c r="AM11" i="75"/>
  <c r="AX14" i="75"/>
  <c r="AK14" i="75"/>
  <c r="AZ14" i="75"/>
  <c r="AW14" i="75"/>
  <c r="AJ14" i="75"/>
  <c r="AU14" i="75"/>
  <c r="AT14" i="75"/>
  <c r="BF14" i="75"/>
  <c r="BE14" i="75"/>
  <c r="AZ15" i="75"/>
  <c r="AK15" i="75"/>
  <c r="AX15" i="75"/>
  <c r="AW15" i="75"/>
  <c r="AJ15" i="75"/>
  <c r="AU15" i="75"/>
  <c r="AT15" i="75"/>
  <c r="AN11" i="75"/>
  <c r="BF15" i="75"/>
  <c r="BE15" i="75"/>
  <c r="BD15" i="75"/>
  <c r="AN15" i="75"/>
  <c r="AM15" i="75"/>
  <c r="K14" i="78"/>
  <c r="C15" i="24" l="1"/>
  <c r="C19" i="24" s="1"/>
  <c r="E25" i="30"/>
  <c r="E31" i="30"/>
  <c r="E19" i="30"/>
  <c r="E35" i="30" l="1"/>
  <c r="F16" i="78" s="1"/>
  <c r="G16" i="50" l="1"/>
  <c r="F50" i="59" l="1"/>
  <c r="F23" i="72"/>
  <c r="F41" i="72" s="1"/>
  <c r="F26" i="78" s="1"/>
  <c r="E15" i="39"/>
  <c r="I41" i="72" l="1"/>
  <c r="D26" i="78" s="1"/>
  <c r="AH34" i="75" l="1"/>
  <c r="BG33" i="75" s="1"/>
  <c r="BG31" i="75" l="1"/>
  <c r="BG32" i="75"/>
  <c r="BG25" i="75"/>
  <c r="BG27" i="75"/>
  <c r="BG23" i="75"/>
  <c r="BG24" i="75"/>
  <c r="BG21" i="75"/>
  <c r="BG22" i="75"/>
  <c r="BG15" i="75"/>
  <c r="BG14" i="75"/>
  <c r="BG12" i="75"/>
  <c r="AV34" i="75"/>
  <c r="BD34" i="75"/>
  <c r="AN34" i="75"/>
  <c r="AZ34" i="75"/>
  <c r="AM34" i="75"/>
  <c r="AX34" i="75"/>
  <c r="AK34" i="75"/>
  <c r="AW34" i="75"/>
  <c r="AJ34" i="75"/>
  <c r="AU34" i="75"/>
  <c r="BG34" i="75"/>
  <c r="AT34" i="75"/>
  <c r="BF34" i="75"/>
  <c r="BE34" i="75"/>
  <c r="BG11" i="75"/>
  <c r="F21" i="59"/>
  <c r="F27" i="59"/>
  <c r="E31" i="42"/>
  <c r="E32" i="45"/>
  <c r="E31" i="43"/>
  <c r="E26" i="45"/>
  <c r="E22" i="44"/>
  <c r="E25" i="42"/>
  <c r="E19" i="23"/>
  <c r="E30" i="23" s="1"/>
  <c r="F18" i="78" s="1"/>
  <c r="E38" i="45" l="1"/>
  <c r="F38" i="78" s="1"/>
  <c r="F55" i="59"/>
  <c r="F29" i="78" s="1"/>
  <c r="H30" i="23"/>
  <c r="D18" i="78" s="1"/>
  <c r="AH18" i="75" s="1"/>
  <c r="AQ33" i="75" s="1"/>
  <c r="E37" i="43"/>
  <c r="F37" i="78" s="1"/>
  <c r="E37" i="42"/>
  <c r="F36" i="78" s="1"/>
  <c r="AQ31" i="75" l="1"/>
  <c r="AQ32" i="75"/>
  <c r="AQ25" i="75"/>
  <c r="AQ27" i="75"/>
  <c r="AQ23" i="75"/>
  <c r="AQ24" i="75"/>
  <c r="AQ21" i="75"/>
  <c r="AQ22" i="75"/>
  <c r="AQ14" i="75"/>
  <c r="AQ15" i="75"/>
  <c r="AQ34" i="75"/>
  <c r="AV18" i="75"/>
  <c r="AT18" i="75"/>
  <c r="BE18" i="75"/>
  <c r="BF18" i="75"/>
  <c r="AQ11" i="75"/>
  <c r="BD18" i="75"/>
  <c r="AQ18" i="75"/>
  <c r="AJ18" i="75"/>
  <c r="AN18" i="75"/>
  <c r="AW18" i="75"/>
  <c r="AZ18" i="75"/>
  <c r="AM18" i="75"/>
  <c r="AX18" i="75"/>
  <c r="AK18" i="75"/>
  <c r="AU18" i="75"/>
  <c r="BG18" i="75"/>
  <c r="AQ12" i="75"/>
  <c r="H38" i="45"/>
  <c r="D38" i="78" s="1"/>
  <c r="H37" i="43"/>
  <c r="D37" i="78" s="1"/>
  <c r="H37" i="42"/>
  <c r="D36" i="78" s="1"/>
  <c r="I55" i="59"/>
  <c r="E18" i="64"/>
  <c r="E18" i="65"/>
  <c r="AH38" i="75" l="1"/>
  <c r="BK33" i="75" s="1"/>
  <c r="AH36" i="75"/>
  <c r="BI33" i="75" s="1"/>
  <c r="AH37" i="75"/>
  <c r="BJ33" i="75" s="1"/>
  <c r="D29" i="78"/>
  <c r="AH28" i="75" s="1"/>
  <c r="BA33" i="75" s="1"/>
  <c r="E24" i="64"/>
  <c r="F19" i="78" s="1"/>
  <c r="E24" i="65"/>
  <c r="F20" i="78" s="1"/>
  <c r="BI31" i="75" l="1"/>
  <c r="BI32" i="75"/>
  <c r="BA31" i="75"/>
  <c r="BA32" i="75"/>
  <c r="BJ31" i="75"/>
  <c r="BJ32" i="75"/>
  <c r="BK31" i="75"/>
  <c r="BK32" i="75"/>
  <c r="BI25" i="75"/>
  <c r="BI27" i="75"/>
  <c r="BA25" i="75"/>
  <c r="BA27" i="75"/>
  <c r="BJ25" i="75"/>
  <c r="BJ27" i="75"/>
  <c r="BK25" i="75"/>
  <c r="BK27" i="75"/>
  <c r="BI23" i="75"/>
  <c r="BI24" i="75"/>
  <c r="BA23" i="75"/>
  <c r="BA24" i="75"/>
  <c r="BJ23" i="75"/>
  <c r="BJ24" i="75"/>
  <c r="BK23" i="75"/>
  <c r="BK24" i="75"/>
  <c r="BJ21" i="75"/>
  <c r="BJ22" i="75"/>
  <c r="BA21" i="75"/>
  <c r="BA22" i="75"/>
  <c r="BI21" i="75"/>
  <c r="BI22" i="75"/>
  <c r="BK21" i="75"/>
  <c r="BK22" i="75"/>
  <c r="AV28" i="75"/>
  <c r="BA15" i="75"/>
  <c r="BA14" i="75"/>
  <c r="AV38" i="75"/>
  <c r="BK14" i="75"/>
  <c r="BK15" i="75"/>
  <c r="AV37" i="75"/>
  <c r="BJ15" i="75"/>
  <c r="BJ14" i="75"/>
  <c r="AV36" i="75"/>
  <c r="BI15" i="75"/>
  <c r="BI14" i="75"/>
  <c r="BI34" i="75"/>
  <c r="BI12" i="75"/>
  <c r="BJ34" i="75"/>
  <c r="BJ12" i="75"/>
  <c r="BK34" i="75"/>
  <c r="BK12" i="75"/>
  <c r="BA34" i="75"/>
  <c r="BA12" i="75"/>
  <c r="AU36" i="75"/>
  <c r="BG36" i="75"/>
  <c r="AT36" i="75"/>
  <c r="BF36" i="75"/>
  <c r="BE36" i="75"/>
  <c r="BD36" i="75"/>
  <c r="AQ36" i="75"/>
  <c r="BA36" i="75"/>
  <c r="AN36" i="75"/>
  <c r="AZ36" i="75"/>
  <c r="AM36" i="75"/>
  <c r="BI11" i="75"/>
  <c r="BK36" i="75"/>
  <c r="BJ36" i="75"/>
  <c r="AX36" i="75"/>
  <c r="AK36" i="75"/>
  <c r="BI36" i="75"/>
  <c r="AW36" i="75"/>
  <c r="AJ36" i="75"/>
  <c r="BI18" i="75"/>
  <c r="BD28" i="75"/>
  <c r="AQ28" i="75"/>
  <c r="BA28" i="75"/>
  <c r="AN28" i="75"/>
  <c r="AZ28" i="75"/>
  <c r="AM28" i="75"/>
  <c r="BK28" i="75"/>
  <c r="BJ28" i="75"/>
  <c r="AX28" i="75"/>
  <c r="AK28" i="75"/>
  <c r="BA11" i="75"/>
  <c r="BI28" i="75"/>
  <c r="AW28" i="75"/>
  <c r="AJ28" i="75"/>
  <c r="AU28" i="75"/>
  <c r="BG28" i="75"/>
  <c r="AT28" i="75"/>
  <c r="BF28" i="75"/>
  <c r="BE28" i="75"/>
  <c r="BA18" i="75"/>
  <c r="BD37" i="75"/>
  <c r="AQ37" i="75"/>
  <c r="BA37" i="75"/>
  <c r="AN37" i="75"/>
  <c r="AZ37" i="75"/>
  <c r="AM37" i="75"/>
  <c r="BK37" i="75"/>
  <c r="BJ37" i="75"/>
  <c r="AX37" i="75"/>
  <c r="AK37" i="75"/>
  <c r="BI37" i="75"/>
  <c r="AW37" i="75"/>
  <c r="AJ37" i="75"/>
  <c r="AU37" i="75"/>
  <c r="BG37" i="75"/>
  <c r="AT37" i="75"/>
  <c r="BJ11" i="75"/>
  <c r="BF37" i="75"/>
  <c r="BE37" i="75"/>
  <c r="BJ18" i="75"/>
  <c r="AZ38" i="75"/>
  <c r="AM38" i="75"/>
  <c r="BK38" i="75"/>
  <c r="BJ38" i="75"/>
  <c r="AX38" i="75"/>
  <c r="AK38" i="75"/>
  <c r="BI38" i="75"/>
  <c r="AW38" i="75"/>
  <c r="AJ38" i="75"/>
  <c r="AU38" i="75"/>
  <c r="BG38" i="75"/>
  <c r="AT38" i="75"/>
  <c r="BF38" i="75"/>
  <c r="BK11" i="75"/>
  <c r="BE38" i="75"/>
  <c r="BD38" i="75"/>
  <c r="AQ38" i="75"/>
  <c r="BA38" i="75"/>
  <c r="AN38" i="75"/>
  <c r="BK18" i="75"/>
  <c r="H24" i="65"/>
  <c r="D20" i="78" s="1"/>
  <c r="H24" i="64"/>
  <c r="D19" i="78" s="1"/>
  <c r="AH20" i="75" l="1"/>
  <c r="AH19" i="75"/>
  <c r="AR37" i="75" l="1"/>
  <c r="AR38" i="75"/>
  <c r="AS37" i="75"/>
  <c r="AS38" i="75"/>
  <c r="AR33" i="75"/>
  <c r="AR36" i="75"/>
  <c r="AS33" i="75"/>
  <c r="AS36" i="75"/>
  <c r="AR31" i="75"/>
  <c r="AR32" i="75"/>
  <c r="AS31" i="75"/>
  <c r="AS32" i="75"/>
  <c r="AR25" i="75"/>
  <c r="AR27" i="75"/>
  <c r="AS25" i="75"/>
  <c r="AS27" i="75"/>
  <c r="AR23" i="75"/>
  <c r="AR24" i="75"/>
  <c r="AS23" i="75"/>
  <c r="AS24" i="75"/>
  <c r="AR21" i="75"/>
  <c r="AR22" i="75"/>
  <c r="AS21" i="75"/>
  <c r="AS22" i="75"/>
  <c r="AR15" i="75"/>
  <c r="AR14" i="75"/>
  <c r="AS14" i="75"/>
  <c r="AS15" i="75"/>
  <c r="AS28" i="75"/>
  <c r="AV20" i="75"/>
  <c r="AR28" i="75"/>
  <c r="AV19" i="75"/>
  <c r="AR12" i="75"/>
  <c r="AR34" i="75"/>
  <c r="AS12" i="75"/>
  <c r="AS34" i="75"/>
  <c r="BK19" i="75"/>
  <c r="AT19" i="75"/>
  <c r="BJ19" i="75"/>
  <c r="AS19" i="75"/>
  <c r="AK19" i="75"/>
  <c r="AZ19" i="75"/>
  <c r="BG19" i="75"/>
  <c r="BI19" i="75"/>
  <c r="BA19" i="75"/>
  <c r="AR19" i="75"/>
  <c r="AJ19" i="75"/>
  <c r="AQ19" i="75"/>
  <c r="BF19" i="75"/>
  <c r="AX19" i="75"/>
  <c r="BE19" i="75"/>
  <c r="AW19" i="75"/>
  <c r="AN19" i="75"/>
  <c r="AU19" i="75"/>
  <c r="AM19" i="75"/>
  <c r="BD19" i="75"/>
  <c r="AR11" i="75"/>
  <c r="AR18" i="75"/>
  <c r="BG20" i="75"/>
  <c r="AM20" i="75"/>
  <c r="AT20" i="75"/>
  <c r="BF20" i="75"/>
  <c r="AX20" i="75"/>
  <c r="BD20" i="75"/>
  <c r="BK20" i="75"/>
  <c r="BE20" i="75"/>
  <c r="AW20" i="75"/>
  <c r="AN20" i="75"/>
  <c r="AU20" i="75"/>
  <c r="BJ20" i="75"/>
  <c r="AS20" i="75"/>
  <c r="AK20" i="75"/>
  <c r="BI20" i="75"/>
  <c r="BA20" i="75"/>
  <c r="AR20" i="75"/>
  <c r="AJ20" i="75"/>
  <c r="AZ20" i="75"/>
  <c r="AQ20" i="75"/>
  <c r="AS11" i="75"/>
  <c r="AS18" i="75"/>
  <c r="F26" i="14"/>
  <c r="F24" i="46" l="1"/>
  <c r="F34" i="46" s="1"/>
  <c r="F31" i="78" s="1"/>
  <c r="E26" i="50"/>
  <c r="F20" i="14"/>
  <c r="F55" i="14" l="1"/>
  <c r="F30" i="78" s="1"/>
  <c r="I34" i="46"/>
  <c r="D31" i="78" s="1"/>
  <c r="E34" i="50"/>
  <c r="F39" i="78" s="1"/>
  <c r="I55" i="14" l="1"/>
  <c r="D30" i="78" s="1"/>
  <c r="AH29" i="75" s="1"/>
  <c r="AH30" i="75"/>
  <c r="H34" i="50"/>
  <c r="D39" i="78" s="1"/>
  <c r="BC37" i="75" l="1"/>
  <c r="BC38" i="75"/>
  <c r="BB37" i="75"/>
  <c r="BB38" i="75"/>
  <c r="BC33" i="75"/>
  <c r="BC36" i="75"/>
  <c r="BB33" i="75"/>
  <c r="BB36" i="75"/>
  <c r="BC31" i="75"/>
  <c r="BC32" i="75"/>
  <c r="BB31" i="75"/>
  <c r="BB32" i="75"/>
  <c r="BC25" i="75"/>
  <c r="BC27" i="75"/>
  <c r="BB25" i="75"/>
  <c r="BB27" i="75"/>
  <c r="BC23" i="75"/>
  <c r="BC24" i="75"/>
  <c r="BB23" i="75"/>
  <c r="BB24" i="75"/>
  <c r="BC21" i="75"/>
  <c r="BC22" i="75"/>
  <c r="BB21" i="75"/>
  <c r="BB22" i="75"/>
  <c r="BC19" i="75"/>
  <c r="BC20" i="75"/>
  <c r="BB19" i="75"/>
  <c r="BB20" i="75"/>
  <c r="BC14" i="75"/>
  <c r="BC15" i="75"/>
  <c r="BB14" i="75"/>
  <c r="BB15" i="75"/>
  <c r="BC28" i="75"/>
  <c r="AV30" i="75"/>
  <c r="BB28" i="75"/>
  <c r="AV29" i="75"/>
  <c r="BC34" i="75"/>
  <c r="BC12" i="75"/>
  <c r="BB34" i="75"/>
  <c r="BB12" i="75"/>
  <c r="AU30" i="75"/>
  <c r="BG30" i="75"/>
  <c r="AT30" i="75"/>
  <c r="BF30" i="75"/>
  <c r="AS30" i="75"/>
  <c r="BE30" i="75"/>
  <c r="AR30" i="75"/>
  <c r="BD30" i="75"/>
  <c r="AQ30" i="75"/>
  <c r="BC30" i="75"/>
  <c r="BB30" i="75"/>
  <c r="BA30" i="75"/>
  <c r="AN30" i="75"/>
  <c r="BC11" i="75"/>
  <c r="AZ30" i="75"/>
  <c r="AM30" i="75"/>
  <c r="BK30" i="75"/>
  <c r="BJ30" i="75"/>
  <c r="AX30" i="75"/>
  <c r="AK30" i="75"/>
  <c r="BI30" i="75"/>
  <c r="AW30" i="75"/>
  <c r="AJ30" i="75"/>
  <c r="BC18" i="75"/>
  <c r="AZ29" i="75"/>
  <c r="AM29" i="75"/>
  <c r="BK29" i="75"/>
  <c r="BJ29" i="75"/>
  <c r="AX29" i="75"/>
  <c r="AK29" i="75"/>
  <c r="BI29" i="75"/>
  <c r="AW29" i="75"/>
  <c r="AJ29" i="75"/>
  <c r="AU29" i="75"/>
  <c r="BG29" i="75"/>
  <c r="AT29" i="75"/>
  <c r="BB11" i="75"/>
  <c r="BF29" i="75"/>
  <c r="AS29" i="75"/>
  <c r="BE29" i="75"/>
  <c r="AR29" i="75"/>
  <c r="BD29" i="75"/>
  <c r="AQ29" i="75"/>
  <c r="BC29" i="75"/>
  <c r="BB29" i="75"/>
  <c r="BA29" i="75"/>
  <c r="AN29" i="75"/>
  <c r="BB18" i="75"/>
  <c r="AH39" i="75"/>
  <c r="BL38" i="75" s="1"/>
  <c r="BL36" i="75" l="1"/>
  <c r="BL37" i="75"/>
  <c r="BL32" i="75"/>
  <c r="BL33" i="75"/>
  <c r="BL29" i="75"/>
  <c r="BL31" i="75"/>
  <c r="BL25" i="75"/>
  <c r="BL27" i="75"/>
  <c r="BL23" i="75"/>
  <c r="BL24" i="75"/>
  <c r="BL21" i="75"/>
  <c r="BL22" i="75"/>
  <c r="BL19" i="75"/>
  <c r="BL20" i="75"/>
  <c r="AV39" i="75"/>
  <c r="BL14" i="75"/>
  <c r="BL15" i="75"/>
  <c r="BL34" i="75"/>
  <c r="BL28" i="75"/>
  <c r="BL30" i="75"/>
  <c r="BL39" i="75"/>
  <c r="AZ39" i="75"/>
  <c r="BK39" i="75"/>
  <c r="AJ39" i="75"/>
  <c r="BJ39" i="75"/>
  <c r="AX39" i="75"/>
  <c r="BL11" i="75"/>
  <c r="BA39" i="75"/>
  <c r="BI39" i="75"/>
  <c r="AW39" i="75"/>
  <c r="AU39" i="75"/>
  <c r="BG39" i="75"/>
  <c r="AT39" i="75"/>
  <c r="AM39" i="75"/>
  <c r="BF39" i="75"/>
  <c r="AS39" i="75"/>
  <c r="BE39" i="75"/>
  <c r="AR39" i="75"/>
  <c r="BD39" i="75"/>
  <c r="AN39" i="75"/>
  <c r="BC39" i="75"/>
  <c r="BB39" i="75"/>
  <c r="BL12" i="75"/>
  <c r="AK39" i="75"/>
  <c r="BL18" i="75"/>
  <c r="AQ39" i="75"/>
  <c r="E15" i="16"/>
  <c r="E13" i="16"/>
  <c r="E16" i="16" l="1"/>
  <c r="E20" i="16"/>
  <c r="E22" i="16" l="1"/>
  <c r="E16" i="44" l="1"/>
  <c r="E30" i="44" s="1"/>
  <c r="F35" i="78" l="1"/>
  <c r="H30" i="44"/>
  <c r="D35" i="78" s="1"/>
  <c r="AH35" i="75" l="1"/>
  <c r="BH38" i="75" s="1"/>
  <c r="BH36" i="75" l="1"/>
  <c r="BH37" i="75"/>
  <c r="BH32" i="75"/>
  <c r="BH33" i="75"/>
  <c r="BH29" i="75"/>
  <c r="BH31" i="75"/>
  <c r="BH25" i="75"/>
  <c r="BH27" i="75"/>
  <c r="BH23" i="75"/>
  <c r="BH24" i="75"/>
  <c r="BH21" i="75"/>
  <c r="BH22" i="75"/>
  <c r="BH19" i="75"/>
  <c r="BH20" i="75"/>
  <c r="AV35" i="75"/>
  <c r="BH14" i="75"/>
  <c r="BH15" i="75"/>
  <c r="BH12" i="75"/>
  <c r="BH28" i="75"/>
  <c r="BH34" i="75"/>
  <c r="BH30" i="75"/>
  <c r="BH39" i="75"/>
  <c r="BL35" i="75"/>
  <c r="AZ35" i="75"/>
  <c r="AM35" i="75"/>
  <c r="BK35" i="75"/>
  <c r="BJ35" i="75"/>
  <c r="AX35" i="75"/>
  <c r="AK35" i="75"/>
  <c r="BI35" i="75"/>
  <c r="AW35" i="75"/>
  <c r="AJ35" i="75"/>
  <c r="BH35" i="75"/>
  <c r="AU35" i="75"/>
  <c r="BG35" i="75"/>
  <c r="AT35" i="75"/>
  <c r="BF35" i="75"/>
  <c r="AS35" i="75"/>
  <c r="BE35" i="75"/>
  <c r="AR35" i="75"/>
  <c r="BD35" i="75"/>
  <c r="AQ35" i="75"/>
  <c r="BC35" i="75"/>
  <c r="BB35" i="75"/>
  <c r="BA35" i="75"/>
  <c r="AN35" i="75"/>
  <c r="BH11" i="75"/>
  <c r="BH18" i="75"/>
  <c r="E17" i="24"/>
  <c r="F17" i="78" s="1"/>
  <c r="H17" i="24" l="1"/>
  <c r="D17" i="78" s="1"/>
  <c r="AH17" i="75" l="1"/>
  <c r="AP37" i="75" l="1"/>
  <c r="AP38" i="75"/>
  <c r="AP35" i="75"/>
  <c r="AP36" i="75"/>
  <c r="AP32" i="75"/>
  <c r="AP33" i="75"/>
  <c r="AP29" i="75"/>
  <c r="AP31" i="75"/>
  <c r="AP25" i="75"/>
  <c r="AP27" i="75"/>
  <c r="AP23" i="75"/>
  <c r="AP24" i="75"/>
  <c r="AP21" i="75"/>
  <c r="AP22" i="75"/>
  <c r="AP19" i="75"/>
  <c r="AP20" i="75"/>
  <c r="AP14" i="75"/>
  <c r="AP15" i="75"/>
  <c r="AP28" i="75"/>
  <c r="AV17" i="75"/>
  <c r="AP12" i="75"/>
  <c r="AP34" i="75"/>
  <c r="AP30" i="75"/>
  <c r="AP39" i="75"/>
  <c r="BG17" i="75"/>
  <c r="AP17" i="75"/>
  <c r="BL17" i="75"/>
  <c r="BF17" i="75"/>
  <c r="AX17" i="75"/>
  <c r="AU17" i="75"/>
  <c r="BE17" i="75"/>
  <c r="AW17" i="75"/>
  <c r="AN17" i="75"/>
  <c r="BD17" i="75"/>
  <c r="AM17" i="75"/>
  <c r="BJ17" i="75"/>
  <c r="BB17" i="75"/>
  <c r="AS17" i="75"/>
  <c r="AK17" i="75"/>
  <c r="BI17" i="75"/>
  <c r="BA17" i="75"/>
  <c r="AR17" i="75"/>
  <c r="AJ17" i="75"/>
  <c r="BC17" i="75"/>
  <c r="AQ17" i="75"/>
  <c r="BK17" i="75"/>
  <c r="BH17" i="75"/>
  <c r="AZ17" i="75"/>
  <c r="AT17" i="75"/>
  <c r="AP11" i="75"/>
  <c r="AP18" i="75"/>
  <c r="C19" i="26"/>
  <c r="E16" i="3" l="1"/>
  <c r="E22" i="3" s="1"/>
  <c r="F27" i="78" s="1"/>
  <c r="H22" i="3" l="1"/>
  <c r="D27" i="78" s="1"/>
  <c r="AH26" i="75" s="1"/>
  <c r="AY37" i="75" l="1"/>
  <c r="AY38" i="75"/>
  <c r="AY35" i="75"/>
  <c r="AY36" i="75"/>
  <c r="AY32" i="75"/>
  <c r="AY33" i="75"/>
  <c r="AY29" i="75"/>
  <c r="AY31" i="75"/>
  <c r="AY25" i="75"/>
  <c r="AY27" i="75"/>
  <c r="AY23" i="75"/>
  <c r="AY24" i="75"/>
  <c r="AY21" i="75"/>
  <c r="AY22" i="75"/>
  <c r="AY19" i="75"/>
  <c r="AY20" i="75"/>
  <c r="AY14" i="75"/>
  <c r="AY15" i="75"/>
  <c r="AY28" i="75"/>
  <c r="AV26" i="75"/>
  <c r="AY39" i="75"/>
  <c r="AY17" i="75"/>
  <c r="AY34" i="75"/>
  <c r="AY12" i="75"/>
  <c r="AY30" i="75"/>
  <c r="BL26" i="75"/>
  <c r="AZ26" i="75"/>
  <c r="AM26" i="75"/>
  <c r="BK26" i="75"/>
  <c r="AY26" i="75"/>
  <c r="BJ26" i="75"/>
  <c r="AX26" i="75"/>
  <c r="AK26" i="75"/>
  <c r="BI26" i="75"/>
  <c r="AW26" i="75"/>
  <c r="AJ26" i="75"/>
  <c r="BH26" i="75"/>
  <c r="AU26" i="75"/>
  <c r="BG26" i="75"/>
  <c r="AT26" i="75"/>
  <c r="AY11" i="75"/>
  <c r="BF26" i="75"/>
  <c r="AS26" i="75"/>
  <c r="BE26" i="75"/>
  <c r="AR26" i="75"/>
  <c r="BD26" i="75"/>
  <c r="AQ26" i="75"/>
  <c r="BC26" i="75"/>
  <c r="AP26" i="75"/>
  <c r="BB26" i="75"/>
  <c r="BA26" i="75"/>
  <c r="AN26" i="75"/>
  <c r="AY18" i="75"/>
  <c r="C16" i="40"/>
  <c r="H35" i="30" l="1"/>
  <c r="I17" i="26"/>
  <c r="D13" i="78" l="1"/>
  <c r="D16" i="78"/>
  <c r="AH16" i="75" l="1"/>
  <c r="AH13" i="75"/>
  <c r="AL38" i="75" s="1"/>
  <c r="AO37" i="75" l="1"/>
  <c r="AO38" i="75"/>
  <c r="BM38" i="75" s="1"/>
  <c r="H53" i="77" s="1"/>
  <c r="AL36" i="75"/>
  <c r="AL37" i="75"/>
  <c r="AO35" i="75"/>
  <c r="AO36" i="75"/>
  <c r="AL33" i="75"/>
  <c r="AL35" i="75"/>
  <c r="AO32" i="75"/>
  <c r="AO33" i="75"/>
  <c r="AL31" i="75"/>
  <c r="AL32" i="75"/>
  <c r="AO29" i="75"/>
  <c r="AO31" i="75"/>
  <c r="AL27" i="75"/>
  <c r="AL29" i="75"/>
  <c r="AO25" i="75"/>
  <c r="AO27" i="75"/>
  <c r="AL24" i="75"/>
  <c r="AL25" i="75"/>
  <c r="AO23" i="75"/>
  <c r="AO24" i="75"/>
  <c r="AL21" i="75"/>
  <c r="AL22" i="75"/>
  <c r="AO21" i="75"/>
  <c r="AO22" i="75"/>
  <c r="AL19" i="75"/>
  <c r="AL20" i="75"/>
  <c r="AO19" i="75"/>
  <c r="AO20" i="75"/>
  <c r="AL15" i="75"/>
  <c r="AL14" i="75"/>
  <c r="AO15" i="75"/>
  <c r="AO14" i="75"/>
  <c r="AO28" i="75"/>
  <c r="AV16" i="75"/>
  <c r="AV13" i="75"/>
  <c r="AL23" i="75"/>
  <c r="AL17" i="75"/>
  <c r="AL28" i="75"/>
  <c r="AO12" i="75"/>
  <c r="AO17" i="75"/>
  <c r="AL34" i="75"/>
  <c r="AL30" i="75"/>
  <c r="AL39" i="75"/>
  <c r="AL26" i="75"/>
  <c r="AO34" i="75"/>
  <c r="AO30" i="75"/>
  <c r="AO39" i="75"/>
  <c r="AO26" i="75"/>
  <c r="BH16" i="75"/>
  <c r="BG16" i="75"/>
  <c r="AT16" i="75"/>
  <c r="AS16" i="75"/>
  <c r="AQ16" i="75"/>
  <c r="BF16" i="75"/>
  <c r="BE16" i="75"/>
  <c r="AR16" i="75"/>
  <c r="BD16" i="75"/>
  <c r="BC16" i="75"/>
  <c r="AP16" i="75"/>
  <c r="BB16" i="75"/>
  <c r="AO16" i="75"/>
  <c r="AZ16" i="75"/>
  <c r="BA16" i="75"/>
  <c r="AN16" i="75"/>
  <c r="BL16" i="75"/>
  <c r="AM16" i="75"/>
  <c r="BK16" i="75"/>
  <c r="AY16" i="75"/>
  <c r="AL16" i="75"/>
  <c r="AO11" i="75"/>
  <c r="BJ16" i="75"/>
  <c r="AX16" i="75"/>
  <c r="AK16" i="75"/>
  <c r="BI16" i="75"/>
  <c r="AW16" i="75"/>
  <c r="AJ16" i="75"/>
  <c r="AU16" i="75"/>
  <c r="AO18" i="75"/>
  <c r="BG13" i="75"/>
  <c r="BF13" i="75"/>
  <c r="AS13" i="75"/>
  <c r="BE13" i="75"/>
  <c r="AR13" i="75"/>
  <c r="BD13" i="75"/>
  <c r="AQ13" i="75"/>
  <c r="AK13" i="75"/>
  <c r="BC13" i="75"/>
  <c r="AP13" i="75"/>
  <c r="AO13" i="75"/>
  <c r="AN13" i="75"/>
  <c r="BJ13" i="75"/>
  <c r="BB13" i="75"/>
  <c r="BA13" i="75"/>
  <c r="AL13" i="75"/>
  <c r="BL13" i="75"/>
  <c r="AZ13" i="75"/>
  <c r="AM13" i="75"/>
  <c r="AY13" i="75"/>
  <c r="BK13" i="75"/>
  <c r="AX13" i="75"/>
  <c r="BI13" i="75"/>
  <c r="AW13" i="75"/>
  <c r="AJ13" i="75"/>
  <c r="AL11" i="75"/>
  <c r="BH13" i="75"/>
  <c r="AU13" i="75"/>
  <c r="AT13" i="75"/>
  <c r="AL12" i="75"/>
  <c r="AL18" i="75"/>
  <c r="BM37" i="75" l="1"/>
  <c r="H52" i="77" s="1"/>
  <c r="J52" i="77" s="1"/>
  <c r="BM36" i="75"/>
  <c r="H51" i="77" s="1"/>
  <c r="J51" i="77" s="1"/>
  <c r="BM35" i="75"/>
  <c r="H50" i="77" s="1"/>
  <c r="J50" i="77" s="1"/>
  <c r="BM33" i="75"/>
  <c r="H49" i="77" s="1"/>
  <c r="J49" i="77" s="1"/>
  <c r="BM32" i="75"/>
  <c r="H48" i="77" s="1"/>
  <c r="J48" i="77" s="1"/>
  <c r="BM31" i="75"/>
  <c r="H47" i="77" s="1"/>
  <c r="J47" i="77" s="1"/>
  <c r="BM29" i="75"/>
  <c r="H45" i="77" s="1"/>
  <c r="J45" i="77" s="1"/>
  <c r="BM27" i="75"/>
  <c r="H43" i="77" s="1"/>
  <c r="J43" i="77" s="1"/>
  <c r="BM25" i="75"/>
  <c r="H40" i="77" s="1"/>
  <c r="J40" i="77" s="1"/>
  <c r="BM24" i="75"/>
  <c r="H39" i="77" s="1"/>
  <c r="J39" i="77" s="1"/>
  <c r="BM23" i="75"/>
  <c r="H38" i="77" s="1"/>
  <c r="J38" i="77" s="1"/>
  <c r="BM21" i="75"/>
  <c r="H36" i="77" s="1"/>
  <c r="J36" i="77" s="1"/>
  <c r="BM22" i="75"/>
  <c r="H37" i="77" s="1"/>
  <c r="J37" i="77" s="1"/>
  <c r="BM20" i="75"/>
  <c r="H35" i="77" s="1"/>
  <c r="J35" i="77" s="1"/>
  <c r="BM19" i="75"/>
  <c r="H34" i="77" s="1"/>
  <c r="J34" i="77" s="1"/>
  <c r="BM15" i="75"/>
  <c r="H30" i="77" s="1"/>
  <c r="J30" i="77" s="1"/>
  <c r="BM14" i="75"/>
  <c r="H29" i="77" s="1"/>
  <c r="J29" i="77" s="1"/>
  <c r="BM17" i="75"/>
  <c r="H32" i="77" s="1"/>
  <c r="J32" i="77" s="1"/>
  <c r="BM12" i="75"/>
  <c r="H27" i="77" s="1"/>
  <c r="J27" i="77" s="1"/>
  <c r="BM39" i="75"/>
  <c r="H54" i="77" s="1"/>
  <c r="J54" i="77" s="1"/>
  <c r="BM28" i="75"/>
  <c r="H44" i="77" s="1"/>
  <c r="J44" i="77" s="1"/>
  <c r="BM26" i="75"/>
  <c r="H42" i="77" s="1"/>
  <c r="J42" i="77" s="1"/>
  <c r="BM30" i="75"/>
  <c r="H46" i="77" s="1"/>
  <c r="J46" i="77" s="1"/>
  <c r="BM34" i="75"/>
  <c r="H41" i="77" s="1"/>
  <c r="J41" i="77" s="1"/>
  <c r="BM18" i="75"/>
  <c r="BM16" i="75"/>
  <c r="BM11" i="75"/>
  <c r="BM13" i="75"/>
  <c r="J53" i="77"/>
  <c r="E38" i="78"/>
  <c r="G38" i="78" s="1"/>
  <c r="I38" i="78" s="1"/>
  <c r="BO38" i="75"/>
  <c r="BO37" i="75" l="1"/>
  <c r="E37" i="78"/>
  <c r="G37" i="78" s="1"/>
  <c r="I37" i="78" s="1"/>
  <c r="BO36" i="75"/>
  <c r="E36" i="78"/>
  <c r="G36" i="78" s="1"/>
  <c r="I36" i="78" s="1"/>
  <c r="BO35" i="75"/>
  <c r="E35" i="78"/>
  <c r="G35" i="78" s="1"/>
  <c r="I35" i="78" s="1"/>
  <c r="BO33" i="75"/>
  <c r="E34" i="78"/>
  <c r="G34" i="78" s="1"/>
  <c r="I34" i="78" s="1"/>
  <c r="BO32" i="75"/>
  <c r="E33" i="78"/>
  <c r="G33" i="78" s="1"/>
  <c r="I33" i="78" s="1"/>
  <c r="E32" i="78"/>
  <c r="G32" i="78" s="1"/>
  <c r="I32" i="78" s="1"/>
  <c r="BO31" i="75"/>
  <c r="BO29" i="75"/>
  <c r="E30" i="78"/>
  <c r="G30" i="78" s="1"/>
  <c r="L30" i="78" s="1"/>
  <c r="L8" i="78" s="1"/>
  <c r="H62" i="77" s="1"/>
  <c r="BO27" i="75"/>
  <c r="E28" i="78"/>
  <c r="G28" i="78" s="1"/>
  <c r="I28" i="78" s="1"/>
  <c r="E25" i="78"/>
  <c r="G25" i="78" s="1"/>
  <c r="K25" i="78" s="1"/>
  <c r="BO25" i="75"/>
  <c r="BO24" i="75"/>
  <c r="E24" i="78"/>
  <c r="G24" i="78" s="1"/>
  <c r="J24" i="78" s="1"/>
  <c r="E23" i="78"/>
  <c r="G23" i="78" s="1"/>
  <c r="K23" i="78" s="1"/>
  <c r="BO23" i="75"/>
  <c r="E21" i="78"/>
  <c r="G21" i="78" s="1"/>
  <c r="I21" i="78" s="1"/>
  <c r="BO21" i="75"/>
  <c r="BO22" i="75"/>
  <c r="E22" i="78"/>
  <c r="G22" i="78" s="1"/>
  <c r="J22" i="78" s="1"/>
  <c r="E20" i="78"/>
  <c r="G20" i="78" s="1"/>
  <c r="J20" i="78" s="1"/>
  <c r="BO20" i="75"/>
  <c r="BO19" i="75"/>
  <c r="E19" i="78"/>
  <c r="G19" i="78" s="1"/>
  <c r="K19" i="78" s="1"/>
  <c r="BO39" i="75"/>
  <c r="E17" i="78"/>
  <c r="G17" i="78" s="1"/>
  <c r="J17" i="78" s="1"/>
  <c r="E39" i="78"/>
  <c r="G39" i="78" s="1"/>
  <c r="I39" i="78" s="1"/>
  <c r="BO17" i="75"/>
  <c r="BO14" i="75"/>
  <c r="E14" i="78"/>
  <c r="G14" i="78" s="1"/>
  <c r="J14" i="78" s="1"/>
  <c r="BO12" i="75"/>
  <c r="E15" i="78"/>
  <c r="G15" i="78" s="1"/>
  <c r="K15" i="78" s="1"/>
  <c r="BO15" i="75"/>
  <c r="BO30" i="75"/>
  <c r="E12" i="78"/>
  <c r="G12" i="78" s="1"/>
  <c r="J12" i="78" s="1"/>
  <c r="E31" i="78"/>
  <c r="G31" i="78" s="1"/>
  <c r="I31" i="78" s="1"/>
  <c r="BO28" i="75"/>
  <c r="BO34" i="75"/>
  <c r="E29" i="78"/>
  <c r="G29" i="78" s="1"/>
  <c r="I29" i="78" s="1"/>
  <c r="E26" i="78"/>
  <c r="G26" i="78" s="1"/>
  <c r="K26" i="78" s="1"/>
  <c r="E27" i="78"/>
  <c r="G27" i="78" s="1"/>
  <c r="I27" i="78" s="1"/>
  <c r="BO26" i="75"/>
  <c r="K22" i="78"/>
  <c r="H28" i="77"/>
  <c r="J28" i="77" s="1"/>
  <c r="E11" i="78"/>
  <c r="G11" i="78" s="1"/>
  <c r="J11" i="78" s="1"/>
  <c r="H26" i="77"/>
  <c r="J26" i="77" s="1"/>
  <c r="E16" i="78"/>
  <c r="G16" i="78" s="1"/>
  <c r="J16" i="78" s="1"/>
  <c r="H31" i="77"/>
  <c r="J31" i="77" s="1"/>
  <c r="E18" i="78"/>
  <c r="G18" i="78" s="1"/>
  <c r="K18" i="78" s="1"/>
  <c r="H33" i="77"/>
  <c r="J33" i="77" s="1"/>
  <c r="BO18" i="75"/>
  <c r="BO16" i="75"/>
  <c r="BO13" i="75"/>
  <c r="E13" i="78"/>
  <c r="G13" i="78" s="1"/>
  <c r="J13" i="78" s="1"/>
  <c r="BO11" i="75"/>
  <c r="I8" i="78" l="1"/>
  <c r="H60" i="77" s="1"/>
  <c r="K8" i="78"/>
  <c r="H58" i="77" s="1"/>
  <c r="H20" i="77"/>
  <c r="J8" i="78"/>
  <c r="H56" i="77" s="1"/>
  <c r="BO9" i="75"/>
  <c r="B10" i="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6" authorId="0" shapeId="0" xr:uid="{00000000-0006-0000-0000-000001000000}">
      <text>
        <r>
          <rPr>
            <sz val="9"/>
            <color indexed="81"/>
            <rFont val="Tahoma"/>
            <family val="2"/>
          </rPr>
          <t>sample help text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7" authorId="0" shapeId="0" xr:uid="{00000000-0006-0000-0800-000001000000}">
      <text>
        <r>
          <rPr>
            <sz val="9"/>
            <color indexed="81"/>
            <rFont val="Tahoma"/>
            <family val="2"/>
          </rPr>
          <t>The user may override the above default vanpool participation rate in this cell. Leave blank otherwise.</t>
        </r>
      </text>
    </comment>
    <comment ref="G23" authorId="0" shapeId="0" xr:uid="{00000000-0006-0000-0800-000002000000}">
      <text>
        <r>
          <rPr>
            <sz val="9"/>
            <color indexed="81"/>
            <rFont val="Tahoma"/>
            <family val="2"/>
          </rPr>
          <t>The user may override the above average auto commute trip length in this cell. Leave blank otherwise.</t>
        </r>
      </text>
    </comment>
    <comment ref="G29" authorId="0" shapeId="0" xr:uid="{00000000-0006-0000-0800-000003000000}">
      <text>
        <r>
          <rPr>
            <sz val="9"/>
            <color indexed="81"/>
            <rFont val="Tahoma"/>
            <family val="2"/>
          </rPr>
          <t>The user may override the above default long (vanpool) commute trip length in this cell. Leave blank otherwise.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A00-000001000000}">
      <text>
        <r>
          <rPr>
            <sz val="9"/>
            <color indexed="81"/>
            <rFont val="Tahoma"/>
            <family val="2"/>
          </rPr>
          <t>Transit service must provide frequent and reliable service, connecting to regional destinations.</t>
        </r>
      </text>
    </comment>
    <comment ref="G17" authorId="0" shapeId="0" xr:uid="{00000000-0006-0000-0A00-000002000000}">
      <text>
        <r>
          <rPr>
            <sz val="9"/>
            <color indexed="81"/>
            <rFont val="Tahoma"/>
            <family val="2"/>
          </rPr>
          <t>The user may override the above default community transit mode share in this cell. Leave blank otherwise.</t>
        </r>
      </text>
    </comment>
    <comment ref="G26" authorId="0" shapeId="0" xr:uid="{7CCE14B9-4E1F-4049-8A66-1C8ED2E66277}">
      <text>
        <r>
          <rPr>
            <sz val="9"/>
            <color indexed="81"/>
            <rFont val="Tahoma"/>
            <family val="2"/>
          </rPr>
          <t>The user may override the above default community auto mode share in this cell. Leave blank otherwise.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4D072435-51B8-4E41-B5D8-A090D85B5D3F}">
      <text>
        <r>
          <rPr>
            <sz val="9"/>
            <color indexed="81"/>
            <rFont val="Tahoma"/>
            <family val="2"/>
          </rPr>
          <t>The user may override the above residential density of typical development in this cell. Leave blank otherwise.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8269A268-FB22-4943-8B2A-7C35F3147AC0}">
      <text>
        <r>
          <rPr>
            <sz val="9"/>
            <color indexed="81"/>
            <rFont val="Tahoma"/>
            <family val="2"/>
          </rPr>
          <t>The user may override the above default job density of typical development in this cell. Leave blank otherwise.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38B5FEA7-2FBF-47CF-8698-BA8FC05D4874}">
      <text>
        <r>
          <rPr>
            <sz val="9"/>
            <color indexed="81"/>
            <rFont val="Tahoma"/>
            <family val="2"/>
          </rPr>
          <t>The user may override the above default annual vehicle cost. Leave blank otherwise.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Drew Levitt</author>
  </authors>
  <commentList>
    <comment ref="G10" authorId="0" shapeId="0" xr:uid="{F69C42F0-D450-4580-8F36-5CFAE174963B}">
      <text>
        <r>
          <rPr>
            <sz val="9"/>
            <color indexed="81"/>
            <rFont val="Tahoma"/>
            <family val="2"/>
          </rPr>
          <t>See FAQs page, Question #15 for explanation of "% of employees eligible".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5" authorId="0" shapeId="0" xr:uid="{4369990B-47D3-4F75-8A40-D546AA551C47}">
      <text>
        <r>
          <rPr>
            <sz val="9"/>
            <color indexed="81"/>
            <rFont val="Tahoma"/>
            <family val="2"/>
          </rPr>
          <t>The user may override the above average bicycle trip length in this cell. Leave blank otherwise.</t>
        </r>
      </text>
    </comment>
    <comment ref="H21" authorId="0" shapeId="0" xr:uid="{4CDB4145-AA0F-4A42-9FA9-E01B32444641}">
      <text>
        <r>
          <rPr>
            <sz val="9"/>
            <color indexed="81"/>
            <rFont val="Tahoma"/>
            <family val="2"/>
          </rPr>
          <t>The user may override the above average auto trip length in this cell. Leave blank otherwise.</t>
        </r>
      </text>
    </comment>
    <comment ref="H27" authorId="0" shapeId="0" xr:uid="{B05B133D-654F-4444-8D89-D903D236334F}">
      <text>
        <r>
          <rPr>
            <sz val="9"/>
            <color indexed="81"/>
            <rFont val="Tahoma"/>
            <family val="2"/>
          </rPr>
          <t>The user may override the above average bicycle trip length in this cell. Leave blank otherwise.</t>
        </r>
      </text>
    </comment>
    <comment ref="H33" authorId="0" shapeId="0" xr:uid="{81CE43BE-6B20-41B0-A5DF-3F73197CE11B}">
      <text>
        <r>
          <rPr>
            <sz val="9"/>
            <color indexed="81"/>
            <rFont val="Tahoma"/>
            <family val="2"/>
          </rPr>
          <t>The user may override the above average auto trip length in this cell. Leave blank otherwise.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4" authorId="0" shapeId="0" xr:uid="{00000000-0006-0000-0E00-000001000000}">
      <text>
        <r>
          <rPr>
            <sz val="9"/>
            <color indexed="81"/>
            <rFont val="Tahoma"/>
            <family val="2"/>
          </rPr>
          <t>The user may override the above default existing intersection density in this cell. Leave blank otherwise.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F00-000001000000}">
      <text>
        <r>
          <rPr>
            <sz val="9"/>
            <color indexed="81"/>
            <rFont val="Tahoma"/>
            <family val="2"/>
          </rPr>
          <t>Measure the sidewalk on both sides of the street. For example, if one 0.5-mile long street has full sidewalk coverage, the sidewalk length would be 1.0 mile. If there is only sidewalk on one side of the street, the sidewalk length would be 0.5 mile.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9" authorId="0" shapeId="0" xr:uid="{00000000-0006-0000-1000-000001000000}">
      <text>
        <r>
          <rPr>
            <sz val="9"/>
            <color indexed="81"/>
            <rFont val="Tahoma"/>
            <family val="2"/>
          </rPr>
          <t>The user may override the above default community bicycle mode share in this cell. Leave blank otherwise.</t>
        </r>
      </text>
    </comment>
    <comment ref="H25" authorId="0" shapeId="0" xr:uid="{00000000-0006-0000-1000-000002000000}">
      <text>
        <r>
          <rPr>
            <sz val="9"/>
            <color indexed="81"/>
            <rFont val="Tahoma"/>
            <family val="2"/>
          </rPr>
          <t>The user may override the above default community SOV mode share in this cell. Leave blank otherwise.</t>
        </r>
      </text>
    </comment>
    <comment ref="H29" authorId="0" shapeId="0" xr:uid="{BDE5AA46-E319-4CAF-AC0C-F1EB03969589}">
      <text>
        <r>
          <rPr>
            <sz val="9"/>
            <color indexed="81"/>
            <rFont val="Tahoma"/>
            <family val="2"/>
          </rPr>
          <t>See the link at right (Table 1 on page 5) for information on bicycle facility types.</t>
        </r>
      </text>
    </comment>
    <comment ref="H34" authorId="0" shapeId="0" xr:uid="{00000000-0006-0000-1000-000003000000}">
      <text>
        <r>
          <rPr>
            <sz val="9"/>
            <color indexed="81"/>
            <rFont val="Tahoma"/>
            <family val="2"/>
          </rPr>
          <t>Calculated as centerline miles of roadways containing bikeways. For smaller analysis contexts, it may be easiest to show "bicycling" on Google Maps and measure the lengths of roadways containing bikeways. For larger contexts, contact the local jurisdiction's transportation planning staff, or contact Alameda County Public Works for projects in unincorporated areas.</t>
        </r>
      </text>
    </comment>
    <comment ref="H36" authorId="0" shapeId="0" xr:uid="{00000000-0006-0000-1000-000004000000}">
      <text>
        <r>
          <rPr>
            <sz val="9"/>
            <color indexed="81"/>
            <rFont val="Tahoma"/>
            <family val="2"/>
          </rPr>
          <t>Calculated as centerline miles of roadways containing bikeways.</t>
        </r>
      </text>
    </comment>
    <comment ref="H42" authorId="0" shapeId="0" xr:uid="{00000000-0006-0000-1000-000005000000}">
      <text>
        <r>
          <rPr>
            <sz val="9"/>
            <color indexed="81"/>
            <rFont val="Tahoma"/>
            <family val="2"/>
          </rPr>
          <t>The user may override the above average bicycle trip length in this cell. Leave blank otherwise.</t>
        </r>
      </text>
    </comment>
    <comment ref="H48" authorId="0" shapeId="0" xr:uid="{00000000-0006-0000-1000-000006000000}">
      <text>
        <r>
          <rPr>
            <sz val="9"/>
            <color indexed="81"/>
            <rFont val="Tahoma"/>
            <family val="2"/>
          </rPr>
          <t>The user may override the above average auto trip length in this cell. Leave blank otherwise.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tc={D501B285-010E-4E10-9EE1-583CD1B1D438}</author>
    <author>tc={3E5BA277-BDA4-4D23-A305-2A636B30020A}</author>
    <author>tc={C2B4D42E-4C58-4B7A-B3DF-35FEA65A85C3}</author>
    <author>tc={20FBA55F-3E26-4B2D-9BE6-5E7AB7C1D057}</author>
    <author>tc={3144BBB6-AC38-461D-85E7-7F668521B641}</author>
  </authors>
  <commentList>
    <comment ref="AG17" authorId="0" shapeId="0" xr:uid="{D501B285-010E-4E10-9EE1-583CD1B1D43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 SANDAG with sources for AC values.</t>
        </r>
      </text>
    </comment>
    <comment ref="AU31" authorId="1" shapeId="0" xr:uid="{3E5BA277-BDA4-4D23-A305-2A636B3002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from ADT, facility length, jurisdiction pop, and university</t>
        </r>
      </text>
    </comment>
    <comment ref="AV31" authorId="2" shapeId="0" xr:uid="{C2B4D42E-4C58-4B7A-B3DF-35FEA65A85C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Key destinations within 1/2 and 1/4 mile of facility</t>
        </r>
      </text>
    </comment>
    <comment ref="AW31" authorId="3" shapeId="0" xr:uid="{20FBA55F-3E26-4B2D-9BE6-5E7AB7C1D05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Input: bike facility type</t>
        </r>
      </text>
    </comment>
    <comment ref="D36" authorId="4" shapeId="0" xr:uid="{3144BBB6-AC38-461D-85E7-7F668521B64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T-9 has bike parking but other amenities as well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8" authorId="0" shapeId="0" xr:uid="{00000000-0006-0000-1100-000001000000}">
      <text>
        <r>
          <rPr>
            <sz val="9"/>
            <color indexed="81"/>
            <rFont val="Tahoma"/>
            <family val="2"/>
          </rPr>
          <t>The user may override the above average bicycle trip length in this cell. Leave blank otherwise.</t>
        </r>
      </text>
    </comment>
    <comment ref="H24" authorId="0" shapeId="0" xr:uid="{00000000-0006-0000-1100-000002000000}">
      <text>
        <r>
          <rPr>
            <sz val="9"/>
            <color indexed="81"/>
            <rFont val="Tahoma"/>
            <family val="2"/>
          </rPr>
          <t>The user may override the above average auto trip length in this cell. Leave blank otherwise.</t>
        </r>
      </text>
    </comment>
    <comment ref="H30" authorId="0" shapeId="0" xr:uid="{3BAE5CB2-EAAD-4423-AAF7-035036125A48}">
      <text>
        <r>
          <rPr>
            <sz val="9"/>
            <color indexed="81"/>
            <rFont val="Tahoma"/>
            <family val="2"/>
          </rPr>
          <t>Roadways with AADT greater than 30,000 are not appropriate for bicycle facilities.</t>
        </r>
      </text>
    </comment>
    <comment ref="H38" authorId="0" shapeId="0" xr:uid="{A0C5D51F-FDDD-4D37-A446-873B7279E208}">
      <text>
        <r>
          <rPr>
            <sz val="9"/>
            <color indexed="81"/>
            <rFont val="Tahoma"/>
            <family val="2"/>
          </rPr>
          <t>Key destinations include banks, churches, hospitals, light rail stations (park &amp; ride), office parks, post offices, public libraries, shopping areas or grocery stores, and universities or junior colleges, source (1).</t>
        </r>
      </text>
    </comment>
    <comment ref="H40" authorId="0" shapeId="0" xr:uid="{2AD3528A-7F99-482F-A6A8-688A171C5671}">
      <text>
        <r>
          <rPr>
            <sz val="9"/>
            <color indexed="81"/>
            <rFont val="Tahoma"/>
            <family val="2"/>
          </rPr>
          <t>Key destinations include banks, churches, hospitals, light rail stations (park &amp; ride), office parks, post offices, public libraries, shopping areas or grocery stores, and universities or junior colleges, source (1).</t>
        </r>
      </text>
    </comment>
    <comment ref="H42" authorId="0" shapeId="0" xr:uid="{E90C57DA-8BB7-42B0-81BE-26692BECA3A2}">
      <text>
        <r>
          <rPr>
            <sz val="9"/>
            <color indexed="81"/>
            <rFont val="Tahoma"/>
            <family val="2"/>
          </rPr>
          <t>See the link at right (Table 1 on page 5) for information on bicycle facility types.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2" authorId="0" shapeId="0" xr:uid="{00000000-0006-0000-1200-000001000000}">
      <text>
        <r>
          <rPr>
            <sz val="9"/>
            <color indexed="81"/>
            <rFont val="Tahoma"/>
            <family val="2"/>
          </rPr>
          <t>The user may override the above average auto trip length in this cell. Leave blank otherwise.</t>
        </r>
      </text>
    </comment>
    <comment ref="H28" authorId="0" shapeId="0" xr:uid="{D10A5759-9DE7-4328-8C9B-0287FE0287E9}">
      <text>
        <r>
          <rPr>
            <sz val="9"/>
            <color indexed="81"/>
            <rFont val="Tahoma"/>
            <family val="2"/>
          </rPr>
          <t>The user may override the above average bicycle trip length in this cell. Leave blank otherwise.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3" authorId="0" shapeId="0" xr:uid="{00000000-0006-0000-1300-000002000000}">
      <text>
        <r>
          <rPr>
            <sz val="9"/>
            <color indexed="81"/>
            <rFont val="Tahoma"/>
            <family val="2"/>
          </rPr>
          <t>Car share access defined as at least 1 car share pod within 1/2 mile of residence.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Drew Levitt</author>
    <author>Author</author>
  </authors>
  <commentList>
    <comment ref="G16" authorId="0" shapeId="0" xr:uid="{A3FBC8FF-492C-473C-8B4D-D562024F26CE}">
      <text>
        <r>
          <rPr>
            <sz val="9"/>
            <color indexed="81"/>
            <rFont val="Tahoma"/>
            <family val="2"/>
          </rPr>
          <t>Capped at a doubling in size, or 100% increase.</t>
        </r>
      </text>
    </comment>
    <comment ref="G20" authorId="1" shapeId="0" xr:uid="{00000000-0006-0000-1500-000001000000}">
      <text>
        <r>
          <rPr>
            <sz val="9"/>
            <color indexed="81"/>
            <rFont val="Tahoma"/>
            <family val="2"/>
          </rPr>
          <t>The user may override the above default existing transit mode share in this cell. Leave blank otherwise.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Drew Levitt</author>
  </authors>
  <commentList>
    <comment ref="G13" authorId="0" shapeId="0" xr:uid="{00000000-0006-0000-1600-000001000000}">
      <text>
        <r>
          <rPr>
            <sz val="9"/>
            <color indexed="81"/>
            <rFont val="Tahoma"/>
            <family val="2"/>
          </rPr>
          <t>Headway is the amount of time that elapses between two buses servicing a given ine. Headway is the inverse of frequency (headway = 1/frequency), where frequency is the number of arrivals over a given time period (e.g., buses per hour).</t>
        </r>
      </text>
    </comment>
    <comment ref="G19" authorId="1" shapeId="0" xr:uid="{B45511C0-2FD4-4F4A-AB13-BABD1BBE4287}">
      <text>
        <r>
          <rPr>
            <sz val="9"/>
            <color indexed="81"/>
            <rFont val="Tahoma"/>
            <family val="2"/>
          </rPr>
          <t>The level of implementation refers to the number of transit routes receiving the frequency improvement as a fraction of the total transit routes in the neighborhood/city.</t>
        </r>
      </text>
    </comment>
    <comment ref="G23" authorId="0" shapeId="0" xr:uid="{00000000-0006-0000-1600-000002000000}">
      <text>
        <r>
          <rPr>
            <sz val="9"/>
            <color indexed="81"/>
            <rFont val="Tahoma"/>
            <family val="2"/>
          </rPr>
          <t>The user may override the above default existing transit mode share in this cell. Leave blank otherwise.</t>
        </r>
      </text>
    </comment>
    <comment ref="G29" authorId="0" shapeId="0" xr:uid="{00000000-0006-0000-1600-000003000000}">
      <text>
        <r>
          <rPr>
            <sz val="9"/>
            <color indexed="81"/>
            <rFont val="Tahoma"/>
            <family val="2"/>
          </rPr>
          <t>The user may override the above default SOV mode share in this cell. Leave blank otherwise.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1700-000001000000}">
      <text>
        <r>
          <rPr>
            <sz val="9"/>
            <color indexed="81"/>
            <rFont val="Tahoma"/>
            <family val="2"/>
          </rPr>
          <t>The user may override the above % change in transit travel time due to treatments in this cell. Leave blank otherwise. If the user enters a positive value, the default will be used.</t>
        </r>
      </text>
    </comment>
    <comment ref="G23" authorId="0" shapeId="0" xr:uid="{00000000-0006-0000-1700-000002000000}">
      <text>
        <r>
          <rPr>
            <sz val="9"/>
            <color indexed="81"/>
            <rFont val="Tahoma"/>
            <family val="2"/>
          </rPr>
          <t>The user may override the above default existing transit mode share in this cell. Leave blank otherwise.</t>
        </r>
      </text>
    </comment>
    <comment ref="G29" authorId="0" shapeId="0" xr:uid="{00000000-0006-0000-1700-000003000000}">
      <text>
        <r>
          <rPr>
            <sz val="9"/>
            <color indexed="81"/>
            <rFont val="Tahoma"/>
            <family val="2"/>
          </rPr>
          <t>The user may override the above default SOV mode share in this cell. Leave blank otherwise.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4" authorId="0" shapeId="0" xr:uid="{00000000-0006-0000-1800-000001000000}">
      <text>
        <r>
          <rPr>
            <sz val="9"/>
            <color indexed="81"/>
            <rFont val="Tahoma"/>
            <family val="2"/>
          </rPr>
          <t>The user may override the above default existing transit mode share in this cell. Leave blank otherwise.</t>
        </r>
      </text>
    </comment>
    <comment ref="G30" authorId="0" shapeId="0" xr:uid="{00000000-0006-0000-1800-000002000000}">
      <text>
        <r>
          <rPr>
            <sz val="9"/>
            <color indexed="81"/>
            <rFont val="Tahoma"/>
            <family val="2"/>
          </rPr>
          <t>The user may override the above default SOV mode share in this cell. Leave blank otherwise.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8" authorId="0" shapeId="0" xr:uid="{00000000-0006-0000-1900-000001000000}">
      <text>
        <r>
          <rPr>
            <sz val="9"/>
            <color indexed="81"/>
            <rFont val="Tahoma"/>
            <family val="2"/>
          </rPr>
          <t>The user may override the above average microtransit trip length in this cell. Leave blank otherwise.</t>
        </r>
      </text>
    </comment>
    <comment ref="G24" authorId="0" shapeId="0" xr:uid="{00000000-0006-0000-1900-000002000000}">
      <text>
        <r>
          <rPr>
            <sz val="9"/>
            <color indexed="81"/>
            <rFont val="Tahoma"/>
            <family val="2"/>
          </rPr>
          <t>The user may override the above average auto trip length in this cell. Leave blank otherwise.</t>
        </r>
      </text>
    </comment>
    <comment ref="G30" authorId="0" shapeId="0" xr:uid="{00000000-0006-0000-1900-000003000000}">
      <text>
        <r>
          <rPr>
            <sz val="9"/>
            <color indexed="81"/>
            <rFont val="Tahoma"/>
            <family val="2"/>
          </rPr>
          <t>The user may override the above default SOV mode share in this cell. Leave blank otherwise.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tc={D8B57686-9E12-4197-A7BB-34FB674D270C}</author>
    <author>tc={855E9636-3B0D-4247-A2D7-A81653F6B9AC}</author>
    <author>tc={393489B5-6983-4ED0-B031-A51A2327DA3C}</author>
    <author>tc={2857E843-5EEB-4050-BACE-A79946F11AD9}</author>
    <author>tc={5640B8F9-F236-4B1C-B14B-CE33FA5B11C1}</author>
    <author>tc={472BDB42-6B34-4178-967B-88F28549DEEE}</author>
    <author>tc={8D521F65-0F57-43F5-AC48-239B16B498C3}</author>
    <author>tc={73434A22-77AB-4A99-92CF-F6B24A3D7B7D}</author>
    <author>tc={1DE9E66B-4347-4A0B-BB16-6D35894C6099}</author>
    <author>tc={0876D30D-DB84-46C5-918F-7DF442D0F257}</author>
    <author>tc={EE4F296D-1BD4-469A-A7CC-516B110DB310}</author>
    <author>tc={69B29FB3-B4E2-40EE-955A-D237D1117396}</author>
    <author>tc={AB3761C1-01D9-4079-B0DA-EC979C0DF5F9}</author>
    <author>tc={70E551F4-AB91-4DFB-91F7-5D2106EBF70B}</author>
    <author>tc={596EEB1A-960C-410E-AB55-5FB9E1AA09D7}</author>
    <author>tc={5E260CEE-232B-4C2A-9A1F-3A2BAE8980B4}</author>
  </authors>
  <commentList>
    <comment ref="P1" authorId="0" shapeId="0" xr:uid="{D8B57686-9E12-4197-A7BB-34FB674D270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COMPLETELY WRONG: I still need to extract auto commute trip length. Right now this is just copying overall average auto trip length.
Reply:
    I've replaced this with actual auto commute trip lengths.</t>
        </r>
      </text>
    </comment>
    <comment ref="Q1" authorId="1" shapeId="0" xr:uid="{855E9636-3B0D-4247-A2D7-A81653F6B9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medium confidence
Reply:
    Duplicate of col AB?</t>
        </r>
      </text>
    </comment>
    <comment ref="R1" authorId="2" shapeId="0" xr:uid="{393489B5-6983-4ED0-B031-A51A2327DA3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low/medium confidence</t>
        </r>
      </text>
    </comment>
    <comment ref="S1" authorId="3" shapeId="0" xr:uid="{2857E843-5EEB-4050-BACE-A79946F11AD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high confidence</t>
        </r>
      </text>
    </comment>
    <comment ref="T1" authorId="4" shapeId="0" xr:uid="{5640B8F9-F236-4B1C-B14B-CE33FA5B11C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Low degree of confidence in some of these numbers</t>
        </r>
      </text>
    </comment>
    <comment ref="U1" authorId="5" shapeId="0" xr:uid="{472BDB42-6B34-4178-967B-88F28549DEE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High confidence in all these numbers</t>
        </r>
      </text>
    </comment>
    <comment ref="V1" authorId="6" shapeId="0" xr:uid="{8D521F65-0F57-43F5-AC48-239B16B498C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low/medium confidence
Reply:
    change "work" to "commute"</t>
        </r>
      </text>
    </comment>
    <comment ref="X1" authorId="7" shapeId="0" xr:uid="{73434A22-77AB-4A99-92CF-F6B24A3D7B7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good confidence but there are some divide-by-zero errors
Reply:
    change "work" to "commute"</t>
        </r>
      </text>
    </comment>
    <comment ref="Z1" authorId="8" shapeId="0" xr:uid="{1DE9E66B-4347-4A0B-BB16-6D35894C609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by IF, high confidence
Reply:
    Per this list, Berkeley is the only college town in Alameda County https://en.wikipedia.org/wiki/List_of_college_towns#California</t>
        </r>
      </text>
    </comment>
    <comment ref="AA1" authorId="9" shapeId="0" xr:uid="{0876D30D-DB84-46C5-918F-7DF442D0F25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by SUMIFS, high confidence</t>
        </r>
      </text>
    </comment>
    <comment ref="AB1" authorId="10" shapeId="0" xr:uid="{EE4F296D-1BD4-469A-A7CC-516B110DB31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by SUMIFS
Reply:
    Need to go back and make sure this should be jurisdiction level and not TAZ level</t>
        </r>
      </text>
    </comment>
    <comment ref="AC1" authorId="11" shapeId="0" xr:uid="{69B29FB3-B4E2-40EE-955A-D237D111739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COMPLETE GARBAGE - still need to do GIS exercise to exclude BART-adjacent TAZs and aggregate to jurisdiction level. Currently just using TAZ-level transit mode share.
Reply:
    Completed GIS exercise, these are now working as designed.</t>
        </r>
      </text>
    </comment>
    <comment ref="AD1" authorId="12" shapeId="0" xr:uid="{AB3761C1-01D9-4079-B0DA-EC979C0DF5F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COMPLETE GARBAGE - still need to do GIS exercise to exclude BART-adjacent TAZs and aggregate to jurisdiction level. Currently just using TAZ-level auto mode share.
Reply:
    Completed GIS exercise, these are now working as designed.</t>
        </r>
      </text>
    </comment>
    <comment ref="AF9" authorId="13" shapeId="0" xr:uid="{70E551F4-AB91-4DFB-91F7-5D2106EBF7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issue is that some TAZ-level values are either 0 or errors. In either case, we want to replace the faulty TAZ-level value with the average value of TAZs in that jurisdiction that are NOT 0 or errors. Therefore, I copied the columns that contain errors to this side so that I could refer to them from the main columns in their original locations.</t>
        </r>
      </text>
    </comment>
    <comment ref="Z10" authorId="14" shapeId="0" xr:uid="{596EEB1A-960C-410E-AB55-5FB9E1AA09D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Berkeley is university town</t>
        </r>
      </text>
    </comment>
    <comment ref="AA10" authorId="15" shapeId="0" xr:uid="{5E260CEE-232B-4C2A-9A1F-3A2BAE8980B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Oakland is &gt; 250,000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tc={93EDF147-E512-4754-AE1E-7BAEE52E2DA1}</author>
  </authors>
  <commentList>
    <comment ref="I14" authorId="0" shapeId="0" xr:uid="{93EDF147-E512-4754-AE1E-7BAEE52E2DA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Removed this and the transpose of this conflict because the two measures now refer explicitly to different target populations, therefore there is no conflict.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8" authorId="0" shapeId="0" xr:uid="{00000000-0006-0000-0400-000002000000}">
      <text>
        <r>
          <rPr>
            <sz val="9"/>
            <color indexed="81"/>
            <rFont val="Tahoma"/>
            <family val="2"/>
          </rPr>
          <t>See FAQs page, Question #15 for explanation of "% of employees eligible".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8" authorId="0" shapeId="0" xr:uid="{00000000-0006-0000-0500-000001000000}">
      <text>
        <r>
          <rPr>
            <sz val="9"/>
            <color indexed="81"/>
            <rFont val="Tahoma"/>
            <family val="2"/>
          </rPr>
          <t>See FAQs page, Question #15 for explanation of "% of employees eligible".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3" authorId="0" shapeId="0" xr:uid="{00000000-0006-0000-0600-000002000000}">
      <text>
        <r>
          <rPr>
            <sz val="9"/>
            <color indexed="81"/>
            <rFont val="Tahoma"/>
            <family val="2"/>
          </rPr>
          <t>See FAQs page, Question #15 for explanation of "% of employees eligible".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Drew Levitt</author>
    <author>Author</author>
  </authors>
  <commentList>
    <comment ref="G18" authorId="0" shapeId="0" xr:uid="{57F8E942-C080-4CB3-AC1D-AEECC9FB15AB}">
      <text>
        <r>
          <rPr>
            <sz val="9"/>
            <color indexed="81"/>
            <rFont val="Tahoma"/>
            <family val="2"/>
          </rPr>
          <t>See FAQs page, Question #15 for explanation of "% of employees eligible".</t>
        </r>
      </text>
    </comment>
    <comment ref="G22" authorId="1" shapeId="0" xr:uid="{998CF7FF-C668-4EEE-AE3D-0B7C01D1FFEE}">
      <text>
        <r>
          <rPr>
            <sz val="9"/>
            <color indexed="81"/>
            <rFont val="Tahoma"/>
            <family val="2"/>
          </rPr>
          <t>The user may override the above default existing transit mode share in this cell. Leave blank otherwise.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4" authorId="0" shapeId="0" xr:uid="{2A2481B3-B945-4C39-9E00-2C055C728561}">
      <text>
        <r>
          <rPr>
            <sz val="9"/>
            <color indexed="81"/>
            <rFont val="Tahoma"/>
            <family val="2"/>
          </rPr>
          <t>The user may override the above default existing transit mode share in this cell. Leave blank otherwise.</t>
        </r>
      </text>
    </comment>
  </commentList>
</comments>
</file>

<file path=xl/sharedStrings.xml><?xml version="1.0" encoding="utf-8"?>
<sst xmlns="http://schemas.openxmlformats.org/spreadsheetml/2006/main" count="8964" uniqueCount="979">
  <si>
    <t>user input</t>
  </si>
  <si>
    <t>Level of application:</t>
  </si>
  <si>
    <t xml:space="preserve">Type of VMT affected: </t>
  </si>
  <si>
    <t>Employee commute trips</t>
  </si>
  <si>
    <t>% of employees eligible</t>
  </si>
  <si>
    <t>Change in VMT</t>
  </si>
  <si>
    <t>Sources:</t>
  </si>
  <si>
    <t>constant, source (1)</t>
  </si>
  <si>
    <t>Elasticity</t>
  </si>
  <si>
    <t>constant, source (2)</t>
  </si>
  <si>
    <t>calculated</t>
  </si>
  <si>
    <t>user input, optional</t>
  </si>
  <si>
    <t>constant, source (3)</t>
  </si>
  <si>
    <t>% change in bus network coverage</t>
  </si>
  <si>
    <t>Transit mode share used for calculation</t>
  </si>
  <si>
    <t>% change in transit frequency (arrivals per hour)</t>
  </si>
  <si>
    <t>Elasticity of transit ridership with respect to transit travel time</t>
  </si>
  <si>
    <t>% change in transit fare</t>
  </si>
  <si>
    <t>Microtransit share of all person trips</t>
  </si>
  <si>
    <t>Auto trip substitution rate</t>
  </si>
  <si>
    <t>Place Type</t>
  </si>
  <si>
    <t>1A</t>
  </si>
  <si>
    <t>1B</t>
  </si>
  <si>
    <t>1C</t>
  </si>
  <si>
    <t>1D</t>
  </si>
  <si>
    <t>1E</t>
  </si>
  <si>
    <t>2A</t>
  </si>
  <si>
    <t>2B</t>
  </si>
  <si>
    <t>3B</t>
  </si>
  <si>
    <t>4A</t>
  </si>
  <si>
    <t>4B</t>
  </si>
  <si>
    <t>4C</t>
  </si>
  <si>
    <t>4D</t>
  </si>
  <si>
    <t>5A</t>
  </si>
  <si>
    <t>5B</t>
  </si>
  <si>
    <t>5C</t>
  </si>
  <si>
    <t>5D</t>
  </si>
  <si>
    <t>5E</t>
  </si>
  <si>
    <t>% of targeted households that participate</t>
  </si>
  <si>
    <t>Project/Site</t>
  </si>
  <si>
    <t>Parking Management</t>
  </si>
  <si>
    <t>Neighborhood Enhancements</t>
  </si>
  <si>
    <t>Transit Strategies</t>
  </si>
  <si>
    <t>4E</t>
  </si>
  <si>
    <t>4F</t>
  </si>
  <si>
    <t>4G</t>
  </si>
  <si>
    <t>Land Use Strategies</t>
  </si>
  <si>
    <t>Frequently Asked Questions</t>
  </si>
  <si>
    <t># of days telecommuting</t>
  </si>
  <si>
    <t>% change in commute VMT for 1% of employees telecommuting</t>
  </si>
  <si>
    <t>Days/week average employee telecommutes</t>
  </si>
  <si>
    <t>no</t>
  </si>
  <si>
    <t>yes</t>
  </si>
  <si>
    <t>1F</t>
  </si>
  <si>
    <t>performance monitoring and reporting program?</t>
  </si>
  <si>
    <t>1C. Employer Carpool Program</t>
  </si>
  <si>
    <t>Parking price unit</t>
  </si>
  <si>
    <t>Ratio of sidewalk length to street length</t>
  </si>
  <si>
    <t>% change in ratio of sidewalk length to street length</t>
  </si>
  <si>
    <t>Transit fare unit</t>
  </si>
  <si>
    <t>Elasticity of transit ridership with respect to transit fare</t>
  </si>
  <si>
    <t>Central</t>
  </si>
  <si>
    <t>East County</t>
  </si>
  <si>
    <t>Yes/No List</t>
  </si>
  <si>
    <t>% of employees who participate</t>
  </si>
  <si>
    <t>Intersection density used for calculation (int/sq mi)</t>
  </si>
  <si>
    <t>Ratio of sidewalk length to street length with strategy</t>
  </si>
  <si>
    <t>If the user override of existing transit mode share exceeds maximum of 25%, the default value will be used.</t>
  </si>
  <si>
    <t>$/month</t>
  </si>
  <si>
    <t>$/hour</t>
  </si>
  <si>
    <t>% change in parking price</t>
  </si>
  <si>
    <t>Below are the different cell styles the user will see in the formulae of the strategy pages. Not all strategies use each cell style.</t>
  </si>
  <si>
    <t>% change in VMT</t>
  </si>
  <si>
    <t>calculation</t>
  </si>
  <si>
    <t xml:space="preserve"> =    </t>
  </si>
  <si>
    <t xml:space="preserve"> =    optional user input, values may be restricted, unlocked</t>
  </si>
  <si>
    <t xml:space="preserve"> =    intermediate calculation in formula, locked</t>
  </si>
  <si>
    <t xml:space="preserve"> =    strategy output, locked</t>
  </si>
  <si>
    <t>VMT Type</t>
  </si>
  <si>
    <t xml:space="preserve"> =    hidden help text visible if user hovers cursor over cell, locked</t>
  </si>
  <si>
    <t xml:space="preserve"> =    strategy output, max achievable reduction, may be capped, locked</t>
  </si>
  <si>
    <t>Strategies that improve or encourage neighborhood-level bicycle, pedestrian, and other multimodal travel options</t>
  </si>
  <si>
    <t>Default % change in transit travel time due to treatments</t>
  </si>
  <si>
    <t>% change in transit travel time due to treatments used for calculation</t>
  </si>
  <si>
    <t>If the user override of default % change in transit travel time due to treatments value falls below minimum of -20% or exceeds maximum of 0%, the default value will be used.</t>
  </si>
  <si>
    <t>Transit</t>
  </si>
  <si>
    <t>Follow the steps below:</t>
  </si>
  <si>
    <t>Project Information</t>
  </si>
  <si>
    <t>Transit Oriented Development</t>
  </si>
  <si>
    <r>
      <t xml:space="preserve">Return to Main </t>
    </r>
    <r>
      <rPr>
        <u/>
        <sz val="11"/>
        <color theme="10"/>
        <rFont val="Wingdings 3"/>
        <family val="1"/>
        <charset val="2"/>
      </rPr>
      <t>É</t>
    </r>
  </si>
  <si>
    <t>Is the program contractually required of the developer</t>
  </si>
  <si>
    <t xml:space="preserve">or property owner and accompanied by a regular </t>
  </si>
  <si>
    <t>Bikeway Classification List</t>
  </si>
  <si>
    <t>Peak period headway with strategy (minutes)</t>
  </si>
  <si>
    <t xml:space="preserve"> =    constant, coefficient, or default value, locked</t>
  </si>
  <si>
    <t>coefficient, source (1, 2)</t>
  </si>
  <si>
    <t>Existing peak period headway (minutes)</t>
  </si>
  <si>
    <t>Regional average one-way bicycle trip length (miles)</t>
  </si>
  <si>
    <t>Regional average one-way auto trip length (miles)</t>
  </si>
  <si>
    <t>% of adults with carshare access who become members</t>
  </si>
  <si>
    <t>Pricing Units</t>
  </si>
  <si>
    <t>$/day</t>
  </si>
  <si>
    <t>$/year</t>
  </si>
  <si>
    <t>$/trip</t>
  </si>
  <si>
    <t>Project-generated trips</t>
  </si>
  <si>
    <r>
      <t xml:space="preserve">Results Summary </t>
    </r>
    <r>
      <rPr>
        <u/>
        <sz val="11"/>
        <color theme="10"/>
        <rFont val="Wingdings"/>
        <charset val="2"/>
      </rPr>
      <t>2</t>
    </r>
  </si>
  <si>
    <t>Single bikeway</t>
  </si>
  <si>
    <t>Network of bikeways</t>
  </si>
  <si>
    <t>Would the project expand a network of bikeways</t>
  </si>
  <si>
    <t>or add a single bikeway?</t>
  </si>
  <si>
    <t>Project Name (optional):</t>
  </si>
  <si>
    <t>Project Address (optional):</t>
  </si>
  <si>
    <t>Project Type (optional):</t>
  </si>
  <si>
    <t xml:space="preserve">Sources:  </t>
  </si>
  <si>
    <t>Average vanpool occupancy (including driver)</t>
  </si>
  <si>
    <t>constant, coefficient, or default</t>
  </si>
  <si>
    <t>E.g., residential, commercial</t>
  </si>
  <si>
    <t>Voluntary Employer Commute Program</t>
  </si>
  <si>
    <t>Mandatory Employer Commute Program</t>
  </si>
  <si>
    <t>Employer Carpool Program</t>
  </si>
  <si>
    <t>Employer Vanpool Program</t>
  </si>
  <si>
    <t>Employer Transit Pass Subsidy</t>
  </si>
  <si>
    <t>Employer Telework Program</t>
  </si>
  <si>
    <t>Mixed Use Development</t>
  </si>
  <si>
    <t>Parking Cash Out</t>
  </si>
  <si>
    <t>Street Connectivity Improvement</t>
  </si>
  <si>
    <t>Pedestrian Facility Improvement</t>
  </si>
  <si>
    <t>Bikeway Network Expansion</t>
  </si>
  <si>
    <t>Bike Facility Improvement</t>
  </si>
  <si>
    <t>Bikeshare</t>
  </si>
  <si>
    <t>Carshare</t>
  </si>
  <si>
    <t>Community-Based Travel Planning</t>
  </si>
  <si>
    <t>Microtransit NEV Shuttle</t>
  </si>
  <si>
    <t>Transit Service Expansion</t>
  </si>
  <si>
    <t>Transit Frequency Improvements</t>
  </si>
  <si>
    <t>Transit-Supportive Treatments</t>
  </si>
  <si>
    <t>Transit Fare Reduction</t>
  </si>
  <si>
    <t>1F. Employer Telework Program</t>
  </si>
  <si>
    <t>3B. Parking Cash Out</t>
  </si>
  <si>
    <t>5E. Microtransit NEV Shuttle</t>
  </si>
  <si>
    <t>MOBILITY MANAGEMENT VMT REDUCTION CALCULATOR TOOL</t>
  </si>
  <si>
    <t xml:space="preserve"> MOBILITY MANAGEMENT VMT REDUCTION CALCULATOR TOOL</t>
  </si>
  <si>
    <t xml:space="preserve"> =    required user input, values may be restricted, unlocked</t>
  </si>
  <si>
    <t>Industrial</t>
  </si>
  <si>
    <t>Employer Commute Programs</t>
  </si>
  <si>
    <t>Strategies that modify the location or characteristics of land development projects to encourage non-auto travel modes</t>
  </si>
  <si>
    <t>Strategies that improve transit service and cause a mode shift from auto to transit</t>
  </si>
  <si>
    <t>If the user override of existing auto mode share falls below minimum of 50%, the default value will be used.</t>
  </si>
  <si>
    <t>If the user override of existing auto mode share value falls below minimum of 50%, the default value will be used.</t>
  </si>
  <si>
    <t>Max VMT reduction:</t>
  </si>
  <si>
    <t>% change in VMT, increase</t>
  </si>
  <si>
    <t>% change in VMT, max decrease</t>
  </si>
  <si>
    <t xml:space="preserve"> =    strategy output, VMT increase, may be capped, locked</t>
  </si>
  <si>
    <t>% change in bikeway miles (only Class I, II, and IV)</t>
  </si>
  <si>
    <t>User override of one-way microtransit trip length (miles)</t>
  </si>
  <si>
    <t>Microtransit trip length used for calculation (miles)</t>
  </si>
  <si>
    <t>Does employer sponsor a vanpool program?</t>
  </si>
  <si>
    <t>One-way length of average auto commute (miles)</t>
  </si>
  <si>
    <t>Vanpool participation rate used for calculation</t>
  </si>
  <si>
    <t>Change in VMT (as compared to single-use project)</t>
  </si>
  <si>
    <t>Other</t>
  </si>
  <si>
    <t>Special Use</t>
  </si>
  <si>
    <t>Commercial</t>
  </si>
  <si>
    <t>Mixed Use</t>
  </si>
  <si>
    <t>Residential</t>
  </si>
  <si>
    <t>Project Type</t>
  </si>
  <si>
    <t>Strategies implemented by employers that encourage workers to commute by modes other than auto</t>
  </si>
  <si>
    <t>Exclusions</t>
  </si>
  <si>
    <t>constant, source (1, 2)</t>
  </si>
  <si>
    <t xml:space="preserve">User override of default % change in transit travel time </t>
  </si>
  <si>
    <t>due to treatments</t>
  </si>
  <si>
    <t>I. Overview</t>
  </si>
  <si>
    <t>Employee Commute Trips - Total Change in VMT</t>
  </si>
  <si>
    <t>Project-Generated Trips - Total Change in VMT</t>
  </si>
  <si>
    <t>Trips on Roadway Affected by Bikeway Addition - Total Change in VMT</t>
  </si>
  <si>
    <t>Change in % of adults with carshare access due to strategy</t>
  </si>
  <si>
    <t>Auto mode share used for calculation</t>
  </si>
  <si>
    <t>Trips on roadway with bikeway addition</t>
  </si>
  <si>
    <t>Linearly extrapolated from: Cambridge Systematics. Moving Cooler: An Analysis of Transportation Strategies for Reducing Greenhouse Gas Emissions. 2009. Technical Appendices. Prepared for the Urban Land Institute. www.reconnectingamerica.org/assets/Uploads/2009movingcoolerexecsumandappend.pdf</t>
  </si>
  <si>
    <t xml:space="preserve"> =    optional user input, check box to exclude a strategy output from results</t>
  </si>
  <si>
    <t xml:space="preserve">Is the project within 0.5 mile of a rail transit station </t>
  </si>
  <si>
    <r>
      <rPr>
        <b/>
        <sz val="11"/>
        <color theme="1"/>
        <rFont val="Calibri"/>
        <family val="2"/>
        <scheme val="minor"/>
      </rPr>
      <t xml:space="preserve">14. There is text in a locked cell that is cut off, and I cannot adjust the cell margins to read the remainder of the text. How can I read the cell text?
</t>
    </r>
    <r>
      <rPr>
        <sz val="11"/>
        <color theme="1"/>
        <rFont val="Calibri"/>
        <family val="2"/>
        <scheme val="minor"/>
      </rPr>
      <t>The margins of all cells have been adjusted so that at Excel's 100% zoom level all the text can be seen. Adjust your zoom level to 100% if you see that a cell's text is cut off. This also applies to any text in comment bubbles. If you still cannot read the text, try adjusting your zoom level to other percentages.</t>
    </r>
  </si>
  <si>
    <t>Place type of project/site</t>
  </si>
  <si>
    <t>Transit mode share is capped at 27%, source (3).</t>
  </si>
  <si>
    <t>JURIS</t>
  </si>
  <si>
    <t>SUBREGION</t>
  </si>
  <si>
    <t>NAME</t>
  </si>
  <si>
    <t>TOTHH</t>
  </si>
  <si>
    <t>TOTPOP</t>
  </si>
  <si>
    <t>TACRES</t>
  </si>
  <si>
    <t>TEMP</t>
  </si>
  <si>
    <t>Sq_Mi</t>
  </si>
  <si>
    <t>TOTPOPEMP</t>
  </si>
  <si>
    <t>service_po</t>
  </si>
  <si>
    <t>drive_mode</t>
  </si>
  <si>
    <t>jobs_pct</t>
  </si>
  <si>
    <t>Hayward</t>
  </si>
  <si>
    <t>Central County</t>
  </si>
  <si>
    <t>San Lorenzo</t>
  </si>
  <si>
    <t>Alameda County</t>
  </si>
  <si>
    <t>Castro Valley</t>
  </si>
  <si>
    <t>San Leandro</t>
  </si>
  <si>
    <t>Ashland</t>
  </si>
  <si>
    <t>Cherryland</t>
  </si>
  <si>
    <t>Livermore</t>
  </si>
  <si>
    <t>East</t>
  </si>
  <si>
    <t>Pleasanton</t>
  </si>
  <si>
    <t>Dublin</t>
  </si>
  <si>
    <t>Union City</t>
  </si>
  <si>
    <t>Oakland</t>
  </si>
  <si>
    <t>North</t>
  </si>
  <si>
    <t>North County</t>
  </si>
  <si>
    <t>Alameda</t>
  </si>
  <si>
    <t>Berkeley</t>
  </si>
  <si>
    <t>Albany</t>
  </si>
  <si>
    <t>Emeryville</t>
  </si>
  <si>
    <t>Piedmont</t>
  </si>
  <si>
    <t>Fremont</t>
  </si>
  <si>
    <t>South</t>
  </si>
  <si>
    <t>South County</t>
  </si>
  <si>
    <t>Newark</t>
  </si>
  <si>
    <t>? May have low range</t>
  </si>
  <si>
    <t>SANDAG</t>
  </si>
  <si>
    <t>CAPCOA 2010</t>
  </si>
  <si>
    <t>CAPCOA 2021</t>
  </si>
  <si>
    <t>Scale</t>
  </si>
  <si>
    <t>SANDAG ID</t>
  </si>
  <si>
    <t>CAPCOA 2010 ID</t>
  </si>
  <si>
    <t>CAPCOA 2021 ID</t>
  </si>
  <si>
    <t>Strategy</t>
  </si>
  <si>
    <t>notes</t>
  </si>
  <si>
    <t>Mutually exclusive with…</t>
  </si>
  <si>
    <t>Inputs</t>
  </si>
  <si>
    <t>Sensitive to Place Type?</t>
  </si>
  <si>
    <t>Sensitive to Place Type (2021)?</t>
  </si>
  <si>
    <t>Sensitive to Jurisdiction?</t>
  </si>
  <si>
    <t>Max Reduction (SANDAG Tool)</t>
  </si>
  <si>
    <t>Max Reduction (2010)</t>
  </si>
  <si>
    <t>Max Reduction (2021)</t>
  </si>
  <si>
    <t>Max Reduction (2021, Low-Density Suburb)</t>
  </si>
  <si>
    <t>Max Reduction (2021, Suburban Center)</t>
  </si>
  <si>
    <t>Max Reduction (2021, Urban)</t>
  </si>
  <si>
    <t>Maximum Reduction in SANDAG Tool</t>
  </si>
  <si>
    <t>Low Reduction</t>
  </si>
  <si>
    <t>High Reduction</t>
  </si>
  <si>
    <t>Revised Maximum Reduction</t>
  </si>
  <si>
    <t>Source for New Max Reduction</t>
  </si>
  <si>
    <t>Change from SANDAG Tool</t>
  </si>
  <si>
    <t>Notes</t>
  </si>
  <si>
    <t>Implementation Notes</t>
  </si>
  <si>
    <t>Level of application</t>
  </si>
  <si>
    <t>Type of VMT affected</t>
  </si>
  <si>
    <t>Max VMT reduction</t>
  </si>
  <si>
    <t>Description</t>
  </si>
  <si>
    <t>Sources</t>
  </si>
  <si>
    <t>Formula</t>
  </si>
  <si>
    <t>Required User Input 1</t>
  </si>
  <si>
    <t>Required User Input 2</t>
  </si>
  <si>
    <t>Required User Input 3</t>
  </si>
  <si>
    <t>Required User Input 4</t>
  </si>
  <si>
    <t>Required User Input 5</t>
  </si>
  <si>
    <t>Required User Input 6</t>
  </si>
  <si>
    <t>Required User Input 7</t>
  </si>
  <si>
    <t>Required User Input 8</t>
  </si>
  <si>
    <t>Optional User Input 1</t>
  </si>
  <si>
    <t>Optional User Input 2</t>
  </si>
  <si>
    <t>Optional User Input 3</t>
  </si>
  <si>
    <t>Optional User Input 4</t>
  </si>
  <si>
    <t>Lookup/Calculated Value 1</t>
  </si>
  <si>
    <t>Lookup/Calculated Value 2</t>
  </si>
  <si>
    <t>Lookup/Calculated Value 3</t>
  </si>
  <si>
    <t>Lookup/Calculated Value 4</t>
  </si>
  <si>
    <t>Lookup/Calculated Value 5</t>
  </si>
  <si>
    <t>Project</t>
  </si>
  <si>
    <t>TRT-14</t>
  </si>
  <si>
    <t>T-11</t>
  </si>
  <si>
    <t>Would not be implemented alongside cash-out</t>
  </si>
  <si>
    <t>existing parking price, future parking price, share of employees paying for parking, elasticity of parking demand relative to price</t>
  </si>
  <si>
    <t>0.1-19.7%</t>
  </si>
  <si>
    <t>Different formula, additional variables</t>
  </si>
  <si>
    <t>B. Proposed parking price</t>
  </si>
  <si>
    <t>C. Baseline parking price</t>
  </si>
  <si>
    <t>D. Share of employees paying for parking</t>
  </si>
  <si>
    <t>-</t>
  </si>
  <si>
    <t>E. Elasticity of parking demand with respecting
to parking price</t>
  </si>
  <si>
    <t>F. Ratio of vehicle trip reduction to VMT</t>
  </si>
  <si>
    <t>Community</t>
  </si>
  <si>
    <t>SDT-5</t>
  </si>
  <si>
    <t>T-18</t>
  </si>
  <si>
    <t>Grouped - LUT-9</t>
  </si>
  <si>
    <t>average bicycle trip length, average auto trip length, AADT on roadway, length of bicycle project, # activity centers near bicycle project</t>
  </si>
  <si>
    <t>part of LUT-9</t>
  </si>
  <si>
    <t>Different formula, some overlap in inputs</t>
  </si>
  <si>
    <t>B. Percent of neighborhood/city VMT on parallel
roadway</t>
  </si>
  <si>
    <t>Average daily traffic (vehicle trips per day)</t>
  </si>
  <si>
    <t>One-way facility length</t>
  </si>
  <si>
    <t>Does the jurisdiction have a university?</t>
  </si>
  <si>
    <t>Jurisdiction population &lt; 250k?</t>
  </si>
  <si>
    <t>Number of key destinations within 1/4 mile of facility</t>
  </si>
  <si>
    <t>Number of key destinations between 1/4 and 1/2 mile from facility</t>
  </si>
  <si>
    <t>Facility type</t>
  </si>
  <si>
    <t>G. Existing regional average one-way bicycle trip length</t>
  </si>
  <si>
    <t>H. Existing regional average one-way vehicle trip length</t>
  </si>
  <si>
    <t>C. Active transportation adjustment factor</t>
  </si>
  <si>
    <t>D. Credits for activity centers near project</t>
  </si>
  <si>
    <t>E. Growth factor adjustment for facility type</t>
  </si>
  <si>
    <t>F. Annual days of use of new facility</t>
  </si>
  <si>
    <t>I. Days per year</t>
  </si>
  <si>
    <t>TRT-9</t>
  </si>
  <si>
    <t>T-20A</t>
  </si>
  <si>
    <t>% of cars providing roundtrip vs one-way carshare, existing &amp; future % of population with carshare access, auto trip length</t>
  </si>
  <si>
    <t>0.4-0.7%</t>
  </si>
  <si>
    <t>B. Percent of residences in neighborhood/city with
access to carsharing without measure</t>
  </si>
  <si>
    <t>C. Percent of residences in neighborhood/city with
access to carsharing with measure</t>
  </si>
  <si>
    <t>D. Percent of adults with carshare access who
become members</t>
  </si>
  <si>
    <t>E. Percent VMT reduction by carshare members</t>
  </si>
  <si>
    <t>SDT-1</t>
  </si>
  <si>
    <t>T-17</t>
  </si>
  <si>
    <t>existing &amp; future sidewalk length &amp; street length</t>
  </si>
  <si>
    <t>B. Existing street length in study area</t>
  </si>
  <si>
    <t>C. Existing sidewalk length in study area</t>
  </si>
  <si>
    <t>D. Sidewalk length in study area with measure</t>
  </si>
  <si>
    <t>E. Elasticity of VMT with respect to the ratio of
sidewalks-to-streets</t>
  </si>
  <si>
    <t>TRT-2</t>
  </si>
  <si>
    <t>T-5</t>
  </si>
  <si>
    <t>rewrite language</t>
  </si>
  <si>
    <t>% of employees eligible, % shift in vehicle mode share of commute trips</t>
  </si>
  <si>
    <t>4.2-21%</t>
  </si>
  <si>
    <t>up to 26%</t>
  </si>
  <si>
    <t>Minor change - CAPCOA 2021 includes vehicle mode share to VMT adjustment</t>
  </si>
  <si>
    <t>B. Percent of employees eligible for program</t>
  </si>
  <si>
    <t>Not Found</t>
  </si>
  <si>
    <t>T-27</t>
  </si>
  <si>
    <t>existing &amp; future transit fare, existing transit mode share, existing auto mode share</t>
  </si>
  <si>
    <t>Minor change - same formula, one new variable</t>
  </si>
  <si>
    <t>B. Percent reduction in transit fare with
measure</t>
  </si>
  <si>
    <t>C. Percent of neighborhood/city transit
routes that receive reduced fares</t>
  </si>
  <si>
    <t>E. Transit mode share in neighborhood/city</t>
  </si>
  <si>
    <t>F. Vehicle mode share in neighborhood/city</t>
  </si>
  <si>
    <t>D. Elasticity of transit ridership with respect
to transit fare</t>
  </si>
  <si>
    <t>G. Statewide mode shift factor</t>
  </si>
  <si>
    <t>T-22</t>
  </si>
  <si>
    <t>N/A</t>
  </si>
  <si>
    <t># of targeted households, % participating households, vehicle trip reduction by participating households</t>
  </si>
  <si>
    <t>Minor change - same formula, some values may need updating</t>
  </si>
  <si>
    <t>B. Residences in neighborhood/city</t>
  </si>
  <si>
    <t>C. Residences in neighborhood/city targeted
with CBTP</t>
  </si>
  <si>
    <t>D. Percent of targeted residences that
participate</t>
  </si>
  <si>
    <t>E. Percent vehicle trip reduction by
participating residences</t>
  </si>
  <si>
    <t>F. Adjustment factor from vehicle trips to VMT</t>
  </si>
  <si>
    <t>TRT-12</t>
  </si>
  <si>
    <t>T-21A</t>
  </si>
  <si>
    <t>2010 - combine with SD-5, LUT-9</t>
  </si>
  <si>
    <t>sub-county region, % of population that can access system, auto trip length</t>
  </si>
  <si>
    <t>Not Quantified</t>
  </si>
  <si>
    <t>Minor change - same formula, update lookup/calculated values</t>
  </si>
  <si>
    <t>B. Percent of residences in neighborhood/city
with access to bikeshare system without
measure</t>
  </si>
  <si>
    <t>C. Percent of residences in neighborhood/city
with access to bikeshare system with measure</t>
  </si>
  <si>
    <t>H. Regional average one-way vehicle trip length</t>
  </si>
  <si>
    <t>D. Daily bikeshare trips per person</t>
  </si>
  <si>
    <t>E. Vehicle to bikeshare substitution rate</t>
  </si>
  <si>
    <t>F. Bikeshare average one-way trip length</t>
  </si>
  <si>
    <t>T-19</t>
  </si>
  <si>
    <t>existing bicycle mode share, existing auto mode share, existing &amp; future bikeway miles, average bicycle trip length, average auto trip length</t>
  </si>
  <si>
    <t>B. Existing bikeway miles (only Class I, II, and
IV) in neighborhood/city</t>
  </si>
  <si>
    <t>C. Bikeway miles (only Class I, II, and IV) in
neighborhood/city with measure</t>
  </si>
  <si>
    <t>D. Bicycle mode share in neighborhood/city</t>
  </si>
  <si>
    <t>E. Vehicle mode share in neighborhood/city</t>
  </si>
  <si>
    <t>F. Average one-way bicycle trip length in
neighborhood/city</t>
  </si>
  <si>
    <t>G. Average one-way vehicle trip length in
neighborhood/city</t>
  </si>
  <si>
    <t>H. Elasticity of bike commuters with respect to
bikeway miles per 10,000 population</t>
  </si>
  <si>
    <t>TST-2 Transit Access Improvements</t>
  </si>
  <si>
    <t>T-26</t>
  </si>
  <si>
    <t>Grouped with TST-3 and TST-4</t>
  </si>
  <si>
    <t>% of transit routes affected, % change in transit travel time, existing transit mode share, existing auto mode share</t>
  </si>
  <si>
    <t>B. Percent of neighborhood/city transit
routes that receive treatments</t>
  </si>
  <si>
    <t>C. Percent change in transit travel time due
to treatments</t>
  </si>
  <si>
    <t>E. Transit mode share in
neighborhood/city</t>
  </si>
  <si>
    <t>F. Vehicle mode share in
neighborhood/city</t>
  </si>
  <si>
    <t>D. Elasticity of transit ridership with
respect to transit travel time</t>
  </si>
  <si>
    <t>TRT-11</t>
  </si>
  <si>
    <t>T-10</t>
  </si>
  <si>
    <t>T-4 and T-5</t>
  </si>
  <si>
    <t>% of employees participating, length of average auto commute, length of long vanpool commute, average vanpool occupancy</t>
  </si>
  <si>
    <t>0.3-13.4%</t>
  </si>
  <si>
    <t>Up to 28.4%</t>
  </si>
  <si>
    <t>B. Percent of employees that participate in
vanpool program</t>
  </si>
  <si>
    <t>C. Average length of one-way vehicle commute
trip in region</t>
  </si>
  <si>
    <t>D. Average length of one-way vanpool commute
trip</t>
  </si>
  <si>
    <t>E. Average vanpool occupancy (including driver)</t>
  </si>
  <si>
    <t>TST-4</t>
  </si>
  <si>
    <t>T-25</t>
  </si>
  <si>
    <t>existing &amp; future peak period headway, existing total transit routes, # of routes improved, existing transit mode share, existing auto mode share</t>
  </si>
  <si>
    <t>0.02-2.5%</t>
  </si>
  <si>
    <t>B. Percent increase in transit frequency</t>
  </si>
  <si>
    <t>C. Level of implementation</t>
  </si>
  <si>
    <t>D. Elasticity of transit ridership with respect to
frequency of service</t>
  </si>
  <si>
    <t>T-16</t>
  </si>
  <si>
    <t>existing intersection density, future intersection density</t>
  </si>
  <si>
    <t>B. Intersection density in project site with measure</t>
  </si>
  <si>
    <t>C. Average intersection density</t>
  </si>
  <si>
    <t>D. Elasticity of VMT with respect to intersection density</t>
  </si>
  <si>
    <t>TST-3</t>
  </si>
  <si>
    <t>T-24</t>
  </si>
  <si>
    <t>existing &amp; future bus transit route length, existing transit mode share, existing auto mode share</t>
  </si>
  <si>
    <t>0.1-8.2%</t>
  </si>
  <si>
    <t>Minor change - similar formula, replacement of auto mode share with G. Ratio of vehicle trip reduction to VMT</t>
  </si>
  <si>
    <t>B. Total transit service miles in
neighborhood/city before expansion</t>
  </si>
  <si>
    <t>C. Total transit service miles in
neighborhood/city after expansion</t>
  </si>
  <si>
    <t>D. Transit mode share in neighborhood/city</t>
  </si>
  <si>
    <t>E. Elasticity of transit demand with respect to
service miles</t>
  </si>
  <si>
    <t>F. Statewide mode shift factor</t>
  </si>
  <si>
    <t>G. Ratio of vehicle trip reduction to VMT</t>
  </si>
  <si>
    <t>LUT-6</t>
  </si>
  <si>
    <t>T-30</t>
  </si>
  <si>
    <t>Integrate Affordable and Below Market Rate Housing</t>
  </si>
  <si>
    <t>use CAPCOA 2010</t>
  </si>
  <si>
    <t>percentage of BMR units</t>
  </si>
  <si>
    <t>n/a</t>
  </si>
  <si>
    <t>0.04-1.2%</t>
  </si>
  <si>
    <t>N/A - New Measure</t>
  </si>
  <si>
    <t>% VMT Reduction = 4% * Percentage of units in project that are
deed-restricted BMR housing [1]</t>
  </si>
  <si>
    <t>TRT-4</t>
  </si>
  <si>
    <t>T-8</t>
  </si>
  <si>
    <t>this is in CAPCOA 2021</t>
  </si>
  <si>
    <t>T-4, T-5</t>
  </si>
  <si>
    <t>transit fare without subsidy, subsidy amount, eligible residents/employees, project VMT related to residents/employees</t>
  </si>
  <si>
    <t>0.3-20%</t>
  </si>
  <si>
    <t>B. Average transit fare without subsidy</t>
  </si>
  <si>
    <t>C. Subsidy amount</t>
  </si>
  <si>
    <t>D. Percent of employees/residents eligible for subsidy</t>
  </si>
  <si>
    <t>E. Percent of project-generated VMT from employees/residents</t>
  </si>
  <si>
    <t>F. Transit mode share of all trips or work trips</t>
  </si>
  <si>
    <t>G. Elasticity of transit boardings with respect to transit fare price</t>
  </si>
  <si>
    <t>H. Percent of transit trips that would otherwise be made in a vehicle</t>
  </si>
  <si>
    <t>I. Conversion factor of vehicle trips to VMT</t>
  </si>
  <si>
    <t>PDT-1</t>
  </si>
  <si>
    <t>T-14</t>
  </si>
  <si>
    <t>Limit Parking Supply</t>
  </si>
  <si>
    <t>this is in CAPCOA 2021. "recommended primarily for residential use but can be used with caution for other contexts"</t>
  </si>
  <si>
    <t>residential parking demand, residential parking supply, percent of project VMT generated by residents</t>
  </si>
  <si>
    <t>5-12.5%</t>
  </si>
  <si>
    <t>B. Residential parking demand</t>
  </si>
  <si>
    <t>C. Project residential parking supply</t>
  </si>
  <si>
    <t>D. Percentage of project VMT generated by residents</t>
  </si>
  <si>
    <t>E. Percent of household VMT that is commute based</t>
  </si>
  <si>
    <t>F. Percent reduction in commute mode share by
driving among households in areas with scarce
parking</t>
  </si>
  <si>
    <t>LUT-1 Increase Density (includes resi + employment)</t>
  </si>
  <si>
    <t>T-1</t>
  </si>
  <si>
    <t>Increase Residential Density</t>
  </si>
  <si>
    <t>this is in CAPCOA 2021. actually there are two: increase residential density and increase employment density; also in CAPCOA 2010 as one single measure</t>
  </si>
  <si>
    <t>residential density of proposed project, residential density of typical development</t>
  </si>
  <si>
    <t>0.8-30%</t>
  </si>
  <si>
    <t>up to 30%</t>
  </si>
  <si>
    <t>B. Residential density of project development</t>
  </si>
  <si>
    <t>C. Residential density of typical development</t>
  </si>
  <si>
    <t>D. Elasticity of VMT with respect to residential density</t>
  </si>
  <si>
    <t>T-2</t>
  </si>
  <si>
    <t>Increase Employment Density</t>
  </si>
  <si>
    <t>jobs density of proposed project, jobs density of typical development</t>
  </si>
  <si>
    <t>B. Job density of project development</t>
  </si>
  <si>
    <t>C. Job density of typical development</t>
  </si>
  <si>
    <t>SDT-6 Bike Parking in Non-Residential Projects &amp; SDT-7 Bike Parking in Multi-Unit Resi</t>
  </si>
  <si>
    <t>T-9 End of Trip Bicycle Facilities / T-33 Bike Parking</t>
  </si>
  <si>
    <t>Provide Bike Parking</t>
  </si>
  <si>
    <t>Grouped - LUT-9; end of trip bike facilities includes parking, lockers, showers</t>
  </si>
  <si>
    <t>LUT-9; alternately up to 0.625%</t>
  </si>
  <si>
    <t>0.1-4.4%; Not Quantified</t>
  </si>
  <si>
    <t>C. Existing bicycle trip length for all trips in region</t>
  </si>
  <si>
    <t>D. Existing vehicle trip length for all trips in region</t>
  </si>
  <si>
    <t>E. Existing bicycle mode share for work trips in region</t>
  </si>
  <si>
    <t>F. Existing vehicle mode share for work trips in region</t>
  </si>
  <si>
    <t>B. Bike mode adjustment factor</t>
  </si>
  <si>
    <t>SDT-2</t>
  </si>
  <si>
    <t>T-34</t>
  </si>
  <si>
    <t>Provide Neighborhood Traffic Calming Measures</t>
  </si>
  <si>
    <t>percentage of streets within project with traffic calming improvements, percentage of intersections with traffic calming improvements</t>
  </si>
  <si>
    <t>0.25-1%</t>
  </si>
  <si>
    <t>N/A - New Measure, see lookup table</t>
  </si>
  <si>
    <t>Percentage of streets within project with traffic calming improvements</t>
  </si>
  <si>
    <t>Percentage of intersections within project with traffic calming improvements</t>
  </si>
  <si>
    <t>LUT-5</t>
  </si>
  <si>
    <t>T-3</t>
  </si>
  <si>
    <t>existing transit mode share</t>
  </si>
  <si>
    <t>.5-24.6%</t>
  </si>
  <si>
    <t>up to 31%</t>
  </si>
  <si>
    <t>Most applications of this strategy would achieve much less than the maximum VMT reduction</t>
  </si>
  <si>
    <t>New formula</t>
  </si>
  <si>
    <t>B. Transit mode share in surrounding city</t>
  </si>
  <si>
    <t>D. Auto mode share in surrounding city</t>
  </si>
  <si>
    <t>C. Ratio of transit mode share for TOD area with
measure compared to existing transit mode
share in surrounding city</t>
  </si>
  <si>
    <t>SDT-3</t>
  </si>
  <si>
    <t>% of area covered by new service, average microtransit trip length, average auto trip length, auto mode share</t>
  </si>
  <si>
    <t>0.5-12.7%</t>
  </si>
  <si>
    <t>SANDAG Tool</t>
  </si>
  <si>
    <t>No change - same formula and inputs</t>
  </si>
  <si>
    <t>TRT-6</t>
  </si>
  <si>
    <t>If part of a commute trip reduction program (TRT-1 &amp; TRT-2), don't double count; T-4 and T-5</t>
  </si>
  <si>
    <t>% of employees participating, days/week average employee telecommutes</t>
  </si>
  <si>
    <t>0.07-5.5%</t>
  </si>
  <si>
    <t>TRT-15</t>
  </si>
  <si>
    <t>T-12</t>
  </si>
  <si>
    <t>Would not be implemented alongside parking pricing</t>
  </si>
  <si>
    <t>% of employees participating</t>
  </si>
  <si>
    <t>0.6-7.7%</t>
  </si>
  <si>
    <t>B. Percentage of employees eligible</t>
  </si>
  <si>
    <t>C. Percent reduction in commute VMT from implementation of measure</t>
  </si>
  <si>
    <t>TRT-3</t>
  </si>
  <si>
    <t>T-7</t>
  </si>
  <si>
    <t>1-15%</t>
  </si>
  <si>
    <t>up to 8%</t>
  </si>
  <si>
    <t>No change - same formula and inputs; CAPCOA 2021 cites SANDAG Tool implementation</t>
  </si>
  <si>
    <t>C. Percent reduction in employee commute VMT</t>
  </si>
  <si>
    <t>T-8*</t>
  </si>
  <si>
    <t>% of employees eligible, transit subsidy, transite mode share, transit boarding elasticity with respect to fares, percent of transit trips otherwise made by vehicle</t>
  </si>
  <si>
    <t>up to 5.5%</t>
  </si>
  <si>
    <t>Remove due to similarity to "Implement Subsidized or Discounted Transit Program"</t>
  </si>
  <si>
    <t>Remove</t>
  </si>
  <si>
    <t>LUT-3</t>
  </si>
  <si>
    <t>double counting with Increase X Density? In theory, no - this comes from the same Cervero paper as Increase X Density and that paper did a multivariate analysis such that each elasticity is independent… but the new Increase X Density citation is Stevens (2016) so there is some potential for double counting. compare Stevens vs Cervero elasticity...</t>
  </si>
  <si>
    <t>existing land use entropy index, residents added, jobs added</t>
  </si>
  <si>
    <t>9-30%</t>
  </si>
  <si>
    <t>Remove due to overlap with new "Increase Residential Density" and "Increase Employment Density" strategies</t>
  </si>
  <si>
    <t>TRT-1</t>
  </si>
  <si>
    <t>T-4</t>
  </si>
  <si>
    <t>% of employees eligible, percent reduction in commute VMT</t>
  </si>
  <si>
    <t>1-6.2%</t>
  </si>
  <si>
    <t>up to 4%</t>
  </si>
  <si>
    <t>Simplified formula - only one coefficient (can eliminate lookup)</t>
  </si>
  <si>
    <t>C. Percent reduction in commute VMT from eligible employees</t>
  </si>
  <si>
    <t>% reduction in commute VMT</t>
  </si>
  <si>
    <t>D. Adjustment from vehicle mode share to commute VMT</t>
  </si>
  <si>
    <t>C. Percent reduction in vehicle mode share of employee commute trips</t>
  </si>
  <si>
    <t>% reduction in vehicle mode share of employee commute trips</t>
  </si>
  <si>
    <t>Adjustment from vehicle mode share to commute VMT</t>
  </si>
  <si>
    <t>Length of one-way vanpool commute trip used for calculation</t>
  </si>
  <si>
    <t>C</t>
  </si>
  <si>
    <t>B</t>
  </si>
  <si>
    <t>D</t>
  </si>
  <si>
    <t>2B1</t>
  </si>
  <si>
    <t>2B2</t>
  </si>
  <si>
    <t>E</t>
  </si>
  <si>
    <t>Residential density of typical development used for calculation</t>
  </si>
  <si>
    <t>Elasticity of VMT with respect to residential density</t>
  </si>
  <si>
    <t>Job density of typical development used for calculation</t>
  </si>
  <si>
    <t>Elasticity of parking demand with respect to parking price</t>
  </si>
  <si>
    <t>Ratio of vehicle trip reduction to VMT</t>
  </si>
  <si>
    <t>F</t>
  </si>
  <si>
    <t>D. Elasticity of VMT with respect to job density</t>
  </si>
  <si>
    <t>Elasticity of VMT with respect to Job density</t>
  </si>
  <si>
    <t>Elasticity of VMT with respect to the ratio of sidewalks-to-streets</t>
  </si>
  <si>
    <t>G</t>
  </si>
  <si>
    <t>H</t>
  </si>
  <si>
    <t>Active transportation adjustment factor</t>
  </si>
  <si>
    <t>Growth factor adjustment for facility type</t>
  </si>
  <si>
    <t>I</t>
  </si>
  <si>
    <t>Annual days of use of new facility</t>
  </si>
  <si>
    <t>Days per year</t>
  </si>
  <si>
    <t>Daily bikeshare trips per person</t>
  </si>
  <si>
    <t>Vehicle to bikeshare substitution rate</t>
  </si>
  <si>
    <t>G. Daily vehicle trips per person</t>
  </si>
  <si>
    <t>Daily vehicle trips per person</t>
  </si>
  <si>
    <t>Percent VMT reduction by carshare members</t>
  </si>
  <si>
    <t>Adjustment factor from vehicle trips to VMT</t>
  </si>
  <si>
    <t>Statewide mode shift factor</t>
  </si>
  <si>
    <t>Elasticity of transit demand with respect to service miles</t>
  </si>
  <si>
    <t>Percent of neighborhood/city transit routes that receive reduced fares</t>
  </si>
  <si>
    <t>Average transit fare without subsidy</t>
  </si>
  <si>
    <t>Subsidy amount</t>
  </si>
  <si>
    <t>Elasticity of transit boardings with respect to transit fare price</t>
  </si>
  <si>
    <t>Percent of transit trips that would otherwise be made in a vehicle</t>
  </si>
  <si>
    <t>Conversion factor of vehicle trips to VMT</t>
  </si>
  <si>
    <t>3C</t>
  </si>
  <si>
    <t>Project residential parking supply</t>
  </si>
  <si>
    <t>households in areas with scarce parking</t>
  </si>
  <si>
    <t>1D-old</t>
  </si>
  <si>
    <t>4H</t>
  </si>
  <si>
    <t>4I</t>
  </si>
  <si>
    <t>Bike mode adjustment factor</t>
  </si>
  <si>
    <t>Existing bicycle mode share for work trips in region</t>
  </si>
  <si>
    <t>Existing vehicle mode share for work trips in region</t>
  </si>
  <si>
    <t>Providing traffic calming measures encourages people to walk or bike instead of using a vehicle. This mode shift will result in a decrease in VMT. Project design will include pedestrian/bicycle safety and traffic calming measures in excess of jurisdiction requirements. Roadways will be designed to reduce motor vehicle speeds and encourage pedestrian and bicycle trips with traffic calming features. Traffic calming features may include: marked crosswalks, count-down signal timers, curb extensions, speed tables, raised crosswalks, raised intersections, median islands, tight corner radii, roundabouts or mini-circles, on-street parking, planter strips with street trees, chicanes/chokers, and others.</t>
  </si>
  <si>
    <t>Would the project provide bike parking?</t>
  </si>
  <si>
    <t>Item</t>
  </si>
  <si>
    <t>Time Stamp</t>
  </si>
  <si>
    <t>Decide how to label and describe each variable in each TDMs column G,H</t>
  </si>
  <si>
    <t>Review all labels in column C</t>
  </si>
  <si>
    <t>tab '2A TOD' C13 change to regionally accurate  description</t>
  </si>
  <si>
    <t>FP</t>
  </si>
  <si>
    <t>MPK</t>
  </si>
  <si>
    <t>Staff Responsible</t>
  </si>
  <si>
    <t>Status</t>
  </si>
  <si>
    <t>New</t>
  </si>
  <si>
    <t>Pending</t>
  </si>
  <si>
    <t>Use VL_TAZ for lookups, preserve old tab 'Data', decide what to do after tool is functional</t>
  </si>
  <si>
    <t>Drew, MPK</t>
  </si>
  <si>
    <t>Drew</t>
  </si>
  <si>
    <t>B. Percentage of units in project that are deed-restricted BMR housing</t>
  </si>
  <si>
    <t>C. Elasticity</t>
  </si>
  <si>
    <t>B. Percentage of streets within project with traffic calming improvements</t>
  </si>
  <si>
    <t>C. Percentage of intersections within project with traffic calming improvements</t>
  </si>
  <si>
    <t>1D, update formula links for revised strategy</t>
  </si>
  <si>
    <t>In Progress</t>
  </si>
  <si>
    <t>T-18.1</t>
  </si>
  <si>
    <t>Calculated Value</t>
  </si>
  <si>
    <t>Source/Reference</t>
  </si>
  <si>
    <t>Average Daily
Traffic (vehicle
trips per day)</t>
  </si>
  <si>
    <t>From (&gt;=)</t>
  </si>
  <si>
    <t>To (&lt;=)</t>
  </si>
  <si>
    <t>One-way
Facility
Length1</t>
  </si>
  <si>
    <t>University Town</t>
  </si>
  <si>
    <t>Population &gt;= 250,000</t>
  </si>
  <si>
    <t>From Project</t>
  </si>
  <si>
    <t>No</t>
  </si>
  <si>
    <t>Yes</t>
  </si>
  <si>
    <t>Match</t>
  </si>
  <si>
    <t>T-18.2</t>
  </si>
  <si>
    <t>Number of Key
Destinations3</t>
  </si>
  <si>
    <t>Credit within ½ Mile of Facility</t>
  </si>
  <si>
    <t>Credit Within ¼ Mile of Facility</t>
  </si>
  <si>
    <t xml:space="preserve"> within ½ Mile of Facility</t>
  </si>
  <si>
    <t xml:space="preserve"> Within ¼ Mile of Facility</t>
  </si>
  <si>
    <t>T-18.3</t>
  </si>
  <si>
    <t>Conversion from Class II to IV</t>
  </si>
  <si>
    <t>New Class I bike path or Class IV bikeway</t>
  </si>
  <si>
    <t>New Class II bike lane</t>
  </si>
  <si>
    <t>T-7.1</t>
  </si>
  <si>
    <t>Urban</t>
  </si>
  <si>
    <t>Reduction in Employee Commute VMT</t>
  </si>
  <si>
    <t>T-8.1</t>
  </si>
  <si>
    <t>T-3.1</t>
  </si>
  <si>
    <t>Mode Share</t>
  </si>
  <si>
    <t>Vehicle</t>
  </si>
  <si>
    <t>Core-Based Statistical Area</t>
  </si>
  <si>
    <t>San Jose-Sunnyvale-Santa Clara</t>
  </si>
  <si>
    <t>San Francisco-Oakland-Hayward</t>
  </si>
  <si>
    <t>San Diego-Carlsbad</t>
  </si>
  <si>
    <t>Sacramento-Roseville-Arden-Arcade</t>
  </si>
  <si>
    <t>Los Angeles-Long Beach-Anaheim</t>
  </si>
  <si>
    <t>Riverside-San Bernardino-Ontario</t>
  </si>
  <si>
    <t>Transit Mode Share of Work Trips</t>
  </si>
  <si>
    <t>T-10.1</t>
  </si>
  <si>
    <t>Vehicle Trip Length (miles)</t>
  </si>
  <si>
    <t>T-9.2</t>
  </si>
  <si>
    <t>T-19.1</t>
  </si>
  <si>
    <t>Bicycle Mode Share</t>
  </si>
  <si>
    <t>Bicycle</t>
  </si>
  <si>
    <t>Trip Length (miles)</t>
  </si>
  <si>
    <t>T-21-A.1</t>
  </si>
  <si>
    <t>T-9.1</t>
  </si>
  <si>
    <t>T-9.3</t>
  </si>
  <si>
    <t>Parking only</t>
  </si>
  <si>
    <t>Parking with showers, bike lockers, and personal lockers</t>
  </si>
  <si>
    <t>1D|2A|4C|5A|5B|5C|5D</t>
  </si>
  <si>
    <t>4C|4D</t>
  </si>
  <si>
    <t>Jurisdiction population &gt;= 250k?</t>
  </si>
  <si>
    <t>Facility Type</t>
  </si>
  <si>
    <t>Type of Facility</t>
  </si>
  <si>
    <t>Tool use variables</t>
  </si>
  <si>
    <t>Placetype</t>
  </si>
  <si>
    <t>Is the jurisdiction a university town?</t>
  </si>
  <si>
    <t>Jurisdiction population</t>
  </si>
  <si>
    <t>Transit mode share in TAZs in jurisdiction NOT close to high quality transit</t>
  </si>
  <si>
    <t>Auto mode share in TAZs in jurisdiction NOT close to high quality transit</t>
  </si>
  <si>
    <t>Suburban center</t>
  </si>
  <si>
    <t>Land use intensity too low for application of VMT tool</t>
  </si>
  <si>
    <t>Low-density suburb</t>
  </si>
  <si>
    <t>TAZ</t>
  </si>
  <si>
    <t>% reduction in employee commute VMT</t>
  </si>
  <si>
    <t>Project TAZ</t>
  </si>
  <si>
    <t>Default % of employees that participate in vanpool program</t>
  </si>
  <si>
    <t>User override of % of employees that participate</t>
  </si>
  <si>
    <t>Default average length of one-way vehicle commute trip in region (miles)</t>
  </si>
  <si>
    <t>Length of one-way vehicle commute trip in region used for calculation</t>
  </si>
  <si>
    <t>Default average length of one-way vanpool commute trip (miles)</t>
  </si>
  <si>
    <t>User override of length of one-way vehicle commute trip in region</t>
  </si>
  <si>
    <t>User override of length of one-way vanpool commute trip</t>
  </si>
  <si>
    <t>Default transit mode share in surrounding city</t>
  </si>
  <si>
    <t>User override of transit mode share in surrounding city</t>
  </si>
  <si>
    <t>existing transit mode share in surrounding city</t>
  </si>
  <si>
    <t>Ratio of transit mode share for TOD area with strategy compared to</t>
  </si>
  <si>
    <t>Default auto mode share in surrounding city</t>
  </si>
  <si>
    <t>User override of auto mode share in surrounding city</t>
  </si>
  <si>
    <t>Use Model</t>
  </si>
  <si>
    <t>Default transit mode share in neighborhood/city</t>
  </si>
  <si>
    <t>User override of transit mode share in neighborhood/city</t>
  </si>
  <si>
    <t>DSL</t>
  </si>
  <si>
    <t>Streamline naming of the columns</t>
  </si>
  <si>
    <t>Default average intersection density (int/sq mi)</t>
  </si>
  <si>
    <t>User override of average intersection density (int/sq mi)</t>
  </si>
  <si>
    <t>Intersection density in project site with strategy (int/sq mi)</t>
  </si>
  <si>
    <t>Elasticity of VMT with respect to intersection density</t>
  </si>
  <si>
    <t>% of units in project that are deed-restricted BMR housing</t>
  </si>
  <si>
    <t>Baseline parking price</t>
  </si>
  <si>
    <t>Proposed parking price</t>
  </si>
  <si>
    <t>% reduction in commute VMT from implementation of strategy</t>
  </si>
  <si>
    <t>% of project VMT generated by residents</t>
  </si>
  <si>
    <t>% of household VMT that is commute based</t>
  </si>
  <si>
    <t xml:space="preserve">% reduction in commute mode share by driving among </t>
  </si>
  <si>
    <t>Existing street length in study area (miles)</t>
  </si>
  <si>
    <t>Existing sidewalk length in study area (miles)</t>
  </si>
  <si>
    <t>Sidewalk length in study area with strategy (miles)</t>
  </si>
  <si>
    <t>Default bicycle mode share in neighborhood/city</t>
  </si>
  <si>
    <t>User override of bicycle mode share in neighborhood/city</t>
  </si>
  <si>
    <t>Bicycle mode share used for calculation</t>
  </si>
  <si>
    <t>Default vehicle mode share in neighborhood/city</t>
  </si>
  <si>
    <t>User override of vehicle mode share in neighborhood/city</t>
  </si>
  <si>
    <t>Vehicle mode share used for calculation</t>
  </si>
  <si>
    <t>Are any of the current or proposed bikeways in neighborhood/city classified as Class III?</t>
  </si>
  <si>
    <t>Existing bikeway miles (only Class I, II, and IV) in neighborhood/city</t>
  </si>
  <si>
    <t>Bikeway miles (only Class, I, II, and IV) in neighborhood/city with strategy</t>
  </si>
  <si>
    <t>User override of one-way bicycle trip length in neighborhood/city (miles)</t>
  </si>
  <si>
    <t>Default average one-way bicycle trip length in neighborhood/city (miles)</t>
  </si>
  <si>
    <t>One-way bicycle trip length used for calculation (miles)</t>
  </si>
  <si>
    <t>Default average one-way vehicle trip length in neighborhood/city (miles)</t>
  </si>
  <si>
    <t>User override of one-way vehicle trip length in neighborhood/city (miles)</t>
  </si>
  <si>
    <t>Elasticity of bike commuters with respect to bikeway miles per 10,000 population</t>
  </si>
  <si>
    <t>One-way vehicle trip length in neighborhood/city used for calculation (miles)</t>
  </si>
  <si>
    <t>% of neighborhood/city VMT on parallel roadway</t>
  </si>
  <si>
    <t>One-way bicycle facility length (miles)</t>
  </si>
  <si>
    <t>Number of key destinations within 1/4 mile of bicycle facility</t>
  </si>
  <si>
    <t>Number of key destinations between 1/4 and 1/2 mile from bicycle facility</t>
  </si>
  <si>
    <t>Bicycle facility type</t>
  </si>
  <si>
    <t>Credit for activity centers near project</t>
  </si>
  <si>
    <t>% of residences in neighborhood/city with access to bikeshare system without strategy</t>
  </si>
  <si>
    <t>% of residences in neighborhood/city with access to bikeshare system with strategy</t>
  </si>
  <si>
    <t>Households in neighborhood/city targeted with CBTP</t>
  </si>
  <si>
    <t>Households in neighborhood/city</t>
  </si>
  <si>
    <t>% vehicle trip reduction by participating residences</t>
  </si>
  <si>
    <t>Default bicycle mode share for work trips in region</t>
  </si>
  <si>
    <t>User override of bicycle mode share for work trips in region</t>
  </si>
  <si>
    <t>Bicycle mode share for work trips used for calculation</t>
  </si>
  <si>
    <t>Default vehicle mode share for work trips in region</t>
  </si>
  <si>
    <t>User override of vehicle mode share for work trips in region</t>
  </si>
  <si>
    <t>Vehicle mode share for work trips used for calculation</t>
  </si>
  <si>
    <t>Total transit service miles in neighborhood/city before expansion</t>
  </si>
  <si>
    <t>Total transit service miles in neighborhood/city after expansion</t>
  </si>
  <si>
    <t>Level of implementation</t>
  </si>
  <si>
    <t>Elasticity of transit ridership with respect to frequency of service</t>
  </si>
  <si>
    <t>% of neighborhood/city transit routes that receive treatments</t>
  </si>
  <si>
    <t>% of neighborhood/city covered by new microtransit service</t>
  </si>
  <si>
    <t>Default average length of one-way microtransit trip (miles)</t>
  </si>
  <si>
    <t>all</t>
  </si>
  <si>
    <t>Should we update TDM 1C, 3B with new description and source from Capcoa 2021? Yes</t>
  </si>
  <si>
    <t>Done</t>
  </si>
  <si>
    <t>Strategies with conflicts</t>
  </si>
  <si>
    <t>Final Reduction by Type</t>
  </si>
  <si>
    <t>Remaining VMT</t>
  </si>
  <si>
    <t>TDM ID</t>
  </si>
  <si>
    <t>Remove/disable "Selected scale is X, strategy does not apply" cells on each sheet</t>
  </si>
  <si>
    <t>Carefully review math for 1D</t>
  </si>
  <si>
    <t>Should TDM always only reduce and not increase VMT?</t>
  </si>
  <si>
    <t>JM</t>
  </si>
  <si>
    <t>Reduction Cap by Type</t>
  </si>
  <si>
    <t>TDM Strategy Results</t>
  </si>
  <si>
    <t>Strategy Type</t>
  </si>
  <si>
    <t>Strategy Name</t>
  </si>
  <si>
    <t xml:space="preserve">(1). Cambridge Systematics. 2009. "Moving Cooler: An Analysis of Transportation Strategies for Reducing Greenhouse Gas Emissions." Technical Appendices. Prepared for the Urban Land Institute. www.reconnectingamerica.org/assets/Uploads/2009movingcoolerexecsumandappend.pdf
(2). California Air Pollution Control Officers Association. 2010. "Quantifying Greenhouse Gas Mitigation Measures." www.capcoa.org/wp-content/uploads/2010/11/CAPCOA-Quantification-Report-9-14-Final.pdf </t>
  </si>
  <si>
    <t>Review all source reference in each TDM tabs individually</t>
  </si>
  <si>
    <t>Resolve all yellow highlight assumptions on lower/upper limits of TDM variables carried over from SANDAG</t>
  </si>
  <si>
    <t>1D1</t>
  </si>
  <si>
    <t>1D2</t>
  </si>
  <si>
    <t>Implement Subsidized or Discounted Transit Program - All</t>
  </si>
  <si>
    <t>Implement Subsidized or Discounted Transit Program - No Emp</t>
  </si>
  <si>
    <t>Clicking on link and open in Chrome does not work all the time</t>
  </si>
  <si>
    <t>Conflict Calculation with status taken into account</t>
  </si>
  <si>
    <t>Total</t>
  </si>
  <si>
    <t>Conflict Text for each TDM</t>
  </si>
  <si>
    <t>Full conflict text</t>
  </si>
  <si>
    <t xml:space="preserve"> </t>
  </si>
  <si>
    <t>On Main tab, Overview section, it currently shows link to SANDAG tool webpage; will need to link to wherever Alameda CTC puts this tool on their webpage</t>
  </si>
  <si>
    <t>JKM</t>
  </si>
  <si>
    <t>On Main tab, Instructions section, remove reference to city of San Diego</t>
  </si>
  <si>
    <t>Main tab, Project Information; I can't enter a TAZ number, it tells me to select a city name from the drop down menu</t>
  </si>
  <si>
    <t>Strategy 4I; where is it getting values for bike trip length, mode share, etc? When I toggle back and forth between bike parking only and bike parking plus showers and lockers, those values constantly change with seemingly no consistent pattern.</t>
  </si>
  <si>
    <t>NEAR_BART</t>
  </si>
  <si>
    <t>RAW</t>
  </si>
  <si>
    <t>Implement Subsidized or Discounted Transit Program (for Employees)</t>
  </si>
  <si>
    <t>Implement Subsidized or Discounted Transit Program (for Residents)</t>
  </si>
  <si>
    <t>Percent of project-generated VMT from residents</t>
  </si>
  <si>
    <t>Percent of residents eligible for subsidy</t>
  </si>
  <si>
    <t>Percent of employees eligible for subsidy</t>
  </si>
  <si>
    <t>Transit mode share of work trips used for calculation</t>
  </si>
  <si>
    <t>Analysis Location (TAZ # from website):</t>
  </si>
  <si>
    <t>Jurisdiction (auto calculated from TAZ #):</t>
  </si>
  <si>
    <t>Add a FAQ about low-intensity land use areas; refer to that in Main!C52</t>
  </si>
  <si>
    <r>
      <rPr>
        <b/>
        <sz val="11"/>
        <color theme="1"/>
        <rFont val="Calibri"/>
        <family val="2"/>
        <scheme val="minor"/>
      </rPr>
      <t>1.</t>
    </r>
    <r>
      <rPr>
        <sz val="11"/>
        <color theme="1"/>
        <rFont val="Calibri"/>
        <family val="2"/>
        <scheme val="minor"/>
      </rPr>
      <t xml:space="preserve"> Enter project name, address, and type below.</t>
    </r>
  </si>
  <si>
    <t xml:space="preserve">Each strategy page requires the user to input data into cells to estimate the percent VMT reduction. </t>
  </si>
  <si>
    <t>of interest by selecting the strategy name. The hyperlink will take the user to that strategy page.</t>
  </si>
  <si>
    <r>
      <rPr>
        <b/>
        <sz val="11"/>
        <color theme="1"/>
        <rFont val="Calibri"/>
        <family val="2"/>
        <scheme val="minor"/>
      </rPr>
      <t xml:space="preserve">3. </t>
    </r>
    <r>
      <rPr>
        <sz val="11"/>
        <color theme="1"/>
        <rFont val="Calibri"/>
        <family val="2"/>
        <scheme val="minor"/>
      </rPr>
      <t>Numerous mobility management strategies are available for consideration. Click on a strategy</t>
    </r>
  </si>
  <si>
    <r>
      <t xml:space="preserve">See the </t>
    </r>
    <r>
      <rPr>
        <b/>
        <sz val="11"/>
        <color theme="1"/>
        <rFont val="Calibri"/>
        <family val="2"/>
        <scheme val="minor"/>
      </rPr>
      <t>Legend</t>
    </r>
    <r>
      <rPr>
        <sz val="11"/>
        <color theme="1"/>
        <rFont val="Calibri"/>
        <family val="2"/>
        <scheme val="minor"/>
      </rPr>
      <t xml:space="preserve"> for a display of the different cell styles present in the strategy pages.</t>
    </r>
  </si>
  <si>
    <r>
      <rPr>
        <b/>
        <sz val="11"/>
        <color theme="1"/>
        <rFont val="Calibri"/>
        <family val="2"/>
        <scheme val="minor"/>
      </rPr>
      <t>4.</t>
    </r>
    <r>
      <rPr>
        <sz val="11"/>
        <color theme="1"/>
        <rFont val="Calibri"/>
        <family val="2"/>
        <scheme val="minor"/>
      </rPr>
      <t xml:space="preserve"> Using hyperlinks, the user can navigate to the Results page to see the individual strategy and</t>
    </r>
  </si>
  <si>
    <t>cumulative results.</t>
  </si>
  <si>
    <r>
      <rPr>
        <b/>
        <sz val="11"/>
        <color theme="1"/>
        <rFont val="Calibri"/>
        <family val="2"/>
        <scheme val="minor"/>
      </rPr>
      <t>6.</t>
    </r>
    <r>
      <rPr>
        <sz val="11"/>
        <color theme="1"/>
        <rFont val="Calibri"/>
        <family val="2"/>
        <scheme val="minor"/>
      </rPr>
      <t xml:space="preserve"> Once the user has reviewed the individual strategy and cumulative results on the Results page,</t>
    </r>
  </si>
  <si>
    <t>print the Results page for a summary of project information, percent VMT reduction, and literature</t>
  </si>
  <si>
    <t>citations for all calculations.</t>
  </si>
  <si>
    <r>
      <rPr>
        <b/>
        <sz val="11"/>
        <color theme="1"/>
        <rFont val="Calibri"/>
        <family val="2"/>
        <scheme val="minor"/>
      </rPr>
      <t>5.</t>
    </r>
    <r>
      <rPr>
        <sz val="11"/>
        <color theme="1"/>
        <rFont val="Calibri"/>
        <family val="2"/>
        <scheme val="minor"/>
      </rPr>
      <t xml:space="preserve"> Additional strategies can be selected, and the Results page will reflect the combined impact of</t>
    </r>
  </si>
  <si>
    <t>multiple strategies. If the user does not want to include a strategy with the cumulative results, click</t>
  </si>
  <si>
    <r>
      <t xml:space="preserve">"Exclude from Results" on the strategy page (see </t>
    </r>
    <r>
      <rPr>
        <b/>
        <sz val="11"/>
        <color theme="1"/>
        <rFont val="Calibri"/>
        <family val="2"/>
        <scheme val="minor"/>
      </rPr>
      <t>Legend</t>
    </r>
    <r>
      <rPr>
        <sz val="11"/>
        <color theme="1"/>
        <rFont val="Calibri"/>
        <family val="2"/>
        <scheme val="minor"/>
      </rPr>
      <t>).</t>
    </r>
  </si>
  <si>
    <t>I replaced the link with https://www.alamedactc.org/planning/congestion-management-program/ for now</t>
  </si>
  <si>
    <t>(e.g., BART, ACE, Capitol Corridor)?</t>
  </si>
  <si>
    <t>we almost certainly want to delete tab 'Data' and point at tab VL_REF instead</t>
  </si>
  <si>
    <t>TW/DSL</t>
  </si>
  <si>
    <t>Will do on Monday</t>
  </si>
  <si>
    <t>Update FAQ</t>
  </si>
  <si>
    <t>Update list of TDM strategies in "Main"</t>
  </si>
  <si>
    <t>Remove "Use Capcoa 2021" options?</t>
  </si>
  <si>
    <t>MK</t>
  </si>
  <si>
    <t>many of these are keyed off of the FAQ so holding until that is in place</t>
  </si>
  <si>
    <t>Neighborhood/City</t>
  </si>
  <si>
    <t>[Neighborhood/City] transit mode share (all trips)</t>
  </si>
  <si>
    <t>[Neighborhood/City] bicycle mode share (all trips)</t>
  </si>
  <si>
    <t>[Neighborhood/City] auto mode share (all trips)</t>
  </si>
  <si>
    <t>[Neighborhood/City] intersection density (int/sq mi)</t>
  </si>
  <si>
    <t>Households in [Neighborhood/City]</t>
  </si>
  <si>
    <t>2C</t>
  </si>
  <si>
    <t>All neighborhood/city trips</t>
  </si>
  <si>
    <t>Rename [City/CPA] text to ? Neighborhood/city</t>
  </si>
  <si>
    <t>% change in bus network coverage is capped at 100%.</t>
  </si>
  <si>
    <t>User override of transit mode share of work trips</t>
  </si>
  <si>
    <t>Default transit mode share of work trips</t>
  </si>
  <si>
    <t>Transit mode share in neighborhood/city used for calculation</t>
  </si>
  <si>
    <t>User override of job density of typical development</t>
  </si>
  <si>
    <t>Main</t>
  </si>
  <si>
    <t>Project Type List</t>
  </si>
  <si>
    <t>Do at end so can be easily reverted if necessary</t>
  </si>
  <si>
    <t>Get junior staff to add numbering to sources and key references to source numbers</t>
  </si>
  <si>
    <t>Column C of which sheet??</t>
  </si>
  <si>
    <t>Review all embedded notes to comply with revised TDM</t>
  </si>
  <si>
    <t>It is sometimes possible for strategy inputs to result in an increase in VMT. However, in practice this is very unlikely to occur, and even less likely for an analyst to leave enabled a strategy that INCREASES VMT!</t>
  </si>
  <si>
    <t>Waiting for FAQ updates from TW</t>
  </si>
  <si>
    <t>Implement lockout/conflict logic</t>
  </si>
  <si>
    <t>MK/DSL</t>
  </si>
  <si>
    <t>4C | 4D</t>
  </si>
  <si>
    <t>Bikeway Classification</t>
  </si>
  <si>
    <t>Multi-strategy</t>
  </si>
  <si>
    <t>Yes/No</t>
  </si>
  <si>
    <t>Update link to Caltrans bikeway classification doc (4C)</t>
  </si>
  <si>
    <t>I can't readily find a good new link</t>
  </si>
  <si>
    <t>Update all data validation logic to point at VL_REF instead of Data</t>
  </si>
  <si>
    <t>Days telecommuting</t>
  </si>
  <si>
    <t>1D1 | 1D2 | 5D | 3A (partial)</t>
  </si>
  <si>
    <t>List of Fare/Parking Pricing Units</t>
  </si>
  <si>
    <t>Residential density of project development (dwelling units per acre)</t>
  </si>
  <si>
    <t>User override of residential density of typical development</t>
  </si>
  <si>
    <t>Job density of project development (jobs per acre)</t>
  </si>
  <si>
    <t>% BMR capped at 30%</t>
  </si>
  <si>
    <t>% increase in parking price is capped at 50%</t>
  </si>
  <si>
    <t>Replace references to "Measures" with references to "Strategies" in TDM descriptions</t>
  </si>
  <si>
    <t>Residential parking demand (# of spaces)</t>
  </si>
  <si>
    <t>ALAMEDA CTC VMT REDUCTION CALCULATOR TOOL</t>
  </si>
  <si>
    <t>Conflict</t>
  </si>
  <si>
    <t>Residential density of typical development (dwelling units per acre)</t>
  </si>
  <si>
    <t>Job density of typical development (jobs per acre)</t>
  </si>
  <si>
    <t>Conflict Detail Description</t>
  </si>
  <si>
    <t>Source:</t>
  </si>
  <si>
    <t>Alameda CTC Model</t>
  </si>
  <si>
    <t>EPA EnviroAtlas</t>
  </si>
  <si>
    <t>Wikipedia</t>
  </si>
  <si>
    <t>How to Resolve Conflicts Among VMT Reduction Strategies</t>
  </si>
  <si>
    <t>% change in bikeway miles is capped at 1000%.</t>
  </si>
  <si>
    <t>(1)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t>
  </si>
  <si>
    <t>user input, source (1)</t>
  </si>
  <si>
    <t>coefficient, source (1)</t>
  </si>
  <si>
    <t>(1) Nelson/Nygaard Consulting Associates. 2015. Genentech – South San Francisco Campus TDM and Parking Report. June. Available: http://ci-ssfca. granicus.com/MetaViewer.php?view_id=2&amp;clip_id=859&amp;meta_id=62028. Accessed: January 2021.</t>
  </si>
  <si>
    <t>(1) San Diego Association of Governments (SANDAG). 2019. Mobility Management VMT Reduction
Calculator Tool – Design Document. June. Available:
https://www.icommutesd.com/docs/default-source/planning/tool-design-document_final_7-
17-19.pdf?sfvrsn=ec39eb3b_2. Accessed: January 2021.</t>
  </si>
  <si>
    <t>(1)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t>
  </si>
  <si>
    <t>constant, source (4)</t>
  </si>
  <si>
    <t>(1)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t>
  </si>
  <si>
    <t>If the user override of vanpool participation rate exceeds maximum of 15%, the default value will be used, source (1, 2)</t>
  </si>
  <si>
    <t>(1)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t>
  </si>
  <si>
    <t>(1)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t>
  </si>
  <si>
    <t>(1) Shoup, D. 2005. Parking Cash Out. Planners Advisory Service, American Planning Association. Available: http://shoup.bol.ucla.edu/ParkingCashOut.pdf. Accessed: January 2021.</t>
  </si>
  <si>
    <t>(1)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t>
  </si>
  <si>
    <t>(1)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t>
  </si>
  <si>
    <t>(1)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t>
  </si>
  <si>
    <t>coefficient, source (3)</t>
  </si>
  <si>
    <t>coefficient, source (5)</t>
  </si>
  <si>
    <t>(1)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t>
  </si>
  <si>
    <t>(1) Metropolitan Transportation Commission (MTC). 2021. Plan Bay Area 2050, Supplemental Report. (forthcoming)</t>
  </si>
  <si>
    <t>(1)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t>
  </si>
  <si>
    <t>(1)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t>
  </si>
  <si>
    <t>(1)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t>
  </si>
  <si>
    <t>(1)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t>
  </si>
  <si>
    <t>(1)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t>
  </si>
  <si>
    <t>constant, source (2, 3, 4)</t>
  </si>
  <si>
    <t>3D</t>
  </si>
  <si>
    <t>Strategies that discourage auto travel by modifying the price or supply of parking</t>
  </si>
  <si>
    <t>Alameda CTC model</t>
  </si>
  <si>
    <t>This strategy will implement an employer-sponsored vanpool service. Vanpooling is a flexible form of public transportation that provides groups of 5 to 15 people with a cost-effective and convenient rideshare option for commuting. The mode shift from long-distance, single-occupied vehicles to shared vehicles reduces overall commute VMT, thereby reducing GHG emissions. When implementing a vanpool service, best practice is to subsidize the cost for employees that have a similar origin and destination and provide priority parking for employees that vanpool.</t>
  </si>
  <si>
    <t>This strategy accounts for the VMT reduction achieved by a project that is designed with a higher density of jobs compared to the average job density in the United States. Increased densities affect the distance people travel and provide greater options for the mode of travel they choose. Increasing job density results in shorter and fewer trips by single occupancy vehicles and thus a reduction in GHG emissions.</t>
  </si>
  <si>
    <t xml:space="preserve">(1) Lehner, S., Stefanie, P. 2019. The Price Elasticity of Parking: A Meta-analysis. Transportation Research Part A: Policy and Practice 121 2019. Available: http://sustainabletransportationsc.org/garage/pdf/parking_elasticity.pdf. Accessed: January 2021. </t>
  </si>
  <si>
    <t>This strategy will require project employers to offer employee parking cash-out. Cash-out is when employers provide employees with a choice of forgoing their current subsidized/free parking for a cash payment equivalent that is equal to or greater than the cost of the parking space. This encourages employees to use other modes of travel instead of single occupancy vehicles. This mode shift results in people driving less and thereby reduces VMT and GHG emissions.</t>
  </si>
  <si>
    <t>This strategy accounts for the VMT reduction achieved by a project that is designed with a higher density of intersections compared to the average intersection density in the United States. Increased intersection density is a proxy for street connectivity improvements, which help to facilitate a greater number of shorter trips and thus a reduction in GHG emissions. Example projects that increase intersection density would be building a new street network in a subdivision or retrofitting an existing street network to improve connectivity (e.g., converting cul-de-sacs to grid streets).</t>
  </si>
  <si>
    <t>This strategy will increase the sidewalk coverage to improve pedestrian access. Providing sidewalks and an enhanced pedestrian network encourages people to walk instead of drive. This mode shift results in a reduction in VMT and GHG emissions. When improving sidewalks, a best practice is to ensure they are contiguous and link externally with existing and planned pedestrian facilities. Barriers to pedestrian access and interconnectivity, such as walls, landscaping buffers, and slopes, should be minimized. The strategy is based on the share of vehicle trips which could easily shift to walking - on average, approximately 21.4 percent of vehicle trips are 1 mile or less (3).</t>
  </si>
  <si>
    <t>This strategy will increase the length of a city or neighborhood bikeway network. A bicycle network is an interconnected system of bike lanes, bike paths, and cycle tracks. Providing bicycle infrastructure with markings and signage helps to improve biking conditions (e.g., safety and convenience). In addition, expanded bikeway networks can increase access to and from transit hubs, thereby expanding the “catchment area” of the transit stop or station and increasing ridership. This encourages a mode shift from vehicles to bicycles, displacing VMT and thus reducing GHG emissions. When expanding a bicycle network, a best practice is to consider local or state bike lane width standards.</t>
  </si>
  <si>
    <t>(1)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t>
  </si>
  <si>
    <t>This strategy will construct or improve a single bicycle lane facility that connects to a larger existing bikeway network. Providing bicycle infrastructure helps to improve biking conditions within an area. This encourages a mode shift on the roadway parallel to the bicycle facility from vehicles to bicycles, displacing VMT and thus reducing GHG emissions. When constructing or improving a bicycle facility, a best practice is to consider local or state bike lane width standards.</t>
  </si>
  <si>
    <t>This strategy will increase carshare access in the user’s neighborhood/city by deploying carshare vehicles. Carsharing offers people convenient access to a vehicle for personal or commuting purposes. This helps encourage transportation alternatives by reducing vehicle ownership, thereby avoiding VMT and associated GHG emissions. When implementing a carshare program, best practice is to discount carshare membership and provide priority parking for carshare vehicles to encourage use of the service.</t>
  </si>
  <si>
    <t>This strategy will target residences in the neighborhood/city with community-based travel planning (CBTP). CBTP is a residential-based approach to outreach that provides households with customized information, incentives, and support to encourage the use of transportation alternatives in place of single occupancy vehicles, thereby reducing VMT and associated GHG emissions. CBTP involves teams of trained travel advisors visiting all households within a targeted geographic area, having tailored conversations about residents’ travel needs, and educating residents about the various transportation options available to them. Due to the personalized outreach method, communities are typically targeted in phases.</t>
  </si>
  <si>
    <t>This strategy will install and maintain end-of-trip facilities for employee use. End-of-trip facilities include bike parking, bike lockers, showers, and personal lockers. The provision of secure bike parking and related facilities encourages commuting by bicycle, thereby reducing VMT and GHG emissions.</t>
  </si>
  <si>
    <t>This strategy will expand the local transit network by adding or modifying existing transit service to enhance the service near the project site. This will encourage the use of transit and therefore reduce VMT and associated GHG emissions. 
There are two primary means of expanding the transit network: by increasing the frequency of service, thereby reducing average wait times and increasing convenience, or by expanding new service to cover areas previously outside the network’s service area. This strategy is focused on providing additional transit network coverage, with no changes to transit frequency. Coverage can also be applied to extending hours of service. Strategy 5B is focused on increasing transit service frequency.</t>
  </si>
  <si>
    <t>This strategy will increase transit frequency on one or more transit lines serving the neighborhood/city. Increased transit frequency reduces waiting and overall travel times, which improves the user experience and increases the attractiveness of transit service. This results in a mode shift from single occupancy vehicles to transit, which reduces VMT and associated GHG emissions.</t>
  </si>
  <si>
    <t>This strategy will implement transit-supportive treatments on the transit routes serving the neighborhood/city. Transit-supportive treatments incorporate a mix of roadway infrastructure improvements and/or traffic signal modifications to improve transit travel times and reliability. This results in a mode shift from single occupancy vehicles to transit, which reduces VMT and the associated GHG emissions. Treatments can include transit signal priority, bus-only signal phases, queue jumps, curb extensions to speed passenger loading, and dedicated bus lanes.</t>
  </si>
  <si>
    <t>This strategy will reduce transit fares on the transit lines serving the neighborhood/city. A reduction in transit fares creates incentives to shift travel to transit from single occupancy vehicles and other traveling modes, which reduces VMT and associated GHG emissions. Transit fare reductions can be implemented systemwide or in specific fare-free or reduced-fare zones. 
This strategy differs from Strategy 1D1, which can be offered through employer-based benefits programs in which the employer fully or partially pays the employee’s cost of transit.</t>
  </si>
  <si>
    <t>This strategy accounts for the VMT reduction achieved by a project that is designed with a higher density of dwelling units (du) compared to the average residential density in the United States. Increased densities affect the distance people travel and provide greater options for the mode of travel they choose. Increasing residential density results in shorter and fewer trips by single occupancy vehicles and thus a reduction in GHG emissions.
Projects with a residential density greater than 9.1 dwelling units per acre will see VMT reductions due to this strategy.</t>
  </si>
  <si>
    <r>
      <rPr>
        <b/>
        <sz val="11"/>
        <color theme="1"/>
        <rFont val="Calibri"/>
        <family val="2"/>
        <scheme val="minor"/>
      </rPr>
      <t xml:space="preserve">4. How do I see if the strategy reduces VMT?
</t>
    </r>
    <r>
      <rPr>
        <sz val="11"/>
        <rFont val="Calibri"/>
        <family val="2"/>
        <scheme val="minor"/>
      </rPr>
      <t>Each strategy page has a row labeled "Change in VMT." A negative value in this row indicates a reduction in VMT; a positive value indicates an increase in VMT (denoted with a red outline of the cell).</t>
    </r>
    <r>
      <rPr>
        <sz val="11"/>
        <color theme="1"/>
        <rFont val="Calibri"/>
        <family val="2"/>
        <scheme val="minor"/>
      </rPr>
      <t xml:space="preserve"> Most measures will never result in an increase in VMT. If a measure does not apply, or does not create a reduction, there will be a value of either "0%" or no value in the cell.</t>
    </r>
  </si>
  <si>
    <r>
      <rPr>
        <b/>
        <sz val="11"/>
        <color theme="1"/>
        <rFont val="Calibri"/>
        <family val="2"/>
        <scheme val="minor"/>
      </rPr>
      <t xml:space="preserve">6. How do I select VMT reduction strategies?
</t>
    </r>
    <r>
      <rPr>
        <sz val="11"/>
        <rFont val="Calibri"/>
        <family val="2"/>
        <scheme val="minor"/>
      </rPr>
      <t>From the Main page or the Results page, the user can click on a strategy hyperlink of interest. On the strategy page, entering input values in all of the orange-colored cells will activate that strategy. If the user does not want the VMT reduction results of a given strategy to be included in the summary results, either delete the strategy page inputs in the orange-colored cells or click "Exclude from results" on the strategy page.</t>
    </r>
  </si>
  <si>
    <r>
      <rPr>
        <b/>
        <sz val="11"/>
        <color theme="1"/>
        <rFont val="Calibri"/>
        <family val="2"/>
        <scheme val="minor"/>
      </rPr>
      <t>7. Where can I learn more about how the reductions are calculated?</t>
    </r>
    <r>
      <rPr>
        <sz val="11"/>
        <color theme="1"/>
        <rFont val="Calibri"/>
        <family val="2"/>
        <scheme val="minor"/>
      </rPr>
      <t xml:space="preserve">
</t>
    </r>
    <r>
      <rPr>
        <sz val="11"/>
        <rFont val="Calibri"/>
        <family val="2"/>
        <scheme val="minor"/>
      </rPr>
      <t>Each strategy page lists the references that were used to develop the VMT reduction estimates. Users can also review the VMT Tool Design Document that serves as a companion resource to this tool for more information.</t>
    </r>
  </si>
  <si>
    <r>
      <rPr>
        <b/>
        <sz val="11"/>
        <color theme="1"/>
        <rFont val="Calibri"/>
        <family val="2"/>
        <scheme val="minor"/>
      </rPr>
      <t xml:space="preserve">8. How is the total percent change in VMT adjusted when I select multiple strategies?
</t>
    </r>
    <r>
      <rPr>
        <sz val="11"/>
        <rFont val="Calibri"/>
        <family val="2"/>
        <scheme val="minor"/>
      </rPr>
      <t xml:space="preserve">If only one strategy is selected, the user will see on the Results page (a) the percent change in VMT associated with that strategy, and (b) the total percent change in VMT (total) from all strategies. In this case, the values are the same. If more than one strategy is selected, the tool applies each reduction only to the remaining VMT after all previous reductions to adjust the sum of VMT reduction. This accounts for the diminished percent change in VMT that a strategy will have if other strategies are also selected. The total is calculated with the following formula:
</t>
    </r>
    <r>
      <rPr>
        <b/>
        <sz val="11"/>
        <rFont val="Calibri"/>
        <family val="2"/>
        <scheme val="minor"/>
      </rPr>
      <t xml:space="preserve">Total </t>
    </r>
    <r>
      <rPr>
        <sz val="11"/>
        <rFont val="Calibri"/>
        <family val="2"/>
        <scheme val="minor"/>
      </rPr>
      <t>= {[100% - (Strategy A % change in VMT)] * [100% - (Strategy B % change in VMT)] * ... * [100% - (Strategy Z % change in VMT)]} - 100%
In general, this process can be summarized through the following observation: two 50% reductions will not, when combined, result in a 100% reduction. Instead, they will result in a 75% reduction: the first reduces trips/VMT by 50%, and the second reduces by another 50%, for a total of 25% of the original total VMT.</t>
    </r>
    <r>
      <rPr>
        <sz val="11"/>
        <color theme="1"/>
        <rFont val="Calibri"/>
        <family val="2"/>
        <scheme val="minor"/>
      </rPr>
      <t xml:space="preserve"> This reflects that strategies will only target individuals who have not yet "changed" their behavior.</t>
    </r>
  </si>
  <si>
    <r>
      <rPr>
        <b/>
        <sz val="11"/>
        <color theme="1"/>
        <rFont val="Calibri"/>
        <family val="2"/>
        <scheme val="minor"/>
      </rPr>
      <t>13. How is the maximum VMT reduction calculated for each strategy?</t>
    </r>
    <r>
      <rPr>
        <sz val="11"/>
        <color theme="1"/>
        <rFont val="Calibri"/>
        <family val="2"/>
        <scheme val="minor"/>
      </rPr>
      <t xml:space="preserve">
On each strategy page below the "Type of VMT affected," the "Max VMT reduction" is listed. Sometimes a strategy's maximum VMT reduction is dependent only on user inputs, other times it is capped at a certain percentage, and other times it is based on regional parameters (e.g. mode share) specific to each TAZ or city. Furthermore, the max VMT reduction can also be changed by optional user inputs that override default data. The max VMT reduction listed on each strategy page is meant to provide the user with a general estimate of the reduction potential for each strategy. The values listed were derived from the tool using dense, urban TAZs as the analysis location with all default data. The user may achieve a max VMT reduction that is different than the max VMT reduction listed based on the differences in regional parameters of the selected project site and any additional user overrides.
</t>
    </r>
  </si>
  <si>
    <t>standard assumption</t>
  </si>
  <si>
    <r>
      <rPr>
        <b/>
        <i/>
        <sz val="11"/>
        <color theme="1"/>
        <rFont val="Calibri"/>
        <family val="2"/>
        <scheme val="minor"/>
      </rPr>
      <t>What are conflicts among VMT reduction strategies?</t>
    </r>
    <r>
      <rPr>
        <sz val="11"/>
        <color theme="1"/>
        <rFont val="Calibri"/>
        <family val="2"/>
        <scheme val="minor"/>
      </rPr>
      <t xml:space="preserve">
Certain VMT reduction strategies conflict with one another. For example, a project may not have both a mandatory AND a voluntary commute trip reduction program: such a program must be either mandatory or voluntary, but not both. 
</t>
    </r>
    <r>
      <rPr>
        <b/>
        <i/>
        <sz val="11"/>
        <color theme="1"/>
        <rFont val="Calibri"/>
        <family val="2"/>
        <scheme val="minor"/>
      </rPr>
      <t>How can I resolve conflicts?</t>
    </r>
    <r>
      <rPr>
        <sz val="11"/>
        <color theme="1"/>
        <rFont val="Calibri"/>
        <family val="2"/>
        <scheme val="minor"/>
      </rPr>
      <t xml:space="preserve">
If a conflict occurs, the VMT reductions associated with both conflicting strategies will be omitted from the results until the conflict is resolved. The below cell displays all active conflicts among strategies currently in use. To resolve the conflict(s), simply exclude one conflicting strategy's effect from the results, using the "Exclude from Results" check-box on each strategy's worksheet.
</t>
    </r>
    <r>
      <rPr>
        <b/>
        <i/>
        <sz val="11"/>
        <color theme="1"/>
        <rFont val="Calibri"/>
        <family val="2"/>
        <scheme val="minor"/>
      </rPr>
      <t>What happens once I resolve conflicts?</t>
    </r>
    <r>
      <rPr>
        <sz val="11"/>
        <color theme="1"/>
        <rFont val="Calibri"/>
        <family val="2"/>
        <scheme val="minor"/>
      </rPr>
      <t xml:space="preserve">
Once the conflict(s) are resolved, the strategies' effects will be included in the Results tab. For informational purposes, the VMT effects of excluded strategies are shown in light gray on the Results tab, but are not included in the calculation of total reductions for each VMT category.</t>
    </r>
  </si>
  <si>
    <t>calculated, source (4)</t>
  </si>
  <si>
    <t>% change in transit fare is capped at 50% (3).</t>
  </si>
  <si>
    <t>The % change in transit frequency (arrivals per hour) is capped between -75% and 300% (4).</t>
  </si>
  <si>
    <t>calculated, source (3)</t>
  </si>
  <si>
    <r>
      <rPr>
        <b/>
        <sz val="11"/>
        <color theme="1"/>
        <rFont val="Calibri"/>
        <family val="2"/>
        <scheme val="minor"/>
      </rPr>
      <t>5. What is the source for the VMT reduction strategies included in the tool?</t>
    </r>
    <r>
      <rPr>
        <sz val="11"/>
        <color theme="1"/>
        <rFont val="Calibri"/>
        <family val="2"/>
        <scheme val="minor"/>
      </rPr>
      <t xml:space="preserve">
</t>
    </r>
    <r>
      <rPr>
        <sz val="11"/>
        <rFont val="Calibri"/>
        <family val="2"/>
        <scheme val="minor"/>
      </rPr>
      <t>The strategies are listed on the Main page of this tool. Generally, these strategies are modeled after those included in the 2010 CAPCOA Guide to Mitigating Greenhouse Gas Emissions. However, the tool does not include all strategies listed in CAPCOA; several have been removed as they are not particularly relevant to development, or have limited supporting evidence for their methodologies.</t>
    </r>
    <r>
      <rPr>
        <sz val="11"/>
        <color theme="1"/>
        <rFont val="Calibri"/>
        <family val="2"/>
        <scheme val="minor"/>
      </rPr>
      <t xml:space="preserve"> In addition, methodologies for individual measures have been updated based on sources detailed in each individual strategy tab.</t>
    </r>
  </si>
  <si>
    <r>
      <rPr>
        <b/>
        <sz val="11"/>
        <color theme="1"/>
        <rFont val="Calibri"/>
        <family val="2"/>
        <scheme val="minor"/>
      </rPr>
      <t>10. Can I calculate the total percent change in VMT from multiple strategies if the scales of analysis from my chosen strategies are not the same?</t>
    </r>
    <r>
      <rPr>
        <sz val="11"/>
        <color theme="1"/>
        <rFont val="Calibri"/>
        <family val="2"/>
        <scheme val="minor"/>
      </rPr>
      <t xml:space="preserve">
Yes. The user may select any combination of strategies shown on the Main page. The Results page shows the type of VMT affected by each strategy and presents the total change for each type of VMT. </t>
    </r>
  </si>
  <si>
    <t>(1)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t>
  </si>
  <si>
    <t>(1) Cambridge Systematics. Moving Cooler: An Analysis of Transportation Strategies for Reducing Greenhouse Gas Emissions.(p. B-25) http://www.movingcooler.info/Library/Documents/Moving%20Cooler_Appendices _Complete_102209.pdf 
(2) Sacramento Metropolitan Air Quality Management District (SMAQMD) Recommended Guidance for Land Use Emission Reductions. (p.13) http://www.airquality.org/ceqa/GuidanceLUEmissionReductions.pdf</t>
  </si>
  <si>
    <t>(1)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t>
  </si>
  <si>
    <t>(1) WSP. 2019. “Draft TDM Off-Model Methodology—March 2019 Revision.” Memo to SANDAG.
(2) Alameda CTC Travel Demand Forecasting Model scenario run (May 2019 version; base year 2020).</t>
  </si>
  <si>
    <t>(1)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t>
  </si>
  <si>
    <t>All Neighborhood/City Trips - Total Change in VMT</t>
  </si>
  <si>
    <t>Info on facility types</t>
  </si>
  <si>
    <r>
      <rPr>
        <b/>
        <sz val="11"/>
        <color theme="1"/>
        <rFont val="Calibri"/>
        <family val="2"/>
        <scheme val="minor"/>
      </rPr>
      <t xml:space="preserve">1. What does this tool do?
</t>
    </r>
    <r>
      <rPr>
        <sz val="11"/>
        <color theme="1"/>
        <rFont val="Calibri"/>
        <family val="2"/>
        <scheme val="minor"/>
      </rPr>
      <t>The tool operates at two geographic scales: project/site-level and community/city-level. The tool user must provide simple input information about a strategy in order to produce a VMT reduction estimate. The tool is intended to act as a resource for evaluating and quantifying the impacts of mobility management strategies as part of the development review and transportation analysis process for development projects in Alameda County. The tool supports the goals of SB 743 (Steinberg, 2013) by providing jurisdictions and developers with a resource to quantify VMT reductions resulting from implementation of a variety of mitigation strategies.</t>
    </r>
  </si>
  <si>
    <r>
      <rPr>
        <b/>
        <sz val="11"/>
        <color theme="1"/>
        <rFont val="Calibri"/>
        <family val="2"/>
        <scheme val="minor"/>
      </rPr>
      <t>12. Can the tool be used to analyze strategies in rural / low-density areas?</t>
    </r>
    <r>
      <rPr>
        <sz val="11"/>
        <color theme="1"/>
        <rFont val="Calibri"/>
        <family val="2"/>
        <scheme val="minor"/>
      </rPr>
      <t xml:space="preserve">
There is little empirical research to support the estimation of VMT reduction in rural areas. Because of the lack of relevant research, based on the project location, the tool cannot be applied to areas with densities below a certain level. Entering data for a project located in a very low-density area will result in a message that the site cannot be analyzed using this Tool. Additional analysis outside of the Tool will likely be required to assess the true VMT characteristics of sites in those areas, due to the low intensity of existing development making it more difficult to extrapolate travel patterns. Similar caution may be warranted for projects that substantially depart from the existing land use types in the project TAZ.</t>
    </r>
  </si>
  <si>
    <t>This strategy will implement a ridesharing program and establish a permanent transportation management association with funding requirements for employers. Ridesharing encourages carpooled vehicle trips in place of single-occupied vehicle trips, thereby reducing the number of trips, VMT, and GHG emissions. When providing a ridesharing program, a best practice is to establish funding by a non-revocable funding mechanism. Ridesharing must be promoted through a multi-faceted approach, such as:
• Designating a certain percentage of parking spaces for ridesharing vehicles.
• Designating adequate passenger loading and unloading and waiting areas for ridesharing vehicles.
• Providing an app or website for coordinating rides.</t>
  </si>
  <si>
    <t>Subsidy amount is capped at 100% of average transit fare without subsidy</t>
  </si>
  <si>
    <t>Share of project users paying for parking</t>
  </si>
  <si>
    <t>3A2</t>
  </si>
  <si>
    <t>Price Workplace Parking</t>
  </si>
  <si>
    <t>3A1</t>
  </si>
  <si>
    <t>Unbundle Parking Costs from Property Cost</t>
  </si>
  <si>
    <t>T-15</t>
  </si>
  <si>
    <t>(1)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t>
  </si>
  <si>
    <t>B. Annual parking cost per space</t>
  </si>
  <si>
    <t>C. Average annual vehicle cost</t>
  </si>
  <si>
    <t>D. Elasticity of vehicle ownership with respect to total vehicle cost</t>
  </si>
  <si>
    <t>E. Adjustment factor from vehicle ownership to vehicle trips</t>
  </si>
  <si>
    <t>This strategy will implement a mandatory commute trip reduction (CTR) program with employers. CTR programs discourage single-occupancy vehicle trips and encourage alternative modes of transportation such as carpooling, taking transit, walking, and biking, thereby reducing VMT and GHG emissions. Mandatory CTR programs include mandatory trip reduction requirements (including penalties for non-compliance) and regular monitoring and reporting.
The mandatory CTR program will include all other elements described for the voluntary program (Strategy 1A). This strategy is most effective when paired with a transportation demand management or CTR ordinance. This program typically serves as a complement to the more effective workplace CTR strategies, such as pricing parking (Strategy 3A1) or implementing employee parking “cash-out” (Strategy 3B).</t>
  </si>
  <si>
    <t>Annual parking cost per space</t>
  </si>
  <si>
    <t>Default average annual vehicle cost</t>
  </si>
  <si>
    <t>User override of average annual vehicle cost</t>
  </si>
  <si>
    <t>Average annual vehicle cost used for calculation</t>
  </si>
  <si>
    <t>Elasticity of vehicle ownership with respect to total vehicle cost</t>
  </si>
  <si>
    <t>Adjustment factor from vehicle ownership to vehicle trips</t>
  </si>
  <si>
    <t>Annual parking cost per space is capped at $3,600</t>
  </si>
  <si>
    <r>
      <rPr>
        <b/>
        <sz val="11"/>
        <color theme="1"/>
        <rFont val="Calibri"/>
        <family val="2"/>
        <scheme val="minor"/>
      </rPr>
      <t>11. Why are there four totals displayed on the Results pages?</t>
    </r>
    <r>
      <rPr>
        <sz val="11"/>
        <color theme="1"/>
        <rFont val="Calibri"/>
        <family val="2"/>
        <scheme val="minor"/>
      </rPr>
      <t xml:space="preserve">
As discussed above in Question 8, the total percent change in VMT can be calculated when multiple strategies are selected. However, if the selected strategies reduce VMT from different types of trips (i.e., employee commute trips and all project-generated trips), it may not be valid to combine the total percent change in VMT. For example, limiting the parking supply at a commercial facility affects VMT from all project-generated trips, while an employee vanpool program only affects VMT from the facility's employee commute trips. Of the 15 project-level strategies, nine reduce VMT from employee commute trips and six reduce VMT from all project-generated trips (including non-commute trips). The nine are summed to an Employee Commute Trips Total using multiplicative dampening (see Question 8), and the six are separately summed to a Project-Generated Trips Total in the same way. Similarly, of the 14 neighborhood/city-level strategies, 13 reduce VMT from all neighborhood/city trips and only one (4D Bike Facility Improvement) reduces VMT from trips on the roadway affected by a bikeway addition. While these totals cannot be combined within the tool, they may be separately applied to off-model VMT if the analyst is able to isolate VMT production by each of the individual sources. However, this is beyond the scope of this tool as of the most recent version.
While these totals cannot be combined within the tool, they may be separately applied to off-model VMT if the analyst is able to isolate VMT production by each of the individual sources. However, this is beyond the scope of this tool as of the most recent version.
</t>
    </r>
  </si>
  <si>
    <t>This strategy will unbundle, or separate, a residential project’s parking costs from property costs, requiring those who wish to purchase parking spaces to do so at an additional cost from the property cost. On the assumption that parking costs are passed through to the vehicle owners/drivers utilizing the parking spaces, this strategy results in decreased vehicle ownership and, therefore, a reduction in VMT and GHG emissions. Unbundling may not be available to all residential developments, depending on funding sources.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t>
  </si>
  <si>
    <t>This strategy will implement a voluntary commute trip reduction (CTR) program with employers. CTR programs discourage single-occupancy vehicle trips and encourage alternative modes of transportation such as carpooling, taking transit, walking, and biking, thereby reducing VMT and GHG emissions. Voluntary CTR programs do not include mandatory trip reduction requirements or monitoring and reporting. The CTR program must include all the following to apply the effectiveness reported by the literature: 
• Carpooling encouragement. 
• Ride-matching assistance. 
• Preferential carpool parking. 
• Flexible work schedules for carpools. 
• Half-time transportation coordinator. 
• Vanpool assistance. 
• Bicycle end-trip facilities (parking, showers, and lockers). 
Other elements may also be included as part of a voluntary CTR program, though they are not included in the VMT reduction estimation reported by the literature and thus are not incorporated in the estimated VMT reductions for this strategy. This program typically serves as a complement to the more effective workplace CTR strategies such as pricing parking (Strategy 3A1) or implementing employee parking “cash-out” (Strategy 3B).</t>
  </si>
  <si>
    <t>Microtransit services utilize real-time ride-hailing, mobile tracking and app-based payment to provide demand-based service to users. Microtransit services are flexible and can be designed to fulfill the mobility needs of a community. Neighborhood electric vehicles (NEVs) are a type of microtransit service that operate within a defined service area and fulfill trips that are short-distance in nature, typically less than two miles long. NEVs help to facilitate connections to and from transit stations and provide users with an alternative to driving for short trips.</t>
  </si>
  <si>
    <t>This strategy will establish a bikeshare program. Bikeshare programs provide users with on-demand access to bikes for short-term rentals. This encourages a mode shift from vehicles to bicycles, displacing VMT and thus reducing GHG emissions. There are two primary types of pedal bikeshare programs: docked (station-based) and dockless (free-floating). When implementing a bikeshare program, a best practice is to discount bikeshare membership and dedicate bikeshare parking to encourage use of the service.</t>
  </si>
  <si>
    <t xml:space="preserve">A telework program enables employees to work from home or a remote location on a periodic basis. Depending on the nature of the work, schedules can range from full-time, specific days of the week, or as needed. The VMT impacts of telework are similar to a flexible work schedule program, which enables employees to work long hours in exchange for one day off every week or two. </t>
  </si>
  <si>
    <r>
      <t xml:space="preserve">9. How are the mode share, trip length, and VMT per capita data derived?
</t>
    </r>
    <r>
      <rPr>
        <sz val="11"/>
        <color theme="1"/>
        <rFont val="Calibri"/>
        <family val="2"/>
        <scheme val="minor"/>
      </rPr>
      <t>The mode share, trip length, and VMT per capita data found in this tool reflect travel by residents of the greater Bay Area region only (the nine MTC member counties). The data are parsed by jurisdiction and by transportation analysis zone (TAZ), and are derived from year 2020 model estimates produced by the May 2019 version of the Alameda CTC Travel Demand Forecasting Model. The data do not reflect travel by visitors to the region. They also do not include travel made by heavy-duty trucks or travel for commercial purposes.</t>
    </r>
  </si>
  <si>
    <t>This strategy will reduce the total parking supply available at a residential project or site. Limiting the amount of parking available creates scarcity and adds additional time and inconvenience to trips made by private auto, thus disincentivizing driving as a mode of travel. Reducing the convenience of driving results in a shift to other modes and decreased VMT and thus a reduction in GHG emissions. When limiting parking supply, a best practice is to do so at sites that are located near high-quality alternative modes of travel (such as a rail station, frequent bus line, or in a higher density area with multiple walkable locations nearby). Limiting parking supply may also allow for more active uses on any given lot, which may support Strategies 2B1 and 2B2 by allowing for higher density construction. 
This strategy is ineffective in locations where unrestricted street parking or other off-site parking is available nearby and has adequate capacity to accommodate project-related vehicle parking demand. Evidence of the effects of reduced parking supply is strongest for residential developments.</t>
  </si>
  <si>
    <t>This strategy will price on-site parking at workplaces. This may include the following: explicitly charging for parking for its employees, implementing above market rate pricing, validating parking only for invited guests, not providing employee parking and transportation allowances, and/or educating employees about available alternatives to driving. Because free employee parking is a common benefit, charging employees to park on-site increases the cost of choosing to drive to work. This is expected to reduce single-occupant vehicle commute trips, resulting in decreased VMT, thereby reducing associated GHG emissions. 
When implementing workplace parking, best practice is to ensure that other transportation options are available, convenient, and have competitive travel times (i.e., transit service near the project site, shuttle service, or a complete active transportation network serving the site and surrounding community), and that there is no alternative free parking available nearby (such as on-street). This strategy is ineffective in environments that do not have other modes available. Though like Strategy 3B, Parking “Cash-Out,” this strategy focuses on implementing market rate and above market rate pricing to provide a price signal for employees to consider other modes for their work commute. Strategy 3B requires employers to offer employee parking “cash-out.”</t>
  </si>
  <si>
    <r>
      <rPr>
        <b/>
        <sz val="11"/>
        <color theme="1"/>
        <rFont val="Calibri"/>
        <family val="2"/>
        <scheme val="minor"/>
      </rPr>
      <t xml:space="preserve">15. What does "percent of employees eligible" mean, as used in strategies 1A through 1D and 3B?
</t>
    </r>
    <r>
      <rPr>
        <sz val="11"/>
        <color theme="1"/>
        <rFont val="Calibri"/>
        <family val="2"/>
        <scheme val="minor"/>
      </rPr>
      <t>This refers to the percent of employees that would be able to participate in the strategy's program, if they desired to. This will usually be 100%. Employees who might not be able to participate could include those who work nighttime hours when transit and rideshare services are not available, employees who are required to drive to work as part of their job duties, or contract employees who do not receive certain employer-sponsored benefits. This input does not refer to the percent of employees who actually participate in the program.</t>
    </r>
    <r>
      <rPr>
        <b/>
        <sz val="11"/>
        <color rgb="FFFF0000"/>
        <rFont val="Calibri"/>
        <family val="2"/>
        <scheme val="minor"/>
      </rPr>
      <t xml:space="preserve">
</t>
    </r>
  </si>
  <si>
    <t>Income has a statistically significant effect on the probability that a commuter will take transit or walk to work (1). Below market rate (BMR) housing provides greater opportunity for lower-income families to live closer to jobs centers and achieve jobs/housing match near transit. It also addresses to some degree the risk that new transit oriented development would displace lower-income families. This strategy potentially encourages building a greater percentage of smaller units that allow a greater number of families to be accommodated on infill and transit oriented development sites within a given building footprint and height limit. Lower-income families tend to have lower levels of auto ownership, allowing buildings to be designed with less parking which, in some cases, represents the difference between a project being economically viable or not. Residential development projects of five or more dwelling units will provide a deed-restricted low-income housing component on-site.</t>
  </si>
  <si>
    <r>
      <rPr>
        <b/>
        <sz val="11"/>
        <color theme="1"/>
        <rFont val="Calibri"/>
        <family val="2"/>
        <scheme val="minor"/>
      </rPr>
      <t xml:space="preserve">2. </t>
    </r>
    <r>
      <rPr>
        <sz val="11"/>
        <color theme="1"/>
        <rFont val="Calibri"/>
        <family val="2"/>
        <scheme val="minor"/>
      </rPr>
      <t>Select the location of analysis by entering the number of the Transportation Analysis Zone (TAZ)</t>
    </r>
  </si>
  <si>
    <t>containing the project.</t>
  </si>
  <si>
    <t>Go to Results</t>
  </si>
  <si>
    <t>Version 1.0</t>
  </si>
  <si>
    <r>
      <t xml:space="preserve">Determine analysis location TAZ # (between 1 and 1580) using </t>
    </r>
    <r>
      <rPr>
        <u/>
        <sz val="11"/>
        <color rgb="FF0070C0"/>
        <rFont val="Calibri"/>
        <family val="2"/>
        <scheme val="minor"/>
      </rPr>
      <t>Alameda County's online VMT Mapping Tool</t>
    </r>
    <r>
      <rPr>
        <sz val="11"/>
        <rFont val="Calibri"/>
        <family val="2"/>
        <scheme val="minor"/>
      </rPr>
      <t>. Click on the project location to open a pop-up window. If the parcels layer is enabled, click on the right arrow at the top of the pop-up to show the TAZ number.</t>
    </r>
  </si>
  <si>
    <t xml:space="preserve">This strategy will provide subsidized, discounted, or free transit passes for employees.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t>
  </si>
  <si>
    <t>This strategy will provide subsidized, discounted, or free transit passes for residents.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t>
  </si>
  <si>
    <t>This strategy would reduce project VMT in the study area relative to the same project sited in a nontransit- oriented development (TOD) location. TOD refers to projects built in compact, walkable areas that have easy access to public transit, ideally in a location with a mix of uses, including housing, retail offices, and community facilities. TODs are generally described as places within a 10-minute walk (0.5 mile) of a high-frequency rail transit station (either rail, or bus with headways of no more than 15 minutes). Project site residents, employees, and visitors would have easy access to high-quality public transit, thereby encouraging transit and reducing the number of single occupancy vehicle trips and associated GHG emissions. When building TOD, a best practice is to incorporate bike and pedestrian access to increase the likelihood of transit use.</t>
  </si>
  <si>
    <r>
      <rPr>
        <u/>
        <sz val="11"/>
        <rFont val="Calibri"/>
        <family val="2"/>
        <scheme val="minor"/>
      </rPr>
      <t>For more information visit:</t>
    </r>
    <r>
      <rPr>
        <u/>
        <sz val="11"/>
        <color theme="10"/>
        <rFont val="Calibri"/>
        <family val="2"/>
        <scheme val="minor"/>
      </rPr>
      <t xml:space="preserve">  https://www.alamedactc.org/planning/sb743-vmt/</t>
    </r>
  </si>
  <si>
    <t>II. Important Disclaimers</t>
  </si>
  <si>
    <t>III. Instructions</t>
  </si>
  <si>
    <t>IV. Legend</t>
  </si>
  <si>
    <t>V. Project Information</t>
  </si>
  <si>
    <t>VI. Mobility Management Strategies</t>
  </si>
  <si>
    <t xml:space="preserve">Office </t>
  </si>
  <si>
    <t>The Alameda CTC VMT Reduction Calculator Tool estimates the percent reduction in vehicle miles traveled (VMT) resulting from the application of mobility management strategies. This Excel-based tool is intended to act as a resource for identifying and evaluating the impacts of mobility management strategies as part of the development review and transportation analysis process under CEQA. The tool supports the goals of SB 743 (Steinberg, 2013) by providing jurisdictions and developers with a method for quantifying VMT reductions resulting from implementation of a variety of mitigation strategies at various scales. The tool also supports local government planning efforts including implementation of general and community plans, transportation demand management (TDM) ordinances, and climate action plans. 
The tool operates at two geographic scales: project/site-level and community/city-level. Depending on the project location and project type, users can select appropriate strategies of interest for mitigating transportation impacts. Some strategies reduce VMT only from employee commute trips. Other strategies reduce VMT from all project-generated trips or all community/city trips. The type of VMT affected is shown on the Results pages and on the individual strategy pages. Each strategy requires that the user input values that are used to calculate the percent reduction in VMT. For many strategies, the tool offers default parameters that can be replaced with user-provided values if available. 
This tool is based on a VMT reduction calculator tool developed by the San Diego Association of Governments (SANDAG), and has been adjusted and customized for application in Alameda County. The tool is available as a resource for local jurisdictions in Alameda County. Local jurisdictions are under no obligation to use this tool in their development approval processes or transportation analyses under SB 743. Users of the tool should exercise their professional judgment in reviewing, evaluating, and analyzing VMT reduction estimate results from the tool. Any action you take upon the information is strictly at your own risk, and neither Alameda CTC nor its employees, contractors and consultants will be liable for any losses or damages in connection with use of these data and this tool.
The Mobility Management Strategy Guidebook serves as a complement to this tool. The Guidebook includes summary descriptions and resources for a variety of mobility management strategies, including all strategies contained in the tool as well as others for which VMT reductions cannot be reliably estimated.</t>
  </si>
  <si>
    <r>
      <t xml:space="preserve">Tool Purpose
</t>
    </r>
    <r>
      <rPr>
        <sz val="11"/>
        <rFont val="Calibri"/>
        <family val="2"/>
        <scheme val="minor"/>
      </rPr>
      <t xml:space="preserve">This tool, and the accompanying documentation, are intended to act as a resource for evaluating and quantifying the impacts of mobility management strategies as part of the development review and transportation analysis process under CEQA. The tool will support the goals of SB 743 (Steinberg, 2013) by providing jurisdictions with a resource to quantify VMT reductions resulting from implementation of mitigation strategies. The tool also supports local government planning efforts including implementation of general and community plans, transportation demand management (TDM) ordinances, and climate action plans. Users of the tool should exercise their professional judgment in reviewing, evaluating and analyzing VMT reduction estimate results from the tool.
</t>
    </r>
    <r>
      <rPr>
        <b/>
        <sz val="11"/>
        <rFont val="Calibri"/>
        <family val="2"/>
        <scheme val="minor"/>
      </rPr>
      <t>Accuracy of Default Neighborhood/City Data</t>
    </r>
    <r>
      <rPr>
        <sz val="11"/>
        <rFont val="Calibri"/>
        <family val="2"/>
        <scheme val="minor"/>
      </rPr>
      <t xml:space="preserve">
Users of the tool can override the default data to reflect project conditions and characteristics. The default data found in this tool have been extracted from an Alameda CTC Travel Demand Forecasting Model scenario run (May 2019 version; base year 2020) in support of the Regional Transportation Plan. The scenario used for the extraction is subject to be rerun with updated inputs and methodologies, thus the data in this tool are subject to change. The methodologies used to calculate the VMT data have been developed by Alameda CTC in accordance with State of California guidelines.
The accuracy and reliability of the data in this tool diminishes with a reduction in activity (population and employment) found within a project-level study area. This tool is not recommended for application in areas with very low land use intensity; the tool will give a warning if a user applies it within such an area. The user should be aware that the tool presents data at the level of individual TAZs and this data should be used with care. Any action you take upon the information is strictly at your own risk, and Alameda CTC will not be liable for any losses or damages in connection with use of these data.
Any action you take upon the information is strictly at your own risk, and neither Alameda CTC nor its employees, contractors, and consultants will be liable for any losses or damages in connection with use of these data and this tool. </t>
    </r>
  </si>
  <si>
    <r>
      <rPr>
        <b/>
        <sz val="11"/>
        <color theme="1"/>
        <rFont val="Calibri"/>
        <family val="2"/>
        <scheme val="minor"/>
      </rPr>
      <t>2. Why do the strategy inputs read "#N/A"? / Why is the strategy not calculating a reduction?</t>
    </r>
    <r>
      <rPr>
        <sz val="11"/>
        <color theme="1"/>
        <rFont val="Calibri"/>
        <family val="2"/>
        <scheme val="minor"/>
      </rPr>
      <t xml:space="preserve">
The most common reason for this is that the user has not selected a TAZ for analysis, per the main screen (step #2 of the instructions, and cell F51 in the "Main" tab). This error may also occur if the TAZ selected does not have a high enough intensity of land use for the tool to be appropriate.</t>
    </r>
  </si>
  <si>
    <r>
      <rPr>
        <b/>
        <sz val="11"/>
        <color theme="1"/>
        <rFont val="Calibri"/>
        <family val="2"/>
        <scheme val="minor"/>
      </rPr>
      <t>3. How do I enter strategy information?</t>
    </r>
    <r>
      <rPr>
        <sz val="11"/>
        <color theme="1"/>
        <rFont val="Calibri"/>
        <family val="2"/>
        <scheme val="minor"/>
      </rPr>
      <t xml:space="preserve">
Tool users enter information about a strategy of interest in the orange-colored cells found on each strategy page. Users cannot enter information in any other cells. Guidance on common sources for the information required for those cells is included as part of each measure's description.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</si>
</sst>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3" formatCode="_(* #,##0.00_);_(* \(#,##0.00\);_(* &quot;-&quot;??_);_(@_)"/>
    <numFmt numFmtId="164" formatCode="0.0%"/>
    <numFmt numFmtId="165" formatCode="* "/>
    <numFmt numFmtId="166" formatCode="0.0"/>
    <numFmt numFmtId="167" formatCode="_(* #,##0_);_(* \(#,##0\);_(* &quot;-&quot;??_);_(@_)"/>
    <numFmt numFmtId="168" formatCode="###0;###0"/>
    <numFmt numFmtId="169" formatCode="#,##0;#,##0"/>
    <numFmt numFmtId="170" formatCode="#,##0.0"/>
    <numFmt numFmtId="171" formatCode="&quot;$&quot;#,##0.00"/>
    <numFmt numFmtId="172" formatCode="0&quot;%&quot;"/>
    <numFmt numFmtId="173" formatCode="#,##0.0_);[Red]\(#,##0.0\)"/>
    <numFmt numFmtId="174" formatCode="_(* #,##0.0_);_(* \(#,##0.0\);_(* &quot;-&quot;??_);_(@_)"/>
    <numFmt numFmtId="175" formatCode="0.00000000000"/>
    <numFmt numFmtId="176" formatCode="\+0.0%;\-0.0%;0.0%"/>
    <numFmt numFmtId="177" formatCode="0.000"/>
    <numFmt numFmtId="178" formatCode="@&quot;.&quot;"/>
    <numFmt numFmtId="179" formatCode="&quot;$&quot;#,##0"/>
  </numFmts>
  <fonts count="60"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sz val="11"/>
      <name val="Calibri"/>
      <family val="2"/>
      <scheme val="minor"/>
    </font>
    <font>
      <b/>
      <sz val="11"/>
      <name val="Calibri"/>
      <family val="2"/>
      <scheme val="minor"/>
    </font>
    <font>
      <sz val="9"/>
      <color indexed="81"/>
      <name val="Tahoma"/>
      <family val="2"/>
    </font>
    <font>
      <i/>
      <sz val="11"/>
      <color theme="1"/>
      <name val="Calibri"/>
      <family val="2"/>
      <scheme val="minor"/>
    </font>
    <font>
      <u/>
      <sz val="11"/>
      <color theme="10"/>
      <name val="Calibri"/>
      <family val="2"/>
      <scheme val="minor"/>
    </font>
    <font>
      <b/>
      <sz val="11"/>
      <color theme="0"/>
      <name val="Calibri"/>
      <family val="2"/>
      <scheme val="minor"/>
    </font>
    <font>
      <sz val="10"/>
      <name val="Times New Roman"/>
      <family val="1"/>
      <charset val="204"/>
    </font>
    <font>
      <sz val="10"/>
      <color indexed="63"/>
      <name val="Arial"/>
      <family val="2"/>
    </font>
    <font>
      <sz val="10"/>
      <color indexed="63"/>
      <name val="Book Antiqua"/>
      <family val="1"/>
      <charset val="204"/>
    </font>
    <font>
      <sz val="11"/>
      <color theme="0"/>
      <name val="Calibri"/>
      <family val="2"/>
      <scheme val="minor"/>
    </font>
    <font>
      <sz val="10"/>
      <color theme="1"/>
      <name val="Arial"/>
      <family val="2"/>
    </font>
    <font>
      <sz val="11"/>
      <color theme="4" tint="0.79998168889431442"/>
      <name val="Calibri"/>
      <family val="2"/>
      <scheme val="minor"/>
    </font>
    <font>
      <sz val="8"/>
      <color rgb="FF000000"/>
      <name val="Segoe UI"/>
      <family val="2"/>
    </font>
    <font>
      <b/>
      <sz val="16"/>
      <color theme="1"/>
      <name val="Calibri"/>
      <family val="2"/>
      <scheme val="minor"/>
    </font>
    <font>
      <b/>
      <sz val="14"/>
      <color theme="0"/>
      <name val="Calibri"/>
      <family val="2"/>
      <scheme val="minor"/>
    </font>
    <font>
      <b/>
      <sz val="16"/>
      <color theme="0"/>
      <name val="Calibri"/>
      <family val="2"/>
      <scheme val="minor"/>
    </font>
    <font>
      <u/>
      <sz val="11"/>
      <color theme="11"/>
      <name val="Calibri"/>
      <family val="2"/>
      <scheme val="minor"/>
    </font>
    <font>
      <u/>
      <sz val="11"/>
      <color rgb="FF0564C2"/>
      <name val="Calibri"/>
      <family val="2"/>
      <scheme val="minor"/>
    </font>
    <font>
      <b/>
      <sz val="12"/>
      <color theme="0"/>
      <name val="Calibri"/>
      <family val="2"/>
      <scheme val="minor"/>
    </font>
    <font>
      <sz val="11"/>
      <color rgb="FFFA7D00"/>
      <name val="Calibri"/>
      <family val="2"/>
      <scheme val="minor"/>
    </font>
    <font>
      <sz val="12"/>
      <color theme="0"/>
      <name val="Calibri"/>
      <family val="2"/>
      <scheme val="minor"/>
    </font>
    <font>
      <u/>
      <sz val="11"/>
      <color theme="0"/>
      <name val="Calibri"/>
      <family val="2"/>
      <scheme val="minor"/>
    </font>
    <font>
      <b/>
      <sz val="16"/>
      <name val="Calibri"/>
      <family val="2"/>
      <scheme val="minor"/>
    </font>
    <font>
      <b/>
      <sz val="13"/>
      <color theme="1"/>
      <name val="Calibri"/>
      <family val="2"/>
      <scheme val="minor"/>
    </font>
    <font>
      <b/>
      <sz val="11"/>
      <color rgb="FFFF0000"/>
      <name val="Calibri"/>
      <family val="2"/>
      <scheme val="minor"/>
    </font>
    <font>
      <sz val="14"/>
      <color rgb="FF3F3F76"/>
      <name val="Calibri"/>
      <family val="2"/>
      <scheme val="minor"/>
    </font>
    <font>
      <sz val="11"/>
      <color theme="0" tint="-0.24994659260841701"/>
      <name val="Calibri"/>
      <family val="2"/>
      <scheme val="minor"/>
    </font>
    <font>
      <u/>
      <sz val="11"/>
      <color theme="10"/>
      <name val="Wingdings 3"/>
      <family val="1"/>
      <charset val="2"/>
    </font>
    <font>
      <sz val="14"/>
      <color rgb="FFFF0000"/>
      <name val="Calibri"/>
      <family val="2"/>
      <scheme val="minor"/>
    </font>
    <font>
      <sz val="14"/>
      <color theme="1"/>
      <name val="Calibri"/>
      <family val="2"/>
      <scheme val="minor"/>
    </font>
    <font>
      <u/>
      <sz val="11"/>
      <color theme="10"/>
      <name val="Wingdings"/>
      <charset val="2"/>
    </font>
    <font>
      <b/>
      <sz val="11"/>
      <color rgb="FF00B050"/>
      <name val="Calibri"/>
      <family val="2"/>
      <scheme val="minor"/>
    </font>
    <font>
      <sz val="22"/>
      <color theme="1"/>
      <name val="Arial Black"/>
      <family val="2"/>
    </font>
    <font>
      <b/>
      <sz val="22"/>
      <color theme="1"/>
      <name val="Arial Black"/>
      <family val="2"/>
    </font>
    <font>
      <sz val="26"/>
      <color theme="1"/>
      <name val="Arial Black"/>
      <family val="2"/>
    </font>
    <font>
      <sz val="2"/>
      <color theme="4" tint="0.79998168889431442"/>
      <name val="Calibri"/>
      <family val="2"/>
      <scheme val="minor"/>
    </font>
    <font>
      <b/>
      <i/>
      <sz val="17"/>
      <color rgb="FFFF0000"/>
      <name val="Calibri"/>
      <family val="2"/>
      <scheme val="minor"/>
    </font>
    <font>
      <b/>
      <i/>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i/>
      <sz val="11"/>
      <color rgb="FF7F7F7F"/>
      <name val="Calibri"/>
      <family val="2"/>
      <scheme val="minor"/>
    </font>
    <font>
      <b/>
      <sz val="14"/>
      <color rgb="FFFF0000"/>
      <name val="Calibri"/>
      <family val="2"/>
      <scheme val="minor"/>
    </font>
    <font>
      <u/>
      <sz val="11"/>
      <color theme="1"/>
      <name val="Calibri"/>
      <family val="2"/>
      <scheme val="minor"/>
    </font>
    <font>
      <b/>
      <i/>
      <sz val="11"/>
      <color theme="1"/>
      <name val="Calibri"/>
      <family val="2"/>
      <scheme val="minor"/>
    </font>
    <font>
      <u/>
      <sz val="16"/>
      <color theme="10"/>
      <name val="Calibri"/>
      <family val="2"/>
      <scheme val="minor"/>
    </font>
    <font>
      <u/>
      <sz val="11"/>
      <color rgb="FF0070C0"/>
      <name val="Calibri"/>
      <family val="2"/>
      <scheme val="minor"/>
    </font>
    <font>
      <u/>
      <sz val="11"/>
      <name val="Calibri"/>
      <family val="2"/>
      <scheme val="minor"/>
    </font>
  </fonts>
  <fills count="59">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CC99"/>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C238F"/>
        <bgColor indexed="64"/>
      </patternFill>
    </fill>
    <fill>
      <patternFill patternType="solid">
        <fgColor rgb="FF289893"/>
        <bgColor indexed="64"/>
      </patternFill>
    </fill>
    <fill>
      <patternFill patternType="solid">
        <fgColor rgb="FF2E75B6"/>
        <bgColor indexed="64"/>
      </patternFill>
    </fill>
    <fill>
      <patternFill patternType="solid">
        <fgColor rgb="FF0E256A"/>
        <bgColor indexed="64"/>
      </patternFill>
    </fill>
    <fill>
      <patternFill patternType="solid">
        <fgColor rgb="FF806000"/>
        <bgColor indexed="64"/>
      </patternFill>
    </fill>
    <fill>
      <gradientFill degree="90">
        <stop position="0">
          <color rgb="FFFFD5D5"/>
        </stop>
        <stop position="1">
          <color rgb="FFFFFFD1"/>
        </stop>
      </gradientFill>
    </fill>
    <fill>
      <patternFill patternType="solid">
        <fgColor theme="4" tint="0.39997558519241921"/>
        <bgColor indexed="64"/>
      </patternFill>
    </fill>
    <fill>
      <patternFill patternType="solid">
        <fgColor rgb="FF33CCCC"/>
        <bgColor indexed="64"/>
      </patternFill>
    </fill>
    <fill>
      <patternFill patternType="solid">
        <fgColor rgb="FF996600"/>
        <bgColor indexed="64"/>
      </patternFill>
    </fill>
    <fill>
      <patternFill patternType="solid">
        <fgColor theme="4" tint="-0.499984740745262"/>
        <bgColor indexed="64"/>
      </patternFill>
    </fill>
    <fill>
      <patternFill patternType="solid">
        <fgColor rgb="FF6599FF"/>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66FF"/>
        <bgColor indexed="64"/>
      </patternFill>
    </fill>
    <fill>
      <patternFill patternType="solid">
        <fgColor rgb="FF3399FF"/>
        <bgColor indexed="64"/>
      </patternFill>
    </fill>
    <fill>
      <patternFill patternType="solid">
        <fgColor rgb="FFFF993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bottom/>
      <diagonal/>
    </border>
    <border>
      <left/>
      <right/>
      <top style="thin">
        <color auto="1"/>
      </top>
      <bottom style="thin">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rgb="FFFFCCFF"/>
      </left>
      <right/>
      <top style="thin">
        <color rgb="FFFFCCFF"/>
      </top>
      <bottom style="thin">
        <color rgb="FFFFCCFF"/>
      </bottom>
      <diagonal/>
    </border>
    <border>
      <left/>
      <right/>
      <top style="thin">
        <color rgb="FFFFCCFF"/>
      </top>
      <bottom style="thin">
        <color rgb="FFFFCCF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double">
        <color rgb="FFFF8001"/>
      </bottom>
      <diagonal/>
    </border>
    <border>
      <left/>
      <right style="medium">
        <color indexed="64"/>
      </right>
      <top style="medium">
        <color indexed="64"/>
      </top>
      <bottom style="medium">
        <color indexed="64"/>
      </bottom>
      <diagonal/>
    </border>
    <border>
      <left/>
      <right/>
      <top/>
      <bottom style="medium">
        <color indexed="64"/>
      </bottom>
      <diagonal/>
    </border>
    <border>
      <left style="dashDot">
        <color indexed="64"/>
      </left>
      <right style="dashDot">
        <color indexed="64"/>
      </right>
      <top style="dashDot">
        <color indexed="64"/>
      </top>
      <bottom style="dashDot">
        <color indexed="64"/>
      </bottom>
      <diagonal/>
    </border>
    <border>
      <left style="thin">
        <color rgb="FFFF0000"/>
      </left>
      <right style="thin">
        <color rgb="FFFF0000"/>
      </right>
      <top style="thin">
        <color rgb="FFFF0000"/>
      </top>
      <bottom style="thin">
        <color rgb="FFFF0000"/>
      </bottom>
      <diagonal/>
    </border>
    <border>
      <left/>
      <right/>
      <top style="medium">
        <color indexed="64"/>
      </top>
      <bottom/>
      <diagonal/>
    </border>
    <border>
      <left/>
      <right/>
      <top style="dashDot">
        <color indexed="64"/>
      </top>
      <bottom/>
      <diagonal/>
    </border>
    <border>
      <left/>
      <right/>
      <top style="medium">
        <color indexed="64"/>
      </top>
      <bottom style="medium">
        <color indexed="64"/>
      </bottom>
      <diagonal/>
    </border>
    <border>
      <left style="thin">
        <color indexed="64"/>
      </left>
      <right style="thin">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theme="9"/>
      </left>
      <right style="thin">
        <color theme="9"/>
      </right>
      <top style="thin">
        <color theme="9"/>
      </top>
      <bottom style="thin">
        <color theme="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diagonal/>
    </border>
    <border>
      <left style="thin">
        <color theme="0" tint="-0.34998626667073579"/>
      </left>
      <right/>
      <top/>
      <bottom/>
      <diagonal/>
    </border>
  </borders>
  <cellStyleXfs count="63">
    <xf numFmtId="0" fontId="0" fillId="0" borderId="0"/>
    <xf numFmtId="9" fontId="1" fillId="0" borderId="0" applyFont="0" applyFill="0" applyBorder="0" applyAlignment="0" applyProtection="0"/>
    <xf numFmtId="0" fontId="4" fillId="2" borderId="1" applyNumberFormat="0" applyAlignment="0">
      <protection locked="0"/>
    </xf>
    <xf numFmtId="0" fontId="5" fillId="3" borderId="2" applyNumberFormat="0" applyAlignment="0"/>
    <xf numFmtId="0" fontId="6" fillId="3" borderId="1" applyNumberFormat="0" applyAlignment="0"/>
    <xf numFmtId="0" fontId="13" fillId="4" borderId="11" applyNumberFormat="0" applyAlignment="0"/>
    <xf numFmtId="43" fontId="1" fillId="0" borderId="0" applyFont="0" applyFill="0" applyBorder="0" applyAlignment="0" applyProtection="0"/>
    <xf numFmtId="0" fontId="1" fillId="0" borderId="0"/>
    <xf numFmtId="0" fontId="12" fillId="0" borderId="0" applyNumberFormat="0" applyFill="0" applyBorder="0" applyAlignment="0" applyProtection="0"/>
    <xf numFmtId="0" fontId="21" fillId="15" borderId="0"/>
    <xf numFmtId="0" fontId="1" fillId="6" borderId="50" applyAlignment="0">
      <alignment horizontal="left"/>
    </xf>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ont="0" applyFill="0" applyBorder="0" applyAlignment="0" applyProtection="0"/>
    <xf numFmtId="0" fontId="25" fillId="0" borderId="0" applyNumberFormat="0" applyFill="0" applyBorder="0" applyAlignment="0" applyProtection="0"/>
    <xf numFmtId="0" fontId="27" fillId="6" borderId="41" applyNumberFormat="0" applyAlignment="0" applyProtection="0"/>
    <xf numFmtId="0" fontId="4" fillId="21" borderId="1" applyNumberFormat="0" applyAlignment="0">
      <protection locked="0"/>
    </xf>
    <xf numFmtId="0" fontId="34" fillId="6" borderId="0" applyAlignment="0">
      <alignment horizontal="left"/>
    </xf>
    <xf numFmtId="0" fontId="9" fillId="3" borderId="53" applyAlignment="0" applyProtection="0"/>
    <xf numFmtId="0" fontId="1" fillId="6" borderId="44">
      <alignment horizontal="left"/>
    </xf>
    <xf numFmtId="0" fontId="36" fillId="7" borderId="0"/>
    <xf numFmtId="0" fontId="9" fillId="3" borderId="45"/>
    <xf numFmtId="0" fontId="46" fillId="0" borderId="0" applyNumberFormat="0" applyFill="0" applyBorder="0" applyAlignment="0" applyProtection="0"/>
    <xf numFmtId="0" fontId="47" fillId="0" borderId="71" applyNumberFormat="0" applyFill="0" applyAlignment="0" applyProtection="0"/>
    <xf numFmtId="0" fontId="48" fillId="0" borderId="72" applyNumberFormat="0" applyFill="0" applyAlignment="0" applyProtection="0"/>
    <xf numFmtId="0" fontId="49" fillId="0" borderId="73" applyNumberFormat="0" applyFill="0" applyAlignment="0" applyProtection="0"/>
    <xf numFmtId="0" fontId="49" fillId="0" borderId="0" applyNumberFormat="0" applyFill="0" applyBorder="0" applyAlignment="0" applyProtection="0"/>
    <xf numFmtId="0" fontId="50" fillId="31" borderId="0" applyNumberFormat="0" applyBorder="0" applyAlignment="0" applyProtection="0"/>
    <xf numFmtId="0" fontId="51" fillId="32"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 fillId="34" borderId="74" applyNumberFormat="0" applyFont="0" applyAlignment="0" applyProtection="0"/>
    <xf numFmtId="0" fontId="53" fillId="0" borderId="0" applyNumberFormat="0" applyFill="0" applyBorder="0" applyAlignment="0" applyProtection="0"/>
    <xf numFmtId="0" fontId="2" fillId="0" borderId="75" applyNumberFormat="0" applyFill="0" applyAlignment="0" applyProtection="0"/>
    <xf numFmtId="0" fontId="17"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7"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4" fillId="2" borderId="1" applyNumberFormat="0" applyAlignment="0" applyProtection="0"/>
    <xf numFmtId="0" fontId="5" fillId="3" borderId="2" applyNumberFormat="0" applyAlignment="0" applyProtection="0"/>
    <xf numFmtId="0" fontId="6" fillId="3" borderId="1" applyNumberFormat="0" applyAlignment="0" applyProtection="0"/>
    <xf numFmtId="0" fontId="27" fillId="0" borderId="41" applyNumberFormat="0" applyFill="0" applyAlignment="0" applyProtection="0"/>
    <xf numFmtId="0" fontId="13" fillId="4" borderId="11" applyNumberFormat="0" applyAlignment="0" applyProtection="0"/>
  </cellStyleXfs>
  <cellXfs count="819">
    <xf numFmtId="0" fontId="0" fillId="0" borderId="0" xfId="0"/>
    <xf numFmtId="0" fontId="0" fillId="0" borderId="0" xfId="0" applyAlignment="1">
      <alignment horizontal="center"/>
    </xf>
    <xf numFmtId="0" fontId="0" fillId="0" borderId="0" xfId="0" applyProtection="1">
      <protection locked="0"/>
    </xf>
    <xf numFmtId="0" fontId="0" fillId="6" borderId="0" xfId="0" applyFill="1"/>
    <xf numFmtId="0" fontId="0" fillId="6" borderId="0" xfId="0" applyFill="1" applyAlignment="1">
      <alignment horizontal="center"/>
    </xf>
    <xf numFmtId="0" fontId="0" fillId="6" borderId="7" xfId="0" applyFill="1" applyBorder="1"/>
    <xf numFmtId="0" fontId="8" fillId="6" borderId="0" xfId="0" applyFont="1" applyFill="1" applyAlignment="1">
      <alignment horizontal="left" indent="6"/>
    </xf>
    <xf numFmtId="0" fontId="0" fillId="6" borderId="0" xfId="0" applyFill="1" applyAlignment="1">
      <alignment horizontal="left" indent="6"/>
    </xf>
    <xf numFmtId="0" fontId="0" fillId="6" borderId="0" xfId="0" applyFill="1" applyAlignment="1">
      <alignment horizontal="left"/>
    </xf>
    <xf numFmtId="0" fontId="7" fillId="6" borderId="0" xfId="0" applyFont="1" applyFill="1"/>
    <xf numFmtId="0" fontId="2" fillId="6" borderId="0" xfId="0" applyFont="1" applyFill="1"/>
    <xf numFmtId="0" fontId="0" fillId="6" borderId="6" xfId="0" applyFill="1" applyBorder="1"/>
    <xf numFmtId="0" fontId="0" fillId="6" borderId="9" xfId="0" applyFill="1" applyBorder="1"/>
    <xf numFmtId="0" fontId="0" fillId="6" borderId="10" xfId="0" applyFill="1" applyBorder="1"/>
    <xf numFmtId="0" fontId="19" fillId="6" borderId="0" xfId="0" applyFont="1" applyFill="1" applyProtection="1">
      <protection locked="0" hidden="1"/>
    </xf>
    <xf numFmtId="0" fontId="0" fillId="6" borderId="8" xfId="0" applyFill="1" applyBorder="1"/>
    <xf numFmtId="0" fontId="0" fillId="7" borderId="0" xfId="0" applyFill="1"/>
    <xf numFmtId="0" fontId="0" fillId="7" borderId="0" xfId="0" applyFill="1" applyAlignment="1">
      <alignment horizontal="center"/>
    </xf>
    <xf numFmtId="0" fontId="9" fillId="6" borderId="0" xfId="0" applyFont="1" applyFill="1" applyAlignment="1">
      <alignment horizontal="left"/>
    </xf>
    <xf numFmtId="0" fontId="2" fillId="6" borderId="0" xfId="0" applyFont="1" applyFill="1" applyAlignment="1">
      <alignment horizontal="left"/>
    </xf>
    <xf numFmtId="0" fontId="19" fillId="6" borderId="0" xfId="0" applyFont="1" applyFill="1"/>
    <xf numFmtId="0" fontId="0" fillId="6" borderId="0" xfId="0" applyFill="1" applyAlignment="1">
      <alignment horizontal="center"/>
    </xf>
    <xf numFmtId="0" fontId="0" fillId="0" borderId="0" xfId="0" applyAlignment="1">
      <alignment horizontal="center"/>
    </xf>
    <xf numFmtId="0" fontId="8" fillId="7" borderId="0" xfId="0" applyFont="1" applyFill="1"/>
    <xf numFmtId="0" fontId="17" fillId="7" borderId="0" xfId="0" applyFont="1" applyFill="1"/>
    <xf numFmtId="0" fontId="0" fillId="6" borderId="0" xfId="0" applyFill="1" applyBorder="1"/>
    <xf numFmtId="1" fontId="4" fillId="5" borderId="1" xfId="1" applyNumberFormat="1" applyFont="1" applyFill="1" applyBorder="1" applyProtection="1">
      <protection locked="0"/>
    </xf>
    <xf numFmtId="0" fontId="4" fillId="2" borderId="1" xfId="2" applyAlignment="1" applyProtection="1">
      <protection locked="0"/>
    </xf>
    <xf numFmtId="0" fontId="0" fillId="0" borderId="0" xfId="0" applyBorder="1"/>
    <xf numFmtId="0" fontId="0" fillId="0" borderId="0" xfId="0" applyAlignment="1">
      <alignment wrapText="1"/>
    </xf>
    <xf numFmtId="0" fontId="0" fillId="6" borderId="0" xfId="0" applyFill="1" applyAlignment="1">
      <alignment horizontal="left"/>
    </xf>
    <xf numFmtId="0" fontId="0" fillId="0" borderId="0" xfId="0" applyFill="1"/>
    <xf numFmtId="0" fontId="0" fillId="0" borderId="0" xfId="0" applyFill="1" applyBorder="1"/>
    <xf numFmtId="10" fontId="0" fillId="0" borderId="0" xfId="1" applyNumberFormat="1" applyFont="1" applyFill="1" applyBorder="1"/>
    <xf numFmtId="0" fontId="8" fillId="6" borderId="0" xfId="0" quotePrefix="1" applyFont="1" applyFill="1" applyAlignment="1">
      <alignment horizontal="left"/>
    </xf>
    <xf numFmtId="0" fontId="1" fillId="6" borderId="44" xfId="19">
      <alignment horizontal="left"/>
    </xf>
    <xf numFmtId="0" fontId="36" fillId="7" borderId="0" xfId="0" applyFont="1" applyFill="1" applyProtection="1">
      <protection hidden="1"/>
    </xf>
    <xf numFmtId="0" fontId="37" fillId="7" borderId="0" xfId="0" applyFont="1" applyFill="1"/>
    <xf numFmtId="0" fontId="37" fillId="7" borderId="0" xfId="0" applyFont="1" applyFill="1" applyAlignment="1">
      <alignment horizontal="center"/>
    </xf>
    <xf numFmtId="0" fontId="36" fillId="7" borderId="0" xfId="20"/>
    <xf numFmtId="0" fontId="8" fillId="0" borderId="0" xfId="0" applyFont="1" applyFill="1" applyBorder="1" applyAlignment="1">
      <alignment wrapText="1"/>
    </xf>
    <xf numFmtId="0" fontId="0" fillId="0" borderId="0" xfId="0" applyFont="1" applyBorder="1"/>
    <xf numFmtId="9" fontId="0" fillId="0" borderId="0" xfId="0" applyNumberFormat="1"/>
    <xf numFmtId="0" fontId="0" fillId="0" borderId="0" xfId="0"/>
    <xf numFmtId="0" fontId="0" fillId="6" borderId="0" xfId="0" applyFill="1"/>
    <xf numFmtId="0" fontId="0" fillId="7" borderId="0" xfId="0" applyFill="1"/>
    <xf numFmtId="164" fontId="5" fillId="8" borderId="2" xfId="3" applyNumberFormat="1" applyFill="1"/>
    <xf numFmtId="0" fontId="0" fillId="6" borderId="38" xfId="0" applyFill="1" applyBorder="1" applyAlignment="1">
      <alignment vertical="top" wrapText="1"/>
    </xf>
    <xf numFmtId="0" fontId="1" fillId="6" borderId="44" xfId="19">
      <alignment horizontal="left"/>
    </xf>
    <xf numFmtId="164" fontId="9" fillId="6" borderId="0" xfId="0" quotePrefix="1" applyNumberFormat="1" applyFont="1" applyFill="1" applyAlignment="1">
      <alignment horizontal="left"/>
    </xf>
    <xf numFmtId="0" fontId="4" fillId="2" borderId="1" xfId="2" applyAlignment="1" applyProtection="1">
      <alignment vertical="top"/>
      <protection locked="0"/>
    </xf>
    <xf numFmtId="0" fontId="36" fillId="7" borderId="0" xfId="0" applyFont="1" applyFill="1" applyAlignment="1" applyProtection="1">
      <alignment vertical="top"/>
      <protection hidden="1"/>
    </xf>
    <xf numFmtId="166" fontId="4" fillId="21" borderId="1" xfId="1" applyNumberFormat="1" applyFont="1" applyFill="1" applyBorder="1" applyAlignment="1" applyProtection="1">
      <alignment vertical="top"/>
      <protection locked="0"/>
    </xf>
    <xf numFmtId="0" fontId="19" fillId="6" borderId="0" xfId="0" applyFont="1" applyFill="1" applyAlignment="1" applyProtection="1">
      <alignment vertical="top"/>
      <protection locked="0" hidden="1"/>
    </xf>
    <xf numFmtId="2" fontId="4" fillId="21" borderId="1" xfId="16" applyNumberFormat="1" applyAlignment="1" applyProtection="1">
      <alignment vertical="top"/>
      <protection locked="0"/>
    </xf>
    <xf numFmtId="0" fontId="19" fillId="6" borderId="0" xfId="0" applyFont="1" applyFill="1" applyAlignment="1" applyProtection="1">
      <alignment horizontal="left" vertical="top"/>
      <protection locked="0" hidden="1"/>
    </xf>
    <xf numFmtId="8" fontId="4" fillId="2" borderId="1" xfId="2" applyNumberFormat="1" applyAlignment="1" applyProtection="1">
      <alignment vertical="top"/>
      <protection locked="0"/>
    </xf>
    <xf numFmtId="0" fontId="0" fillId="6" borderId="0" xfId="0" applyFill="1" applyAlignment="1" applyProtection="1">
      <alignment vertical="top"/>
      <protection locked="0" hidden="1"/>
    </xf>
    <xf numFmtId="38" fontId="4" fillId="21" borderId="1" xfId="16" applyNumberFormat="1" applyAlignment="1" applyProtection="1">
      <alignment vertical="top"/>
      <protection locked="0"/>
    </xf>
    <xf numFmtId="38" fontId="4" fillId="2" borderId="1" xfId="2" applyNumberFormat="1" applyAlignment="1" applyProtection="1">
      <alignment vertical="top"/>
      <protection locked="0"/>
    </xf>
    <xf numFmtId="164" fontId="6" fillId="3" borderId="1" xfId="1" applyNumberFormat="1" applyFont="1" applyFill="1" applyBorder="1" applyAlignment="1" applyProtection="1">
      <alignment vertical="top"/>
    </xf>
    <xf numFmtId="173" fontId="4" fillId="2" borderId="1" xfId="2" applyNumberFormat="1" applyAlignment="1" applyProtection="1">
      <alignment vertical="top"/>
      <protection locked="0"/>
    </xf>
    <xf numFmtId="173" fontId="4" fillId="21" borderId="1" xfId="16" applyNumberFormat="1" applyAlignment="1" applyProtection="1">
      <alignment vertical="top"/>
      <protection locked="0"/>
    </xf>
    <xf numFmtId="166" fontId="4" fillId="21" borderId="1" xfId="16" applyNumberFormat="1" applyAlignment="1" applyProtection="1">
      <alignment vertical="top"/>
      <protection locked="0"/>
    </xf>
    <xf numFmtId="3" fontId="4" fillId="2" borderId="1" xfId="2" applyNumberFormat="1" applyAlignment="1" applyProtection="1">
      <alignment horizontal="right" vertical="top"/>
      <protection locked="0"/>
    </xf>
    <xf numFmtId="9" fontId="4" fillId="5" borderId="1" xfId="1" applyNumberFormat="1" applyFont="1" applyFill="1" applyBorder="1" applyAlignment="1" applyProtection="1">
      <alignment vertical="top"/>
      <protection locked="0"/>
    </xf>
    <xf numFmtId="171" fontId="4" fillId="2" borderId="1" xfId="2" applyNumberFormat="1" applyAlignment="1" applyProtection="1">
      <alignment vertical="top"/>
      <protection locked="0"/>
    </xf>
    <xf numFmtId="0" fontId="0" fillId="0" borderId="0" xfId="0" applyAlignment="1">
      <alignment horizontal="left" vertical="top"/>
    </xf>
    <xf numFmtId="166" fontId="4" fillId="21" borderId="1" xfId="16" applyNumberFormat="1" applyBorder="1" applyAlignment="1" applyProtection="1">
      <alignment vertical="top"/>
      <protection locked="0"/>
    </xf>
    <xf numFmtId="0" fontId="19" fillId="6" borderId="0" xfId="0" applyFont="1" applyFill="1" applyBorder="1" applyAlignment="1" applyProtection="1">
      <alignment vertical="top"/>
      <protection locked="0" hidden="1"/>
    </xf>
    <xf numFmtId="9" fontId="4" fillId="5" borderId="1" xfId="1" applyFont="1" applyFill="1" applyBorder="1" applyProtection="1">
      <protection locked="0"/>
    </xf>
    <xf numFmtId="9" fontId="4" fillId="5" borderId="1" xfId="1" applyNumberFormat="1" applyFont="1" applyFill="1" applyBorder="1" applyProtection="1">
      <protection locked="0"/>
    </xf>
    <xf numFmtId="9" fontId="4" fillId="2" borderId="1" xfId="2" applyNumberFormat="1" applyAlignment="1" applyProtection="1">
      <alignment vertical="top"/>
      <protection locked="0"/>
    </xf>
    <xf numFmtId="164" fontId="0" fillId="6" borderId="54" xfId="1" applyNumberFormat="1" applyFont="1" applyFill="1" applyBorder="1"/>
    <xf numFmtId="164" fontId="4" fillId="21" borderId="1" xfId="16" applyNumberFormat="1" applyAlignment="1" applyProtection="1">
      <alignment vertical="top"/>
      <protection locked="0"/>
    </xf>
    <xf numFmtId="173" fontId="4" fillId="2" borderId="1" xfId="2" applyNumberFormat="1" applyProtection="1">
      <protection locked="0"/>
    </xf>
    <xf numFmtId="164" fontId="4" fillId="21" borderId="1" xfId="16" applyNumberFormat="1" applyBorder="1" applyAlignment="1" applyProtection="1">
      <alignment vertical="top"/>
      <protection locked="0"/>
    </xf>
    <xf numFmtId="0" fontId="0" fillId="7" borderId="0" xfId="0" applyFill="1" applyAlignment="1" applyProtection="1">
      <alignment vertical="top"/>
    </xf>
    <xf numFmtId="0" fontId="0" fillId="7" borderId="0" xfId="0" applyFill="1" applyProtection="1"/>
    <xf numFmtId="0" fontId="0" fillId="7" borderId="7" xfId="0" applyFill="1" applyBorder="1" applyProtection="1"/>
    <xf numFmtId="0" fontId="0" fillId="7" borderId="0" xfId="0" applyFill="1" applyAlignment="1" applyProtection="1">
      <alignment horizontal="center"/>
    </xf>
    <xf numFmtId="0" fontId="37" fillId="7" borderId="0" xfId="0" applyFont="1" applyFill="1" applyAlignment="1" applyProtection="1">
      <alignment vertical="top"/>
    </xf>
    <xf numFmtId="0" fontId="37" fillId="7" borderId="0" xfId="0" applyFont="1" applyFill="1" applyAlignment="1" applyProtection="1">
      <alignment horizontal="center" vertical="top"/>
    </xf>
    <xf numFmtId="0" fontId="0" fillId="6" borderId="7" xfId="0" applyFill="1" applyBorder="1" applyAlignment="1" applyProtection="1">
      <alignment vertical="top"/>
    </xf>
    <xf numFmtId="0" fontId="0" fillId="6" borderId="10" xfId="0" applyFill="1" applyBorder="1" applyProtection="1"/>
    <xf numFmtId="0" fontId="0" fillId="6" borderId="6" xfId="0" applyFill="1" applyBorder="1" applyAlignment="1" applyProtection="1">
      <alignment vertical="top"/>
    </xf>
    <xf numFmtId="0" fontId="0" fillId="6" borderId="8" xfId="0" applyFill="1" applyBorder="1" applyProtection="1"/>
    <xf numFmtId="0" fontId="0" fillId="6" borderId="7" xfId="0" applyFill="1" applyBorder="1" applyProtection="1"/>
    <xf numFmtId="0" fontId="0" fillId="6" borderId="6" xfId="0" applyFill="1" applyBorder="1" applyProtection="1"/>
    <xf numFmtId="0" fontId="37" fillId="7" borderId="0" xfId="0" applyFont="1" applyFill="1" applyAlignment="1" applyProtection="1"/>
    <xf numFmtId="0" fontId="37" fillId="7" borderId="0" xfId="0" applyFont="1" applyFill="1" applyAlignment="1" applyProtection="1">
      <alignment horizontal="center"/>
    </xf>
    <xf numFmtId="0" fontId="0" fillId="7" borderId="0" xfId="0" applyFill="1" applyAlignment="1" applyProtection="1"/>
    <xf numFmtId="0" fontId="0" fillId="0" borderId="0" xfId="0" applyProtection="1"/>
    <xf numFmtId="0" fontId="0" fillId="7" borderId="0" xfId="0" applyFill="1" applyAlignment="1" applyProtection="1">
      <alignment vertical="center"/>
    </xf>
    <xf numFmtId="0" fontId="0" fillId="6" borderId="6" xfId="0" applyFill="1" applyBorder="1" applyAlignment="1" applyProtection="1">
      <alignment vertical="center"/>
    </xf>
    <xf numFmtId="0" fontId="0" fillId="6" borderId="49" xfId="0" applyFill="1" applyBorder="1" applyAlignment="1" applyProtection="1">
      <alignment vertical="top"/>
    </xf>
    <xf numFmtId="0" fontId="0" fillId="6" borderId="8" xfId="0" applyFill="1" applyBorder="1" applyAlignment="1" applyProtection="1">
      <alignment horizontal="left" vertical="top" indent="10"/>
    </xf>
    <xf numFmtId="0" fontId="0" fillId="6" borderId="0" xfId="0" applyFill="1" applyBorder="1" applyAlignment="1" applyProtection="1">
      <alignment vertical="top" wrapText="1"/>
    </xf>
    <xf numFmtId="0" fontId="0" fillId="6" borderId="0" xfId="0" applyFill="1" applyAlignment="1" applyProtection="1">
      <alignment vertical="top"/>
    </xf>
    <xf numFmtId="9" fontId="0" fillId="6" borderId="0" xfId="1" applyFont="1" applyFill="1" applyAlignment="1" applyProtection="1">
      <alignment vertical="top"/>
    </xf>
    <xf numFmtId="0" fontId="0" fillId="6" borderId="0" xfId="0" applyFill="1" applyAlignment="1" applyProtection="1">
      <alignment horizontal="center" vertical="top"/>
    </xf>
    <xf numFmtId="0" fontId="0" fillId="6" borderId="8" xfId="0" applyFill="1" applyBorder="1" applyAlignment="1" applyProtection="1">
      <alignment vertical="top"/>
    </xf>
    <xf numFmtId="0" fontId="0" fillId="6" borderId="9" xfId="0" applyFill="1" applyBorder="1" applyProtection="1"/>
    <xf numFmtId="0" fontId="0" fillId="7" borderId="0" xfId="0" applyFill="1" applyAlignment="1" applyProtection="1">
      <alignment horizontal="center" vertical="top"/>
    </xf>
    <xf numFmtId="0" fontId="8" fillId="6" borderId="0" xfId="0" applyFont="1" applyFill="1" applyAlignment="1" applyProtection="1">
      <alignment horizontal="left" vertical="top" indent="6"/>
    </xf>
    <xf numFmtId="0" fontId="0" fillId="6" borderId="0" xfId="0" applyFill="1" applyAlignment="1" applyProtection="1">
      <alignment horizontal="left" vertical="top" indent="6"/>
    </xf>
    <xf numFmtId="0" fontId="2" fillId="7" borderId="0" xfId="0" applyFont="1" applyFill="1" applyAlignment="1" applyProtection="1">
      <alignment vertical="top"/>
    </xf>
    <xf numFmtId="0" fontId="1" fillId="6" borderId="0" xfId="19" applyBorder="1" applyAlignment="1" applyProtection="1">
      <alignment vertical="top"/>
    </xf>
    <xf numFmtId="0" fontId="8" fillId="6" borderId="0" xfId="0" quotePrefix="1" applyFont="1" applyFill="1" applyAlignment="1" applyProtection="1">
      <alignment horizontal="left" vertical="top"/>
    </xf>
    <xf numFmtId="0" fontId="0" fillId="6" borderId="0" xfId="0" applyFill="1" applyAlignment="1" applyProtection="1">
      <alignment horizontal="left" vertical="top"/>
    </xf>
    <xf numFmtId="0" fontId="2" fillId="6" borderId="0" xfId="0" applyFont="1" applyFill="1" applyAlignment="1" applyProtection="1">
      <alignment vertical="top"/>
    </xf>
    <xf numFmtId="0" fontId="0" fillId="6" borderId="0" xfId="0" applyFill="1" applyAlignment="1" applyProtection="1">
      <alignment horizontal="right" vertical="top"/>
    </xf>
    <xf numFmtId="0" fontId="12" fillId="6" borderId="0" xfId="8" applyFill="1" applyAlignment="1" applyProtection="1">
      <alignment horizontal="right" vertical="top"/>
    </xf>
    <xf numFmtId="0" fontId="9" fillId="6" borderId="0" xfId="0" applyFont="1" applyFill="1" applyAlignment="1" applyProtection="1">
      <alignment vertical="top"/>
    </xf>
    <xf numFmtId="164" fontId="9" fillId="6" borderId="0" xfId="0" quotePrefix="1" applyNumberFormat="1" applyFont="1" applyFill="1" applyAlignment="1" applyProtection="1">
      <alignment horizontal="left" vertical="top"/>
    </xf>
    <xf numFmtId="0" fontId="0" fillId="0" borderId="0" xfId="0" applyAlignment="1" applyProtection="1">
      <alignment vertical="top"/>
    </xf>
    <xf numFmtId="0" fontId="0" fillId="0" borderId="0" xfId="0" applyAlignment="1" applyProtection="1">
      <alignment horizontal="center" vertical="top"/>
    </xf>
    <xf numFmtId="0" fontId="0" fillId="0" borderId="0" xfId="0" quotePrefix="1" applyAlignment="1" applyProtection="1">
      <alignment wrapText="1"/>
    </xf>
    <xf numFmtId="0" fontId="0" fillId="0" borderId="0" xfId="0" applyAlignment="1" applyProtection="1">
      <alignment wrapText="1"/>
    </xf>
    <xf numFmtId="9" fontId="0" fillId="7" borderId="0" xfId="0" applyNumberFormat="1" applyFill="1" applyAlignment="1" applyProtection="1">
      <alignment vertical="top"/>
    </xf>
    <xf numFmtId="0" fontId="0" fillId="0" borderId="0" xfId="0" applyBorder="1" applyProtection="1"/>
    <xf numFmtId="0" fontId="36" fillId="7" borderId="0" xfId="20" applyAlignment="1" applyProtection="1">
      <alignment vertical="top"/>
    </xf>
    <xf numFmtId="0" fontId="0" fillId="7" borderId="7" xfId="0" applyFill="1" applyBorder="1" applyAlignment="1" applyProtection="1">
      <alignment vertical="top"/>
    </xf>
    <xf numFmtId="0" fontId="0" fillId="7" borderId="0" xfId="0" applyFill="1" applyBorder="1" applyAlignment="1" applyProtection="1">
      <alignment vertical="top"/>
    </xf>
    <xf numFmtId="170" fontId="0" fillId="7" borderId="0" xfId="0" applyNumberFormat="1" applyFill="1" applyAlignment="1" applyProtection="1">
      <alignment vertical="top"/>
    </xf>
    <xf numFmtId="164" fontId="0" fillId="7" borderId="0" xfId="1" applyNumberFormat="1" applyFont="1" applyFill="1" applyAlignment="1" applyProtection="1">
      <alignment vertical="top"/>
    </xf>
    <xf numFmtId="0" fontId="8" fillId="7" borderId="0" xfId="0" applyFont="1" applyFill="1" applyAlignment="1" applyProtection="1">
      <alignment vertical="top" wrapText="1"/>
    </xf>
    <xf numFmtId="0" fontId="0" fillId="7" borderId="0" xfId="0" applyFill="1" applyAlignment="1" applyProtection="1">
      <alignment wrapText="1"/>
    </xf>
    <xf numFmtId="0" fontId="4" fillId="6" borderId="0" xfId="2" applyFill="1" applyBorder="1" applyAlignment="1" applyProtection="1">
      <alignment vertical="top"/>
    </xf>
    <xf numFmtId="164" fontId="5" fillId="8" borderId="2" xfId="3" applyNumberFormat="1" applyFill="1" applyAlignment="1" applyProtection="1">
      <alignment vertical="top"/>
    </xf>
    <xf numFmtId="172" fontId="4" fillId="6" borderId="0" xfId="16" applyNumberFormat="1" applyFill="1" applyBorder="1" applyAlignment="1" applyProtection="1">
      <alignment vertical="top"/>
    </xf>
    <xf numFmtId="0" fontId="0" fillId="7" borderId="0" xfId="0" quotePrefix="1" applyFill="1" applyAlignment="1" applyProtection="1">
      <alignment vertical="top" wrapText="1"/>
    </xf>
    <xf numFmtId="0" fontId="4" fillId="2" borderId="1" xfId="2" applyBorder="1" applyAlignment="1" applyProtection="1">
      <alignment horizontal="left"/>
    </xf>
    <xf numFmtId="0" fontId="4" fillId="21" borderId="1" xfId="16" applyBorder="1" applyAlignment="1" applyProtection="1">
      <alignment horizontal="left"/>
    </xf>
    <xf numFmtId="1" fontId="0" fillId="0" borderId="0" xfId="0" applyNumberFormat="1"/>
    <xf numFmtId="175" fontId="0" fillId="0" borderId="0" xfId="0" applyNumberFormat="1"/>
    <xf numFmtId="0" fontId="0" fillId="25" borderId="0" xfId="0" applyFill="1" applyAlignment="1">
      <alignment vertical="top"/>
    </xf>
    <xf numFmtId="0" fontId="0" fillId="26" borderId="0" xfId="0" applyFill="1" applyAlignment="1">
      <alignment vertical="top"/>
    </xf>
    <xf numFmtId="0" fontId="0" fillId="27" borderId="0" xfId="0" applyFill="1" applyAlignment="1">
      <alignment vertical="top"/>
    </xf>
    <xf numFmtId="0" fontId="0" fillId="28" borderId="0" xfId="0" applyFill="1" applyAlignment="1">
      <alignment vertical="top"/>
    </xf>
    <xf numFmtId="0" fontId="2" fillId="0" borderId="0" xfId="0" applyFont="1" applyAlignment="1">
      <alignment vertical="top"/>
    </xf>
    <xf numFmtId="0" fontId="2" fillId="0" borderId="0" xfId="0" applyFont="1" applyAlignment="1">
      <alignment vertical="center" wrapText="1"/>
    </xf>
    <xf numFmtId="0" fontId="2" fillId="25" borderId="0" xfId="0" applyFont="1" applyFill="1" applyAlignment="1">
      <alignment vertical="top" wrapText="1"/>
    </xf>
    <xf numFmtId="0" fontId="2" fillId="0" borderId="0" xfId="0" applyFont="1" applyAlignment="1">
      <alignment vertical="top" wrapText="1"/>
    </xf>
    <xf numFmtId="0" fontId="2" fillId="26" borderId="0" xfId="0" applyFont="1" applyFill="1" applyAlignment="1">
      <alignment vertical="top" wrapText="1"/>
    </xf>
    <xf numFmtId="0" fontId="2" fillId="27" borderId="0" xfId="0" applyFont="1" applyFill="1" applyAlignment="1">
      <alignment vertical="top" wrapText="1"/>
    </xf>
    <xf numFmtId="0" fontId="2" fillId="28" borderId="0" xfId="0" applyFont="1" applyFill="1" applyAlignment="1">
      <alignment vertical="top" wrapText="1"/>
    </xf>
    <xf numFmtId="10" fontId="0" fillId="0" borderId="0" xfId="0" applyNumberFormat="1" applyAlignment="1">
      <alignment vertical="top"/>
    </xf>
    <xf numFmtId="9" fontId="0" fillId="0" borderId="0" xfId="0" applyNumberFormat="1" applyAlignment="1">
      <alignment vertical="top" wrapText="1"/>
    </xf>
    <xf numFmtId="164" fontId="0" fillId="0" borderId="0" xfId="0" applyNumberFormat="1" applyAlignment="1">
      <alignment vertical="top"/>
    </xf>
    <xf numFmtId="176" fontId="0" fillId="0" borderId="0" xfId="0" applyNumberFormat="1" applyAlignment="1">
      <alignment vertical="top"/>
    </xf>
    <xf numFmtId="0" fontId="0" fillId="26" borderId="0" xfId="0" applyFill="1" applyAlignment="1">
      <alignment vertical="top" wrapText="1"/>
    </xf>
    <xf numFmtId="0" fontId="0" fillId="28" borderId="0" xfId="0" applyFill="1" applyAlignment="1">
      <alignment vertical="top" wrapText="1"/>
    </xf>
    <xf numFmtId="10" fontId="0" fillId="0" borderId="0" xfId="0" applyNumberFormat="1" applyAlignment="1">
      <alignment vertical="top" wrapText="1"/>
    </xf>
    <xf numFmtId="9" fontId="0" fillId="0" borderId="0" xfId="0" applyNumberFormat="1" applyAlignment="1">
      <alignment vertical="top"/>
    </xf>
    <xf numFmtId="0" fontId="0" fillId="27" borderId="0" xfId="0" applyFill="1" applyAlignment="1">
      <alignment vertical="top" wrapText="1"/>
    </xf>
    <xf numFmtId="9" fontId="0" fillId="29" borderId="0" xfId="0" applyNumberFormat="1" applyFill="1" applyAlignment="1">
      <alignment vertical="top" wrapText="1"/>
    </xf>
    <xf numFmtId="164" fontId="8" fillId="0" borderId="0" xfId="0" applyNumberFormat="1" applyFont="1" applyAlignment="1">
      <alignment vertical="top"/>
    </xf>
    <xf numFmtId="0" fontId="0" fillId="20" borderId="0" xfId="0" applyFill="1" applyAlignment="1">
      <alignment vertical="top"/>
    </xf>
    <xf numFmtId="0" fontId="0" fillId="20" borderId="0" xfId="0" applyFill="1" applyAlignment="1">
      <alignment vertical="top" wrapText="1"/>
    </xf>
    <xf numFmtId="10" fontId="0" fillId="20" borderId="0" xfId="0" applyNumberFormat="1" applyFill="1" applyAlignment="1">
      <alignment vertical="top"/>
    </xf>
    <xf numFmtId="164" fontId="0" fillId="20" borderId="0" xfId="0" applyNumberFormat="1" applyFill="1" applyAlignment="1">
      <alignment vertical="top"/>
    </xf>
    <xf numFmtId="176" fontId="0" fillId="20" borderId="0" xfId="0" applyNumberFormat="1" applyFill="1" applyAlignment="1">
      <alignment vertical="top"/>
    </xf>
    <xf numFmtId="9" fontId="0" fillId="20" borderId="0" xfId="0" applyNumberFormat="1" applyFill="1" applyAlignment="1">
      <alignment vertical="top"/>
    </xf>
    <xf numFmtId="0" fontId="2" fillId="20" borderId="0" xfId="0" applyFont="1" applyFill="1" applyAlignment="1">
      <alignment vertical="top"/>
    </xf>
    <xf numFmtId="9" fontId="0" fillId="20" borderId="0" xfId="0" applyNumberFormat="1" applyFill="1" applyAlignment="1">
      <alignment vertical="top" wrapText="1"/>
    </xf>
    <xf numFmtId="9" fontId="4" fillId="21" borderId="1" xfId="16" applyNumberFormat="1" applyAlignment="1" applyProtection="1">
      <alignment vertical="top"/>
      <protection locked="0"/>
    </xf>
    <xf numFmtId="0" fontId="0" fillId="29" borderId="0" xfId="0" applyFill="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top"/>
    </xf>
    <xf numFmtId="0" fontId="2" fillId="0" borderId="0" xfId="0" applyFont="1"/>
    <xf numFmtId="0" fontId="2" fillId="0" borderId="0" xfId="0" applyFont="1" applyAlignment="1">
      <alignment wrapText="1"/>
    </xf>
    <xf numFmtId="0" fontId="0" fillId="26" borderId="58" xfId="0" applyFill="1" applyBorder="1" applyAlignment="1">
      <alignment horizontal="center"/>
    </xf>
    <xf numFmtId="0" fontId="0" fillId="0" borderId="0" xfId="0" applyAlignment="1">
      <alignment horizontal="centerContinuous" wrapText="1"/>
    </xf>
    <xf numFmtId="0" fontId="0" fillId="0" borderId="0" xfId="0" applyAlignment="1">
      <alignment horizontal="centerContinuous"/>
    </xf>
    <xf numFmtId="0" fontId="0" fillId="0" borderId="60" xfId="0" applyBorder="1" applyAlignment="1">
      <alignment horizontal="centerContinuous"/>
    </xf>
    <xf numFmtId="0" fontId="0" fillId="0" borderId="46" xfId="0" applyBorder="1" applyAlignment="1">
      <alignment horizontal="centerContinuous"/>
    </xf>
    <xf numFmtId="0" fontId="0" fillId="0" borderId="61" xfId="0" applyBorder="1" applyAlignment="1">
      <alignment horizontal="centerContinuous"/>
    </xf>
    <xf numFmtId="0" fontId="0" fillId="0" borderId="63" xfId="0" applyBorder="1"/>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0" fillId="0" borderId="62" xfId="0" applyBorder="1" applyAlignment="1">
      <alignment horizontal="center"/>
    </xf>
    <xf numFmtId="0" fontId="0" fillId="0" borderId="43" xfId="0" applyBorder="1" applyAlignment="1">
      <alignment horizontal="center"/>
    </xf>
    <xf numFmtId="0" fontId="0" fillId="0" borderId="63" xfId="0" applyBorder="1" applyAlignment="1">
      <alignment horizontal="center"/>
    </xf>
    <xf numFmtId="0" fontId="0" fillId="0" borderId="0" xfId="0" applyAlignment="1"/>
    <xf numFmtId="10" fontId="0" fillId="0" borderId="0" xfId="0" applyNumberFormat="1"/>
    <xf numFmtId="0" fontId="0" fillId="0" borderId="0" xfId="0" applyNumberFormat="1"/>
    <xf numFmtId="0" fontId="0" fillId="0" borderId="67" xfId="0" applyBorder="1" applyAlignment="1">
      <alignment horizontal="centerContinuous"/>
    </xf>
    <xf numFmtId="9" fontId="0" fillId="26" borderId="58" xfId="0" applyNumberFormat="1" applyFill="1" applyBorder="1"/>
    <xf numFmtId="0" fontId="0" fillId="0" borderId="0" xfId="0" applyFill="1" applyProtection="1"/>
    <xf numFmtId="0" fontId="0" fillId="29" borderId="58" xfId="0" applyFill="1" applyBorder="1" applyAlignment="1">
      <alignment horizontal="left"/>
    </xf>
    <xf numFmtId="9" fontId="4" fillId="2" borderId="1" xfId="2" applyNumberFormat="1" applyAlignment="1" applyProtection="1">
      <alignment horizontal="right" vertical="top"/>
      <protection locked="0"/>
    </xf>
    <xf numFmtId="3" fontId="0" fillId="26" borderId="59" xfId="0" applyNumberFormat="1" applyFill="1" applyBorder="1" applyAlignment="1">
      <alignment horizontal="center"/>
    </xf>
    <xf numFmtId="3" fontId="0" fillId="26" borderId="58" xfId="0" applyNumberFormat="1" applyFill="1" applyBorder="1" applyAlignment="1">
      <alignment horizontal="center"/>
    </xf>
    <xf numFmtId="3" fontId="0" fillId="26" borderId="58" xfId="0" applyNumberFormat="1" applyFill="1" applyBorder="1" applyAlignment="1">
      <alignment horizontal="left"/>
    </xf>
    <xf numFmtId="170" fontId="4" fillId="2" borderId="1" xfId="2" applyNumberFormat="1" applyAlignment="1" applyProtection="1">
      <alignment horizontal="right" vertical="top"/>
      <protection locked="0"/>
    </xf>
    <xf numFmtId="0" fontId="12" fillId="0" borderId="0" xfId="8" applyAlignment="1">
      <alignment vertical="top"/>
    </xf>
    <xf numFmtId="0" fontId="12" fillId="20" borderId="0" xfId="8" applyFill="1" applyAlignment="1">
      <alignment vertical="top"/>
    </xf>
    <xf numFmtId="177" fontId="0" fillId="0" borderId="0" xfId="0" applyNumberFormat="1"/>
    <xf numFmtId="11" fontId="0" fillId="0" borderId="0" xfId="0" applyNumberFormat="1"/>
    <xf numFmtId="1" fontId="2" fillId="0" borderId="0" xfId="0" applyNumberFormat="1" applyFont="1"/>
    <xf numFmtId="1" fontId="0" fillId="26" borderId="58" xfId="0" applyNumberFormat="1" applyFill="1" applyBorder="1"/>
    <xf numFmtId="0" fontId="0" fillId="26" borderId="58" xfId="0" applyFill="1" applyBorder="1"/>
    <xf numFmtId="0" fontId="2" fillId="29" borderId="0" xfId="0" applyFont="1" applyFill="1"/>
    <xf numFmtId="0" fontId="9" fillId="29" borderId="0" xfId="0" applyFont="1" applyFill="1"/>
    <xf numFmtId="0" fontId="8" fillId="6" borderId="0" xfId="0" applyFont="1" applyFill="1" applyAlignment="1" applyProtection="1">
      <alignment vertical="top"/>
      <protection hidden="1"/>
    </xf>
    <xf numFmtId="0" fontId="12" fillId="0" borderId="0" xfId="8" applyFill="1" applyAlignment="1">
      <alignment vertical="top"/>
    </xf>
    <xf numFmtId="164" fontId="0" fillId="0" borderId="0" xfId="0" applyNumberFormat="1"/>
    <xf numFmtId="164" fontId="2" fillId="0" borderId="0" xfId="0" applyNumberFormat="1" applyFont="1"/>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0" fillId="0" borderId="0" xfId="0" applyAlignment="1">
      <alignment horizontal="left"/>
    </xf>
    <xf numFmtId="0" fontId="2" fillId="0" borderId="0" xfId="0" applyFont="1" applyAlignment="1">
      <alignment horizontal="left"/>
    </xf>
    <xf numFmtId="22" fontId="0" fillId="0" borderId="0" xfId="0" applyNumberFormat="1" applyAlignment="1">
      <alignment horizontal="left" vertical="top"/>
    </xf>
    <xf numFmtId="0" fontId="0" fillId="0" borderId="0" xfId="0" applyAlignment="1">
      <alignment vertical="center" wrapText="1"/>
    </xf>
    <xf numFmtId="0" fontId="0" fillId="30" borderId="0" xfId="0" applyFill="1" applyAlignment="1">
      <alignment vertical="center" wrapText="1"/>
    </xf>
    <xf numFmtId="0" fontId="0" fillId="0" borderId="0" xfId="0" applyFill="1" applyAlignment="1">
      <alignment vertical="center" wrapText="1"/>
    </xf>
    <xf numFmtId="0" fontId="0" fillId="0" borderId="0" xfId="0" applyAlignment="1">
      <alignment vertical="top" wrapText="1"/>
    </xf>
    <xf numFmtId="0" fontId="0" fillId="0" borderId="0" xfId="0" applyAlignment="1">
      <alignment vertical="top"/>
    </xf>
    <xf numFmtId="0" fontId="2" fillId="0" borderId="0" xfId="0" applyFont="1" applyFill="1" applyAlignment="1">
      <alignment wrapText="1"/>
    </xf>
    <xf numFmtId="164" fontId="0" fillId="0" borderId="0" xfId="0" applyNumberFormat="1" applyFill="1"/>
    <xf numFmtId="14" fontId="0" fillId="0" borderId="0" xfId="0" applyNumberFormat="1" applyAlignment="1">
      <alignment horizontal="left" vertical="top"/>
    </xf>
    <xf numFmtId="0" fontId="0" fillId="6" borderId="10" xfId="0" applyFill="1" applyBorder="1" applyAlignment="1" applyProtection="1">
      <alignment vertical="top" wrapText="1"/>
    </xf>
    <xf numFmtId="0" fontId="0" fillId="6" borderId="9" xfId="0" applyFill="1" applyBorder="1" applyAlignment="1" applyProtection="1">
      <alignment vertical="top"/>
    </xf>
    <xf numFmtId="0" fontId="0" fillId="6" borderId="9" xfId="0" applyFill="1" applyBorder="1" applyAlignment="1" applyProtection="1">
      <alignment vertical="top" wrapText="1"/>
    </xf>
    <xf numFmtId="1" fontId="0" fillId="26" borderId="58" xfId="0" applyNumberFormat="1" applyFill="1" applyBorder="1" applyAlignment="1">
      <alignment horizontal="center"/>
    </xf>
    <xf numFmtId="0" fontId="0" fillId="0" borderId="0" xfId="0" applyFill="1" applyBorder="1" applyAlignment="1">
      <alignment vertical="center" wrapText="1"/>
    </xf>
    <xf numFmtId="0" fontId="0" fillId="0" borderId="0" xfId="0"/>
    <xf numFmtId="10" fontId="0" fillId="29" borderId="58" xfId="0" applyNumberFormat="1" applyFill="1" applyBorder="1" applyAlignment="1">
      <alignment horizontal="left"/>
    </xf>
    <xf numFmtId="0" fontId="0" fillId="0" borderId="64" xfId="0" applyBorder="1"/>
    <xf numFmtId="0" fontId="0" fillId="0" borderId="65" xfId="0" applyBorder="1"/>
    <xf numFmtId="0" fontId="0" fillId="0" borderId="66" xfId="0" applyBorder="1"/>
    <xf numFmtId="170" fontId="4" fillId="5" borderId="1" xfId="1" applyNumberFormat="1" applyFont="1" applyFill="1" applyBorder="1" applyProtection="1">
      <protection locked="0"/>
    </xf>
    <xf numFmtId="166" fontId="4" fillId="5" borderId="1" xfId="1" applyNumberFormat="1" applyFont="1" applyFill="1" applyBorder="1" applyProtection="1">
      <protection locked="0"/>
    </xf>
    <xf numFmtId="0" fontId="33" fillId="2" borderId="1" xfId="2" applyFont="1" applyBorder="1" applyAlignment="1" applyProtection="1">
      <alignment horizontal="left"/>
      <protection locked="0"/>
    </xf>
    <xf numFmtId="0" fontId="17" fillId="7" borderId="0" xfId="0" applyFont="1" applyFill="1" applyBorder="1" applyProtection="1"/>
    <xf numFmtId="0" fontId="17" fillId="7" borderId="0" xfId="0" applyFont="1" applyFill="1" applyAlignment="1" applyProtection="1">
      <alignment vertical="top"/>
    </xf>
    <xf numFmtId="0" fontId="17" fillId="7" borderId="0" xfId="0" applyFont="1" applyFill="1" applyProtection="1"/>
    <xf numFmtId="0" fontId="17" fillId="7" borderId="0" xfId="0" quotePrefix="1" applyFont="1" applyFill="1" applyAlignment="1" applyProtection="1">
      <alignment vertical="top" wrapText="1"/>
    </xf>
    <xf numFmtId="3" fontId="4" fillId="6" borderId="1" xfId="2" applyNumberFormat="1" applyFill="1" applyAlignment="1" applyProtection="1">
      <alignment horizontal="right" vertical="top"/>
    </xf>
    <xf numFmtId="0" fontId="8"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0" fillId="7" borderId="0" xfId="0" applyFill="1" applyAlignment="1">
      <alignment vertical="top" wrapText="1"/>
    </xf>
    <xf numFmtId="0" fontId="0" fillId="7" borderId="0" xfId="0" applyFill="1" applyAlignment="1">
      <alignment horizontal="left" vertical="top" wrapText="1"/>
    </xf>
    <xf numFmtId="0" fontId="9" fillId="7" borderId="0" xfId="0" applyFont="1" applyFill="1" applyAlignment="1">
      <alignment vertical="top" wrapText="1"/>
    </xf>
    <xf numFmtId="0" fontId="0" fillId="6" borderId="76" xfId="0" applyFill="1"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Font="1" applyAlignment="1">
      <alignment vertical="top"/>
    </xf>
    <xf numFmtId="179" fontId="4" fillId="2" borderId="1" xfId="2" applyNumberFormat="1" applyAlignment="1" applyProtection="1">
      <alignment vertical="top"/>
      <protection locked="0"/>
    </xf>
    <xf numFmtId="0" fontId="12" fillId="7" borderId="0" xfId="8" applyFill="1" applyAlignment="1">
      <alignment horizontal="right"/>
    </xf>
    <xf numFmtId="0" fontId="0" fillId="0" borderId="0" xfId="0" applyAlignment="1">
      <alignment vertical="top" wrapText="1"/>
    </xf>
    <xf numFmtId="0" fontId="0" fillId="6" borderId="0" xfId="0" applyFill="1" applyAlignment="1" applyProtection="1">
      <alignment vertical="top" wrapText="1"/>
    </xf>
    <xf numFmtId="0" fontId="0" fillId="6" borderId="0" xfId="0" applyFill="1" applyAlignment="1" applyProtection="1">
      <alignment horizontal="left" vertical="top" wrapText="1"/>
    </xf>
    <xf numFmtId="0" fontId="7" fillId="7" borderId="0" xfId="0" applyFont="1" applyFill="1" applyAlignment="1" applyProtection="1">
      <alignment vertical="top" wrapText="1"/>
    </xf>
    <xf numFmtId="0" fontId="36" fillId="7" borderId="0" xfId="0" applyFont="1" applyFill="1" applyAlignment="1" applyProtection="1">
      <alignment vertical="top"/>
    </xf>
    <xf numFmtId="0" fontId="0" fillId="0" borderId="0" xfId="0" applyAlignment="1" applyProtection="1">
      <alignment horizontal="right"/>
    </xf>
    <xf numFmtId="0" fontId="8" fillId="6" borderId="0" xfId="0" applyFont="1" applyFill="1" applyAlignment="1" applyProtection="1">
      <alignment horizontal="left" vertical="top"/>
    </xf>
    <xf numFmtId="0" fontId="8" fillId="6" borderId="0" xfId="0" applyFont="1" applyFill="1" applyAlignment="1" applyProtection="1">
      <alignment vertical="top"/>
    </xf>
    <xf numFmtId="0" fontId="7" fillId="6" borderId="0" xfId="0" applyFont="1" applyFill="1" applyAlignment="1" applyProtection="1">
      <alignment vertical="top"/>
    </xf>
    <xf numFmtId="0" fontId="7" fillId="6" borderId="0" xfId="0" applyFont="1" applyFill="1" applyAlignment="1" applyProtection="1">
      <alignment horizontal="left" vertical="top" indent="6"/>
    </xf>
    <xf numFmtId="0" fontId="1" fillId="6" borderId="44" xfId="19" applyAlignment="1" applyProtection="1">
      <alignment horizontal="left" vertical="top"/>
    </xf>
    <xf numFmtId="164" fontId="0" fillId="6" borderId="54" xfId="1" applyNumberFormat="1" applyFont="1" applyFill="1" applyBorder="1" applyAlignment="1" applyProtection="1">
      <alignment vertical="top"/>
    </xf>
    <xf numFmtId="0" fontId="19" fillId="6" borderId="0" xfId="0" applyFont="1" applyFill="1" applyAlignment="1" applyProtection="1">
      <alignment horizontal="center" vertical="top"/>
    </xf>
    <xf numFmtId="0" fontId="17" fillId="6" borderId="0" xfId="0" applyFont="1" applyFill="1" applyAlignment="1" applyProtection="1">
      <alignment vertical="top"/>
    </xf>
    <xf numFmtId="0" fontId="7" fillId="6" borderId="9" xfId="0" quotePrefix="1" applyFont="1" applyFill="1" applyBorder="1" applyAlignment="1" applyProtection="1">
      <alignment horizontal="left" vertical="top"/>
    </xf>
    <xf numFmtId="0" fontId="7" fillId="6" borderId="9" xfId="0" applyFont="1" applyFill="1" applyBorder="1" applyAlignment="1" applyProtection="1">
      <alignment horizontal="centerContinuous"/>
    </xf>
    <xf numFmtId="0" fontId="0" fillId="0" borderId="0" xfId="0" applyAlignment="1" applyProtection="1">
      <alignment horizontal="center"/>
    </xf>
    <xf numFmtId="0" fontId="17" fillId="6" borderId="0" xfId="0" applyFont="1" applyFill="1" applyAlignment="1" applyProtection="1">
      <alignment vertical="top"/>
      <protection locked="0"/>
    </xf>
    <xf numFmtId="0" fontId="0" fillId="5" borderId="0" xfId="0" applyFill="1" applyProtection="1"/>
    <xf numFmtId="0" fontId="44" fillId="7" borderId="0" xfId="0" applyFont="1" applyFill="1" applyAlignment="1" applyProtection="1"/>
    <xf numFmtId="0" fontId="21" fillId="18" borderId="38" xfId="9" applyFill="1" applyBorder="1" applyProtection="1"/>
    <xf numFmtId="0" fontId="23" fillId="18" borderId="39" xfId="9" applyFont="1" applyFill="1" applyBorder="1" applyProtection="1"/>
    <xf numFmtId="0" fontId="0" fillId="18" borderId="39" xfId="0" applyFill="1" applyBorder="1" applyProtection="1"/>
    <xf numFmtId="0" fontId="0" fillId="18" borderId="39" xfId="0" applyFill="1" applyBorder="1" applyAlignment="1" applyProtection="1">
      <alignment horizontal="center"/>
    </xf>
    <xf numFmtId="0" fontId="21" fillId="18" borderId="39" xfId="9" applyFill="1" applyBorder="1" applyProtection="1"/>
    <xf numFmtId="0" fontId="21" fillId="18" borderId="40" xfId="9" applyFill="1" applyBorder="1" applyProtection="1"/>
    <xf numFmtId="0" fontId="0" fillId="6" borderId="25" xfId="0" applyFill="1" applyBorder="1" applyAlignment="1" applyProtection="1">
      <alignment vertical="top" wrapText="1"/>
    </xf>
    <xf numFmtId="0" fontId="0" fillId="6" borderId="27" xfId="0" applyFill="1" applyBorder="1" applyAlignment="1" applyProtection="1">
      <alignment vertical="top" wrapText="1"/>
    </xf>
    <xf numFmtId="0" fontId="0" fillId="6" borderId="55" xfId="0" applyFill="1" applyBorder="1" applyAlignment="1" applyProtection="1">
      <alignment vertical="top" wrapText="1"/>
    </xf>
    <xf numFmtId="0" fontId="0" fillId="6" borderId="57" xfId="0" applyFill="1" applyBorder="1" applyAlignment="1" applyProtection="1">
      <alignment vertical="top" wrapText="1"/>
    </xf>
    <xf numFmtId="0" fontId="0" fillId="18" borderId="40" xfId="0" applyFill="1" applyBorder="1" applyAlignment="1" applyProtection="1">
      <alignment horizontal="center"/>
    </xf>
    <xf numFmtId="0" fontId="0" fillId="7" borderId="0" xfId="0" applyFill="1" applyBorder="1" applyAlignment="1" applyProtection="1">
      <alignment horizontal="center"/>
    </xf>
    <xf numFmtId="0" fontId="0" fillId="6" borderId="25" xfId="0" applyFill="1" applyBorder="1" applyProtection="1"/>
    <xf numFmtId="0" fontId="2" fillId="6" borderId="26" xfId="0" applyFont="1" applyFill="1" applyBorder="1" applyAlignment="1" applyProtection="1"/>
    <xf numFmtId="0" fontId="0" fillId="6" borderId="26" xfId="0" applyFill="1" applyBorder="1" applyAlignment="1" applyProtection="1">
      <alignment horizontal="left"/>
    </xf>
    <xf numFmtId="0" fontId="0" fillId="6" borderId="27" xfId="0" applyFill="1" applyBorder="1" applyAlignment="1" applyProtection="1">
      <alignment horizontal="left"/>
    </xf>
    <xf numFmtId="0" fontId="0" fillId="7" borderId="0" xfId="0" applyFill="1" applyBorder="1" applyAlignment="1" applyProtection="1">
      <alignment horizontal="left"/>
    </xf>
    <xf numFmtId="0" fontId="0" fillId="6" borderId="27" xfId="0" applyFill="1" applyBorder="1" applyProtection="1"/>
    <xf numFmtId="0" fontId="0" fillId="6" borderId="28" xfId="0" applyFill="1" applyBorder="1" applyProtection="1"/>
    <xf numFmtId="0" fontId="0" fillId="6" borderId="0" xfId="0" applyFill="1" applyBorder="1" applyAlignment="1" applyProtection="1"/>
    <xf numFmtId="0" fontId="0" fillId="6" borderId="0" xfId="0" applyFill="1" applyBorder="1" applyAlignment="1" applyProtection="1">
      <alignment horizontal="left"/>
    </xf>
    <xf numFmtId="0" fontId="0" fillId="6" borderId="29" xfId="0" applyFill="1" applyBorder="1" applyAlignment="1" applyProtection="1">
      <alignment horizontal="left"/>
    </xf>
    <xf numFmtId="0" fontId="0" fillId="6" borderId="29" xfId="0" applyFill="1" applyBorder="1" applyProtection="1"/>
    <xf numFmtId="0" fontId="0" fillId="6" borderId="0" xfId="0" applyFill="1" applyBorder="1" applyAlignment="1" applyProtection="1">
      <alignment horizontal="left" indent="1"/>
    </xf>
    <xf numFmtId="0" fontId="0" fillId="6" borderId="54" xfId="10" applyFont="1" applyBorder="1" applyAlignment="1" applyProtection="1">
      <alignment horizontal="left"/>
    </xf>
    <xf numFmtId="0" fontId="0" fillId="6" borderId="28" xfId="0" applyFill="1" applyBorder="1" applyAlignment="1" applyProtection="1">
      <alignment wrapText="1"/>
    </xf>
    <xf numFmtId="0" fontId="0" fillId="7" borderId="0" xfId="0" applyFill="1" applyBorder="1" applyAlignment="1" applyProtection="1">
      <alignment wrapText="1"/>
    </xf>
    <xf numFmtId="0" fontId="0" fillId="6" borderId="0" xfId="0" applyFill="1" applyBorder="1" applyAlignment="1" applyProtection="1">
      <alignment wrapText="1"/>
    </xf>
    <xf numFmtId="0" fontId="0" fillId="6" borderId="29" xfId="0" applyFill="1" applyBorder="1" applyAlignment="1" applyProtection="1">
      <alignment wrapText="1"/>
    </xf>
    <xf numFmtId="0" fontId="1" fillId="6" borderId="44" xfId="10" applyBorder="1" applyAlignment="1" applyProtection="1">
      <alignment horizontal="left"/>
    </xf>
    <xf numFmtId="0" fontId="6" fillId="3" borderId="1" xfId="4" applyBorder="1" applyAlignment="1" applyProtection="1">
      <alignment horizontal="left"/>
    </xf>
    <xf numFmtId="0" fontId="5" fillId="3" borderId="2" xfId="3" applyBorder="1" applyAlignment="1" applyProtection="1">
      <alignment horizontal="left"/>
    </xf>
    <xf numFmtId="0" fontId="9" fillId="26" borderId="53" xfId="18" applyFill="1" applyProtection="1"/>
    <xf numFmtId="0" fontId="9" fillId="21" borderId="45" xfId="21" applyFill="1" applyProtection="1"/>
    <xf numFmtId="0" fontId="0" fillId="6" borderId="30" xfId="0" applyFill="1" applyBorder="1" applyProtection="1"/>
    <xf numFmtId="0" fontId="0" fillId="6" borderId="31" xfId="0" applyFill="1" applyBorder="1" applyAlignment="1" applyProtection="1"/>
    <xf numFmtId="0" fontId="0" fillId="6" borderId="31" xfId="0" applyFill="1" applyBorder="1" applyAlignment="1" applyProtection="1">
      <alignment horizontal="left"/>
    </xf>
    <xf numFmtId="0" fontId="0" fillId="6" borderId="32" xfId="0" applyFill="1" applyBorder="1" applyAlignment="1" applyProtection="1">
      <alignment horizontal="left"/>
    </xf>
    <xf numFmtId="0" fontId="0" fillId="6" borderId="32" xfId="0" applyFill="1" applyBorder="1" applyProtection="1"/>
    <xf numFmtId="0" fontId="21" fillId="18" borderId="25" xfId="9" applyFill="1" applyBorder="1" applyProtection="1"/>
    <xf numFmtId="0" fontId="23" fillId="18" borderId="26" xfId="9" applyFont="1" applyFill="1" applyBorder="1" applyProtection="1"/>
    <xf numFmtId="0" fontId="0" fillId="18" borderId="26" xfId="0" applyFill="1" applyBorder="1" applyProtection="1"/>
    <xf numFmtId="0" fontId="0" fillId="18" borderId="26" xfId="0" applyFill="1" applyBorder="1" applyAlignment="1" applyProtection="1">
      <alignment horizontal="center"/>
    </xf>
    <xf numFmtId="0" fontId="21" fillId="18" borderId="26" xfId="9" applyFill="1" applyBorder="1" applyProtection="1"/>
    <xf numFmtId="0" fontId="21" fillId="18" borderId="27" xfId="9" applyFill="1" applyBorder="1" applyProtection="1"/>
    <xf numFmtId="0" fontId="2" fillId="6" borderId="26" xfId="0" applyFont="1" applyFill="1" applyBorder="1" applyProtection="1"/>
    <xf numFmtId="0" fontId="0" fillId="6" borderId="26" xfId="0" applyFill="1" applyBorder="1" applyProtection="1"/>
    <xf numFmtId="0" fontId="11" fillId="6" borderId="26" xfId="0" applyFont="1" applyFill="1" applyBorder="1" applyAlignment="1" applyProtection="1">
      <alignment horizontal="left"/>
    </xf>
    <xf numFmtId="0" fontId="2" fillId="6" borderId="0" xfId="0" applyFont="1" applyFill="1" applyBorder="1" applyProtection="1"/>
    <xf numFmtId="0" fontId="0" fillId="6" borderId="0" xfId="0" applyFill="1" applyBorder="1" applyProtection="1"/>
    <xf numFmtId="0" fontId="11" fillId="6" borderId="0" xfId="0" applyFont="1" applyFill="1" applyBorder="1" applyProtection="1"/>
    <xf numFmtId="0" fontId="11" fillId="6" borderId="0" xfId="0" applyFont="1" applyFill="1" applyBorder="1" applyAlignment="1" applyProtection="1">
      <alignment horizontal="left"/>
    </xf>
    <xf numFmtId="0" fontId="0" fillId="6" borderId="0" xfId="0" applyFont="1" applyFill="1" applyBorder="1" applyAlignment="1" applyProtection="1">
      <alignment horizontal="left"/>
    </xf>
    <xf numFmtId="0" fontId="0" fillId="6" borderId="0" xfId="0" applyFont="1" applyFill="1" applyBorder="1" applyAlignment="1" applyProtection="1">
      <alignment horizontal="left" indent="1"/>
    </xf>
    <xf numFmtId="0" fontId="0" fillId="6" borderId="0" xfId="0" applyFill="1" applyBorder="1" applyAlignment="1" applyProtection="1">
      <alignment vertical="top"/>
    </xf>
    <xf numFmtId="0" fontId="13" fillId="6" borderId="0" xfId="0" applyFont="1" applyFill="1" applyBorder="1" applyProtection="1"/>
    <xf numFmtId="0" fontId="11" fillId="6" borderId="30" xfId="0" applyFont="1" applyFill="1" applyBorder="1" applyAlignment="1" applyProtection="1">
      <alignment horizontal="left"/>
    </xf>
    <xf numFmtId="0" fontId="11" fillId="6" borderId="31" xfId="0" applyFont="1" applyFill="1" applyBorder="1" applyAlignment="1" applyProtection="1">
      <alignment horizontal="left"/>
    </xf>
    <xf numFmtId="0" fontId="0" fillId="6" borderId="31" xfId="0" applyFont="1" applyFill="1" applyBorder="1" applyAlignment="1" applyProtection="1">
      <alignment vertical="top" wrapText="1"/>
    </xf>
    <xf numFmtId="0" fontId="11" fillId="6" borderId="32" xfId="0" applyFont="1" applyFill="1" applyBorder="1" applyAlignment="1" applyProtection="1">
      <alignment horizontal="left"/>
    </xf>
    <xf numFmtId="0" fontId="11" fillId="7" borderId="0" xfId="0" applyFont="1" applyFill="1" applyAlignment="1" applyProtection="1">
      <alignment horizontal="left"/>
    </xf>
    <xf numFmtId="0" fontId="0" fillId="6" borderId="28" xfId="0" applyFill="1" applyBorder="1" applyAlignment="1" applyProtection="1">
      <alignment horizontal="center"/>
    </xf>
    <xf numFmtId="0" fontId="0" fillId="6" borderId="0" xfId="0" applyFill="1" applyBorder="1" applyAlignment="1" applyProtection="1">
      <alignment horizontal="center"/>
    </xf>
    <xf numFmtId="0" fontId="0" fillId="6" borderId="29" xfId="0" applyFill="1" applyBorder="1" applyAlignment="1" applyProtection="1">
      <alignment horizontal="center"/>
    </xf>
    <xf numFmtId="0" fontId="0" fillId="6" borderId="0" xfId="0" applyFill="1" applyBorder="1" applyAlignment="1" applyProtection="1">
      <alignment horizontal="left" vertical="top"/>
    </xf>
    <xf numFmtId="0" fontId="13" fillId="22" borderId="35" xfId="0" applyFont="1" applyFill="1" applyBorder="1" applyAlignment="1" applyProtection="1">
      <alignment horizontal="center" vertical="center"/>
    </xf>
    <xf numFmtId="0" fontId="13" fillId="19" borderId="35" xfId="0" applyFont="1" applyFill="1" applyBorder="1" applyAlignment="1" applyProtection="1">
      <alignment horizontal="center" vertical="center"/>
    </xf>
    <xf numFmtId="0" fontId="13" fillId="22" borderId="36" xfId="0" applyFont="1" applyFill="1" applyBorder="1" applyAlignment="1" applyProtection="1">
      <alignment horizontal="center" vertical="center"/>
    </xf>
    <xf numFmtId="0" fontId="13" fillId="19" borderId="36" xfId="0" applyFont="1" applyFill="1" applyBorder="1" applyAlignment="1" applyProtection="1">
      <alignment horizontal="center" vertical="center"/>
    </xf>
    <xf numFmtId="0" fontId="0" fillId="6" borderId="0" xfId="0" applyFill="1" applyBorder="1" applyAlignment="1" applyProtection="1">
      <alignment horizontal="center" vertical="top"/>
    </xf>
    <xf numFmtId="0" fontId="13" fillId="22" borderId="37" xfId="0" applyFont="1" applyFill="1" applyBorder="1" applyAlignment="1" applyProtection="1">
      <alignment horizontal="center" vertical="center"/>
    </xf>
    <xf numFmtId="0" fontId="13" fillId="19" borderId="37" xfId="0" applyFont="1" applyFill="1" applyBorder="1" applyAlignment="1" applyProtection="1">
      <alignment horizontal="center" vertical="center"/>
    </xf>
    <xf numFmtId="0" fontId="13" fillId="16" borderId="35" xfId="0" applyFont="1" applyFill="1" applyBorder="1" applyAlignment="1" applyProtection="1">
      <alignment horizontal="center" vertical="center"/>
    </xf>
    <xf numFmtId="0" fontId="13" fillId="16" borderId="36" xfId="0" applyFont="1" applyFill="1" applyBorder="1" applyAlignment="1" applyProtection="1">
      <alignment horizontal="center" vertical="center"/>
    </xf>
    <xf numFmtId="0" fontId="13" fillId="24" borderId="35" xfId="0" applyFont="1" applyFill="1" applyBorder="1" applyAlignment="1" applyProtection="1">
      <alignment horizontal="center" vertical="center"/>
    </xf>
    <xf numFmtId="0" fontId="13" fillId="16" borderId="37" xfId="0" applyFont="1" applyFill="1" applyBorder="1" applyAlignment="1" applyProtection="1">
      <alignment horizontal="center" vertical="center"/>
    </xf>
    <xf numFmtId="0" fontId="13" fillId="24" borderId="36" xfId="0" applyFont="1" applyFill="1" applyBorder="1" applyAlignment="1" applyProtection="1">
      <alignment horizontal="center" vertical="center"/>
    </xf>
    <xf numFmtId="0" fontId="13" fillId="24" borderId="37" xfId="0" applyFont="1" applyFill="1" applyBorder="1" applyAlignment="1" applyProtection="1">
      <alignment horizontal="center" vertical="center"/>
    </xf>
    <xf numFmtId="0" fontId="13" fillId="23" borderId="35" xfId="0" applyFont="1" applyFill="1" applyBorder="1" applyAlignment="1" applyProtection="1">
      <alignment horizontal="center" vertical="center"/>
    </xf>
    <xf numFmtId="0" fontId="12" fillId="6" borderId="0" xfId="8" applyFill="1" applyBorder="1" applyAlignment="1" applyProtection="1">
      <alignment horizontal="left" vertical="top" indent="2"/>
    </xf>
    <xf numFmtId="0" fontId="12" fillId="6" borderId="0" xfId="8" applyFill="1" applyBorder="1" applyAlignment="1" applyProtection="1">
      <alignment vertical="top"/>
    </xf>
    <xf numFmtId="0" fontId="13" fillId="23" borderId="36" xfId="0" applyFont="1" applyFill="1" applyBorder="1" applyAlignment="1" applyProtection="1">
      <alignment horizontal="center" vertical="center"/>
    </xf>
    <xf numFmtId="0" fontId="13" fillId="23" borderId="37" xfId="0" applyFont="1" applyFill="1" applyBorder="1" applyAlignment="1" applyProtection="1">
      <alignment horizontal="center" vertical="center"/>
    </xf>
    <xf numFmtId="0" fontId="0" fillId="6" borderId="30" xfId="0" applyFill="1" applyBorder="1" applyAlignment="1" applyProtection="1">
      <alignment horizontal="center"/>
    </xf>
    <xf numFmtId="0" fontId="0" fillId="6" borderId="31" xfId="0" applyFill="1" applyBorder="1" applyAlignment="1" applyProtection="1">
      <alignment horizontal="center"/>
    </xf>
    <xf numFmtId="0" fontId="0" fillId="6" borderId="31" xfId="0" applyFill="1" applyBorder="1" applyProtection="1"/>
    <xf numFmtId="0" fontId="0" fillId="6" borderId="32" xfId="0" applyFill="1" applyBorder="1" applyAlignment="1" applyProtection="1">
      <alignment horizontal="center"/>
    </xf>
    <xf numFmtId="0" fontId="33" fillId="21" borderId="1" xfId="16" applyFont="1" applyBorder="1" applyAlignment="1" applyProtection="1">
      <protection locked="0"/>
    </xf>
    <xf numFmtId="0" fontId="0" fillId="7" borderId="0" xfId="0" applyFill="1" applyAlignment="1" applyProtection="1">
      <alignment horizontal="center" wrapText="1"/>
    </xf>
    <xf numFmtId="0" fontId="12" fillId="7" borderId="0" xfId="8" applyFill="1" applyAlignment="1" applyProtection="1">
      <alignment horizontal="right"/>
    </xf>
    <xf numFmtId="0" fontId="54" fillId="7" borderId="0" xfId="20" applyFont="1" applyFill="1" applyProtection="1"/>
    <xf numFmtId="0" fontId="36" fillId="7" borderId="0" xfId="20" applyFont="1" applyFill="1" applyProtection="1"/>
    <xf numFmtId="0" fontId="29" fillId="7" borderId="0" xfId="8" applyFont="1" applyFill="1" applyBorder="1" applyAlignment="1" applyProtection="1">
      <alignment horizontal="right"/>
    </xf>
    <xf numFmtId="0" fontId="2" fillId="7" borderId="0" xfId="0" applyFont="1" applyFill="1" applyProtection="1"/>
    <xf numFmtId="0" fontId="8" fillId="0" borderId="0" xfId="0" applyFont="1" applyProtection="1"/>
    <xf numFmtId="0" fontId="0" fillId="8" borderId="3" xfId="0" applyFill="1" applyBorder="1" applyProtection="1"/>
    <xf numFmtId="0" fontId="0" fillId="8" borderId="4" xfId="0" applyFill="1" applyBorder="1" applyProtection="1"/>
    <xf numFmtId="0" fontId="2" fillId="8" borderId="4" xfId="0" applyFont="1" applyFill="1" applyBorder="1" applyProtection="1"/>
    <xf numFmtId="0" fontId="0" fillId="8" borderId="4" xfId="0" applyFill="1" applyBorder="1" applyAlignment="1" applyProtection="1">
      <alignment wrapText="1"/>
    </xf>
    <xf numFmtId="0" fontId="0" fillId="8" borderId="5" xfId="0" applyFill="1" applyBorder="1" applyProtection="1"/>
    <xf numFmtId="0" fontId="0" fillId="8" borderId="6" xfId="0" applyFill="1" applyBorder="1" applyProtection="1"/>
    <xf numFmtId="0" fontId="0" fillId="8" borderId="0" xfId="0" applyFill="1" applyBorder="1" applyProtection="1"/>
    <xf numFmtId="0" fontId="0" fillId="8" borderId="0" xfId="0" applyFont="1" applyFill="1" applyBorder="1" applyProtection="1"/>
    <xf numFmtId="0" fontId="8" fillId="8" borderId="0" xfId="0" applyFont="1" applyFill="1" applyBorder="1" applyProtection="1"/>
    <xf numFmtId="0" fontId="8" fillId="8" borderId="0" xfId="0" applyFont="1" applyFill="1" applyBorder="1" applyAlignment="1" applyProtection="1">
      <alignment wrapText="1"/>
    </xf>
    <xf numFmtId="0" fontId="0" fillId="8" borderId="7" xfId="0" applyFill="1" applyBorder="1" applyProtection="1"/>
    <xf numFmtId="0" fontId="0" fillId="8" borderId="0" xfId="0" applyFill="1" applyBorder="1" applyAlignment="1" applyProtection="1">
      <alignment wrapText="1"/>
    </xf>
    <xf numFmtId="0" fontId="2" fillId="8" borderId="0" xfId="0" applyFont="1" applyFill="1" applyBorder="1" applyAlignment="1" applyProtection="1">
      <alignment horizontal="left"/>
    </xf>
    <xf numFmtId="0" fontId="2" fillId="8" borderId="0" xfId="0" applyFont="1" applyFill="1" applyBorder="1" applyProtection="1"/>
    <xf numFmtId="0" fontId="0" fillId="8" borderId="8" xfId="0" applyFill="1" applyBorder="1" applyProtection="1"/>
    <xf numFmtId="0" fontId="0" fillId="8" borderId="9" xfId="0" applyFill="1" applyBorder="1" applyProtection="1"/>
    <xf numFmtId="0" fontId="0" fillId="8" borderId="9" xfId="0" applyFill="1" applyBorder="1" applyAlignment="1" applyProtection="1">
      <alignment wrapText="1"/>
    </xf>
    <xf numFmtId="0" fontId="0" fillId="8" borderId="10" xfId="0" applyFill="1" applyBorder="1" applyProtection="1"/>
    <xf numFmtId="0" fontId="0" fillId="8" borderId="6" xfId="0" applyFill="1" applyBorder="1" applyAlignment="1" applyProtection="1"/>
    <xf numFmtId="0" fontId="0" fillId="8" borderId="0" xfId="0" applyFill="1" applyBorder="1" applyAlignment="1" applyProtection="1"/>
    <xf numFmtId="0" fontId="2" fillId="8" borderId="0" xfId="0" applyFont="1" applyFill="1" applyBorder="1" applyAlignment="1" applyProtection="1"/>
    <xf numFmtId="0" fontId="0" fillId="8" borderId="7" xfId="0" applyFill="1" applyBorder="1" applyAlignment="1" applyProtection="1"/>
    <xf numFmtId="0" fontId="2" fillId="8" borderId="6" xfId="0" applyFont="1" applyFill="1" applyBorder="1" applyAlignment="1" applyProtection="1">
      <alignment horizontal="left" indent="1"/>
    </xf>
    <xf numFmtId="0" fontId="2" fillId="8" borderId="0" xfId="0" applyFont="1" applyFill="1" applyBorder="1" applyAlignment="1" applyProtection="1">
      <alignment horizontal="left" indent="1"/>
    </xf>
    <xf numFmtId="0" fontId="2" fillId="8" borderId="0" xfId="0" applyFont="1" applyFill="1" applyBorder="1" applyAlignment="1" applyProtection="1">
      <alignment horizontal="center"/>
    </xf>
    <xf numFmtId="0" fontId="2" fillId="8" borderId="0" xfId="0" applyFont="1" applyFill="1" applyBorder="1" applyAlignment="1" applyProtection="1">
      <alignment wrapText="1"/>
    </xf>
    <xf numFmtId="0" fontId="0" fillId="8" borderId="7" xfId="0" applyFill="1" applyBorder="1" applyAlignment="1" applyProtection="1">
      <alignment wrapText="1"/>
    </xf>
    <xf numFmtId="0" fontId="8" fillId="7" borderId="0" xfId="0" applyFont="1" applyFill="1" applyAlignment="1" applyProtection="1">
      <alignment vertical="top"/>
    </xf>
    <xf numFmtId="0" fontId="0" fillId="8" borderId="6" xfId="0" applyFill="1" applyBorder="1" applyAlignment="1" applyProtection="1">
      <alignment horizontal="left"/>
    </xf>
    <xf numFmtId="0" fontId="0" fillId="8" borderId="0" xfId="0" applyFill="1" applyBorder="1" applyAlignment="1" applyProtection="1">
      <alignment horizontal="left"/>
    </xf>
    <xf numFmtId="0" fontId="0" fillId="8" borderId="0" xfId="0" applyFill="1" applyBorder="1" applyAlignment="1" applyProtection="1">
      <alignment horizontal="left" vertical="center"/>
    </xf>
    <xf numFmtId="0" fontId="0" fillId="8" borderId="0" xfId="0" applyFill="1" applyBorder="1" applyAlignment="1" applyProtection="1">
      <alignment vertical="center"/>
    </xf>
    <xf numFmtId="164" fontId="0" fillId="8" borderId="0" xfId="1" applyNumberFormat="1" applyFont="1" applyFill="1" applyBorder="1" applyAlignment="1" applyProtection="1">
      <alignment horizontal="center" vertical="center" wrapText="1"/>
    </xf>
    <xf numFmtId="0" fontId="0" fillId="8" borderId="0" xfId="0" applyFill="1" applyBorder="1" applyAlignment="1" applyProtection="1">
      <alignment vertical="center" wrapText="1"/>
    </xf>
    <xf numFmtId="0" fontId="0" fillId="8" borderId="7" xfId="0" applyFill="1" applyBorder="1" applyAlignment="1" applyProtection="1">
      <alignment horizontal="left"/>
    </xf>
    <xf numFmtId="0" fontId="8" fillId="7" borderId="0" xfId="0" applyFont="1" applyFill="1" applyProtection="1"/>
    <xf numFmtId="164" fontId="0" fillId="8" borderId="0" xfId="1" applyNumberFormat="1" applyFont="1" applyFill="1" applyBorder="1" applyAlignment="1" applyProtection="1"/>
    <xf numFmtId="0" fontId="0" fillId="8" borderId="6" xfId="0" applyFill="1" applyBorder="1" applyAlignment="1" applyProtection="1">
      <alignment horizontal="left" indent="1"/>
    </xf>
    <xf numFmtId="0" fontId="0" fillId="8" borderId="0" xfId="0" applyFill="1" applyBorder="1" applyAlignment="1" applyProtection="1">
      <alignment horizontal="left" indent="1"/>
    </xf>
    <xf numFmtId="0" fontId="31" fillId="8" borderId="70" xfId="0" applyFont="1" applyFill="1" applyBorder="1" applyProtection="1"/>
    <xf numFmtId="0" fontId="31" fillId="8" borderId="48" xfId="0" applyFont="1" applyFill="1" applyBorder="1" applyProtection="1"/>
    <xf numFmtId="164" fontId="31" fillId="8" borderId="42" xfId="1" applyNumberFormat="1" applyFont="1" applyFill="1" applyBorder="1" applyAlignment="1" applyProtection="1">
      <alignment horizontal="center"/>
    </xf>
    <xf numFmtId="0" fontId="0" fillId="8" borderId="7" xfId="0" applyFill="1" applyBorder="1" applyAlignment="1" applyProtection="1">
      <alignment horizontal="left" indent="1"/>
    </xf>
    <xf numFmtId="0" fontId="31" fillId="8" borderId="0" xfId="0" applyFont="1" applyFill="1" applyBorder="1" applyProtection="1"/>
    <xf numFmtId="0" fontId="0" fillId="8" borderId="0" xfId="0" applyFill="1" applyBorder="1" applyAlignment="1" applyProtection="1">
      <alignment horizontal="center" wrapText="1"/>
    </xf>
    <xf numFmtId="164" fontId="31" fillId="8" borderId="70" xfId="1" applyNumberFormat="1" applyFont="1" applyFill="1" applyBorder="1" applyProtection="1"/>
    <xf numFmtId="164" fontId="31" fillId="8" borderId="48" xfId="1" applyNumberFormat="1" applyFont="1" applyFill="1" applyBorder="1" applyProtection="1"/>
    <xf numFmtId="164" fontId="31" fillId="8" borderId="0" xfId="1" applyNumberFormat="1" applyFont="1" applyFill="1" applyBorder="1" applyProtection="1"/>
    <xf numFmtId="164" fontId="31" fillId="8" borderId="0" xfId="1" applyNumberFormat="1" applyFont="1" applyFill="1" applyBorder="1" applyAlignment="1" applyProtection="1">
      <alignment horizontal="center"/>
    </xf>
    <xf numFmtId="0" fontId="2" fillId="8" borderId="9" xfId="0" applyFont="1" applyFill="1" applyBorder="1" applyProtection="1"/>
    <xf numFmtId="0" fontId="21" fillId="7" borderId="0" xfId="0" quotePrefix="1" applyFont="1" applyFill="1" applyAlignment="1" applyProtection="1">
      <alignment vertical="top"/>
    </xf>
    <xf numFmtId="0" fontId="21" fillId="7" borderId="0" xfId="0" applyFont="1" applyFill="1" applyAlignment="1" applyProtection="1">
      <alignment vertical="top"/>
    </xf>
    <xf numFmtId="0" fontId="9" fillId="8" borderId="3" xfId="9" applyFont="1" applyFill="1" applyBorder="1" applyAlignment="1" applyProtection="1">
      <alignment horizontal="center" vertical="top" wrapText="1"/>
    </xf>
    <xf numFmtId="0" fontId="9" fillId="8" borderId="4" xfId="9" applyFont="1" applyFill="1" applyBorder="1" applyAlignment="1" applyProtection="1">
      <alignment horizontal="center" vertical="top" wrapText="1"/>
    </xf>
    <xf numFmtId="0" fontId="9" fillId="8" borderId="5" xfId="9" applyFont="1" applyFill="1" applyBorder="1" applyAlignment="1" applyProtection="1">
      <alignment horizontal="center" vertical="top" wrapText="1"/>
    </xf>
    <xf numFmtId="0" fontId="9" fillId="8" borderId="6" xfId="9" applyFont="1" applyFill="1" applyBorder="1" applyAlignment="1" applyProtection="1">
      <alignment horizontal="left" vertical="top" wrapText="1"/>
    </xf>
    <xf numFmtId="178" fontId="9" fillId="8" borderId="0" xfId="9" applyNumberFormat="1" applyFont="1" applyFill="1" applyBorder="1" applyAlignment="1" applyProtection="1">
      <alignment horizontal="left" vertical="top" wrapText="1"/>
    </xf>
    <xf numFmtId="0" fontId="9" fillId="8" borderId="0" xfId="9" applyFont="1" applyFill="1" applyBorder="1" applyAlignment="1" applyProtection="1">
      <alignment horizontal="left" vertical="top"/>
    </xf>
    <xf numFmtId="0" fontId="9" fillId="8" borderId="0" xfId="9" applyFont="1" applyFill="1" applyBorder="1" applyAlignment="1" applyProtection="1">
      <alignment horizontal="left" vertical="top" wrapText="1"/>
    </xf>
    <xf numFmtId="0" fontId="9" fillId="8" borderId="7" xfId="9" applyFont="1" applyFill="1" applyBorder="1" applyAlignment="1" applyProtection="1">
      <alignment horizontal="center" wrapText="1"/>
    </xf>
    <xf numFmtId="0" fontId="8" fillId="8" borderId="6" xfId="9" applyFont="1" applyFill="1" applyBorder="1" applyAlignment="1" applyProtection="1">
      <alignment horizontal="left" vertical="top" wrapText="1"/>
    </xf>
    <xf numFmtId="0" fontId="8" fillId="8" borderId="0" xfId="9" applyFont="1" applyFill="1" applyBorder="1" applyAlignment="1" applyProtection="1">
      <alignment horizontal="left" vertical="top" wrapText="1"/>
    </xf>
    <xf numFmtId="0" fontId="0" fillId="8" borderId="6" xfId="0" applyFill="1" applyBorder="1" applyAlignment="1" applyProtection="1">
      <alignment wrapText="1"/>
    </xf>
    <xf numFmtId="0" fontId="9" fillId="8" borderId="7" xfId="9" applyFont="1" applyFill="1" applyBorder="1" applyAlignment="1" applyProtection="1">
      <alignment vertical="top" wrapText="1"/>
    </xf>
    <xf numFmtId="0" fontId="9" fillId="8" borderId="0" xfId="9" applyFont="1" applyFill="1" applyBorder="1" applyAlignment="1" applyProtection="1">
      <alignment horizontal="center" vertical="top" wrapText="1"/>
    </xf>
    <xf numFmtId="0" fontId="8" fillId="8" borderId="8" xfId="9" applyFont="1" applyFill="1" applyBorder="1" applyAlignment="1" applyProtection="1">
      <alignment horizontal="left" vertical="top" wrapText="1"/>
    </xf>
    <xf numFmtId="0" fontId="8" fillId="8" borderId="9" xfId="9" applyFont="1" applyFill="1" applyBorder="1" applyAlignment="1" applyProtection="1">
      <alignment horizontal="left" vertical="top" wrapText="1"/>
    </xf>
    <xf numFmtId="0" fontId="9" fillId="8" borderId="10" xfId="9" applyFont="1" applyFill="1" applyBorder="1" applyAlignment="1" applyProtection="1">
      <alignment vertical="top" wrapText="1"/>
    </xf>
    <xf numFmtId="0" fontId="41" fillId="14" borderId="33" xfId="0" applyFont="1" applyFill="1" applyBorder="1" applyAlignment="1" applyProtection="1">
      <alignment horizontal="left" vertical="center"/>
    </xf>
    <xf numFmtId="0" fontId="23" fillId="18" borderId="25" xfId="9" applyFont="1" applyFill="1" applyBorder="1" applyAlignment="1" applyProtection="1">
      <alignment horizontal="center" vertical="center"/>
    </xf>
    <xf numFmtId="0" fontId="0" fillId="6" borderId="38" xfId="0" applyFill="1" applyBorder="1" applyAlignment="1" applyProtection="1">
      <alignment vertical="top" wrapText="1"/>
    </xf>
    <xf numFmtId="0" fontId="36" fillId="7" borderId="0" xfId="0" applyFont="1" applyFill="1" applyAlignment="1" applyProtection="1"/>
    <xf numFmtId="0" fontId="0" fillId="6" borderId="0" xfId="0" applyFill="1" applyProtection="1"/>
    <xf numFmtId="0" fontId="0" fillId="6" borderId="0" xfId="0" applyFill="1" applyAlignment="1" applyProtection="1">
      <alignment horizontal="center"/>
    </xf>
    <xf numFmtId="0" fontId="0" fillId="6" borderId="0" xfId="0" applyFill="1" applyAlignment="1" applyProtection="1">
      <alignment horizontal="left"/>
    </xf>
    <xf numFmtId="0" fontId="2" fillId="6" borderId="0" xfId="0" applyFont="1" applyFill="1" applyProtection="1"/>
    <xf numFmtId="0" fontId="0" fillId="6" borderId="0" xfId="0" applyFill="1" applyAlignment="1" applyProtection="1">
      <alignment horizontal="right" indent="1"/>
    </xf>
    <xf numFmtId="0" fontId="9" fillId="6" borderId="0" xfId="0" applyFont="1" applyFill="1" applyProtection="1"/>
    <xf numFmtId="164" fontId="9" fillId="6" borderId="0" xfId="0" quotePrefix="1" applyNumberFormat="1" applyFont="1" applyFill="1" applyAlignment="1" applyProtection="1">
      <alignment horizontal="left"/>
    </xf>
    <xf numFmtId="0" fontId="8" fillId="6" borderId="0" xfId="0" applyFont="1" applyFill="1" applyAlignment="1" applyProtection="1">
      <alignment horizontal="left" indent="6"/>
    </xf>
    <xf numFmtId="0" fontId="0" fillId="6" borderId="0" xfId="0" applyFill="1" applyAlignment="1" applyProtection="1">
      <alignment horizontal="left" indent="6"/>
    </xf>
    <xf numFmtId="0" fontId="7" fillId="6" borderId="0" xfId="0" applyFont="1" applyFill="1" applyProtection="1"/>
    <xf numFmtId="0" fontId="1" fillId="6" borderId="44" xfId="19" applyProtection="1">
      <alignment horizontal="left"/>
    </xf>
    <xf numFmtId="0" fontId="8" fillId="6" borderId="0" xfId="0" applyFont="1" applyFill="1" applyProtection="1"/>
    <xf numFmtId="0" fontId="8" fillId="6" borderId="0" xfId="0" quotePrefix="1" applyFont="1" applyFill="1" applyAlignment="1" applyProtection="1">
      <alignment horizontal="left"/>
    </xf>
    <xf numFmtId="0" fontId="0" fillId="6" borderId="54" xfId="1" applyNumberFormat="1" applyFont="1" applyFill="1" applyBorder="1" applyAlignment="1" applyProtection="1">
      <alignment vertical="top"/>
    </xf>
    <xf numFmtId="164" fontId="5" fillId="8" borderId="2" xfId="3" applyNumberFormat="1" applyFill="1" applyProtection="1"/>
    <xf numFmtId="0" fontId="19" fillId="6" borderId="0" xfId="0" applyFont="1" applyFill="1" applyAlignment="1" applyProtection="1">
      <alignment horizontal="center"/>
    </xf>
    <xf numFmtId="0" fontId="0" fillId="6" borderId="9" xfId="0" quotePrefix="1" applyFill="1" applyBorder="1" applyAlignment="1" applyProtection="1">
      <alignment horizontal="left" vertical="top"/>
    </xf>
    <xf numFmtId="0" fontId="0" fillId="6" borderId="9" xfId="0" applyFill="1" applyBorder="1" applyAlignment="1" applyProtection="1">
      <alignment horizontal="center"/>
    </xf>
    <xf numFmtId="0" fontId="17" fillId="6" borderId="0" xfId="0" applyFont="1" applyFill="1" applyProtection="1">
      <protection locked="0"/>
    </xf>
    <xf numFmtId="0" fontId="36" fillId="7" borderId="0" xfId="0" applyFont="1" applyFill="1" applyAlignment="1" applyProtection="1">
      <alignment horizontal="left" wrapText="1"/>
    </xf>
    <xf numFmtId="0" fontId="2" fillId="6" borderId="0" xfId="0" applyFont="1" applyFill="1" applyAlignment="1" applyProtection="1">
      <alignment horizontal="left" vertical="top"/>
    </xf>
    <xf numFmtId="0" fontId="8" fillId="6" borderId="0" xfId="0" applyFont="1" applyFill="1" applyAlignment="1" applyProtection="1">
      <alignment horizontal="left" vertical="top" wrapText="1"/>
    </xf>
    <xf numFmtId="1" fontId="0" fillId="6" borderId="0" xfId="0" applyNumberFormat="1" applyFill="1" applyAlignment="1" applyProtection="1">
      <alignment vertical="top"/>
    </xf>
    <xf numFmtId="0" fontId="8" fillId="6" borderId="0" xfId="0" applyFont="1" applyFill="1" applyAlignment="1" applyProtection="1">
      <alignment vertical="top" wrapText="1"/>
    </xf>
    <xf numFmtId="9" fontId="4" fillId="6" borderId="0" xfId="1" applyFont="1" applyFill="1" applyAlignment="1" applyProtection="1">
      <alignment vertical="top"/>
    </xf>
    <xf numFmtId="164" fontId="6" fillId="3" borderId="1" xfId="4" applyNumberFormat="1" applyAlignment="1" applyProtection="1">
      <alignment vertical="top"/>
    </xf>
    <xf numFmtId="0" fontId="0" fillId="6" borderId="54" xfId="0" applyFill="1" applyBorder="1" applyAlignment="1" applyProtection="1">
      <alignment vertical="top"/>
    </xf>
    <xf numFmtId="9" fontId="0" fillId="6" borderId="54" xfId="0" applyNumberFormat="1" applyFill="1" applyBorder="1" applyAlignment="1" applyProtection="1">
      <alignment vertical="top"/>
    </xf>
    <xf numFmtId="0" fontId="19" fillId="6" borderId="0" xfId="0" applyFont="1" applyFill="1" applyAlignment="1" applyProtection="1">
      <alignment vertical="top"/>
    </xf>
    <xf numFmtId="0" fontId="0" fillId="6" borderId="9" xfId="0" applyFill="1" applyBorder="1" applyAlignment="1" applyProtection="1">
      <alignment horizontal="center" vertical="top"/>
    </xf>
    <xf numFmtId="0" fontId="0" fillId="6" borderId="10" xfId="0" applyFill="1" applyBorder="1" applyAlignment="1" applyProtection="1">
      <alignment vertical="top"/>
    </xf>
    <xf numFmtId="0" fontId="19" fillId="6" borderId="0" xfId="0" applyFont="1" applyFill="1" applyAlignment="1" applyProtection="1">
      <alignment vertical="top" wrapText="1"/>
    </xf>
    <xf numFmtId="164" fontId="0" fillId="6" borderId="0" xfId="1" applyNumberFormat="1" applyFont="1" applyFill="1" applyAlignment="1" applyProtection="1">
      <alignment vertical="top"/>
    </xf>
    <xf numFmtId="166" fontId="0" fillId="6" borderId="54" xfId="0" applyNumberFormat="1" applyFill="1" applyBorder="1" applyAlignment="1" applyProtection="1">
      <alignment vertical="top"/>
    </xf>
    <xf numFmtId="166" fontId="6" fillId="3" borderId="1" xfId="1" applyNumberFormat="1" applyFont="1" applyFill="1" applyBorder="1" applyAlignment="1" applyProtection="1">
      <alignment vertical="top"/>
    </xf>
    <xf numFmtId="2" fontId="0" fillId="6" borderId="54" xfId="0" applyNumberFormat="1" applyFill="1" applyBorder="1" applyAlignment="1" applyProtection="1">
      <alignment vertical="top"/>
    </xf>
    <xf numFmtId="164" fontId="5" fillId="6" borderId="0" xfId="1" applyNumberFormat="1" applyFont="1" applyFill="1" applyAlignment="1" applyProtection="1">
      <alignment vertical="top"/>
    </xf>
    <xf numFmtId="0" fontId="0" fillId="6" borderId="7" xfId="0" applyFill="1" applyBorder="1" applyAlignment="1" applyProtection="1">
      <alignment vertical="center"/>
    </xf>
    <xf numFmtId="0" fontId="0" fillId="0" borderId="0" xfId="0" applyAlignment="1" applyProtection="1">
      <alignment vertical="center"/>
    </xf>
    <xf numFmtId="169" fontId="15" fillId="0" borderId="0" xfId="0" applyNumberFormat="1" applyFont="1" applyAlignment="1" applyProtection="1">
      <alignment horizontal="left" vertical="top" wrapText="1"/>
    </xf>
    <xf numFmtId="168" fontId="15" fillId="0" borderId="0" xfId="0" applyNumberFormat="1" applyFont="1" applyAlignment="1" applyProtection="1">
      <alignment horizontal="left" vertical="top" wrapText="1"/>
    </xf>
    <xf numFmtId="0" fontId="16" fillId="0" borderId="0" xfId="0" applyFont="1" applyAlignment="1" applyProtection="1">
      <alignment horizontal="left" vertical="top" wrapText="1"/>
    </xf>
    <xf numFmtId="164" fontId="0" fillId="0" borderId="0" xfId="1" applyNumberFormat="1" applyFont="1" applyProtection="1"/>
    <xf numFmtId="0" fontId="14" fillId="0" borderId="0" xfId="0" applyFont="1" applyAlignment="1" applyProtection="1">
      <alignment horizontal="left" vertical="top" wrapText="1"/>
    </xf>
    <xf numFmtId="168" fontId="14" fillId="0" borderId="0" xfId="0" applyNumberFormat="1" applyFont="1" applyAlignment="1" applyProtection="1">
      <alignment horizontal="left" vertical="top" wrapText="1"/>
    </xf>
    <xf numFmtId="168" fontId="15" fillId="0" borderId="0" xfId="0" applyNumberFormat="1" applyFont="1" applyAlignment="1" applyProtection="1">
      <alignment horizontal="center" vertical="top" wrapText="1"/>
    </xf>
    <xf numFmtId="2" fontId="16" fillId="0" borderId="0" xfId="1" applyNumberFormat="1" applyFont="1" applyAlignment="1" applyProtection="1">
      <alignment horizontal="left" vertical="top" wrapText="1"/>
    </xf>
    <xf numFmtId="168" fontId="15" fillId="0" borderId="0" xfId="0" applyNumberFormat="1" applyFont="1" applyAlignment="1" applyProtection="1">
      <alignment horizontal="right" vertical="top" wrapText="1"/>
    </xf>
    <xf numFmtId="168" fontId="0" fillId="0" borderId="0" xfId="0" applyNumberFormat="1" applyProtection="1"/>
    <xf numFmtId="2" fontId="0" fillId="0" borderId="0" xfId="0" applyNumberFormat="1" applyProtection="1"/>
    <xf numFmtId="0" fontId="2" fillId="6" borderId="0" xfId="0" applyFont="1" applyFill="1" applyAlignment="1" applyProtection="1">
      <alignment horizontal="left"/>
    </xf>
    <xf numFmtId="10" fontId="0" fillId="6" borderId="54" xfId="1" applyNumberFormat="1" applyFont="1" applyFill="1" applyBorder="1" applyAlignment="1" applyProtection="1">
      <alignment vertical="center"/>
    </xf>
    <xf numFmtId="0" fontId="0" fillId="6" borderId="0" xfId="0" applyFill="1" applyAlignment="1" applyProtection="1">
      <alignment horizontal="center" vertical="center"/>
    </xf>
    <xf numFmtId="0" fontId="8" fillId="6" borderId="0" xfId="0" quotePrefix="1" applyFont="1" applyFill="1" applyAlignment="1" applyProtection="1">
      <alignment horizontal="left" vertical="center"/>
    </xf>
    <xf numFmtId="10" fontId="0" fillId="6" borderId="0" xfId="1" applyNumberFormat="1" applyFont="1" applyFill="1" applyAlignment="1" applyProtection="1">
      <alignment vertical="center"/>
    </xf>
    <xf numFmtId="0" fontId="19" fillId="6" borderId="0" xfId="0" applyFont="1" applyFill="1" applyProtection="1"/>
    <xf numFmtId="0" fontId="8" fillId="6" borderId="10" xfId="0" quotePrefix="1" applyFont="1" applyFill="1" applyBorder="1" applyAlignment="1" applyProtection="1">
      <alignment horizontal="centerContinuous" vertical="top" wrapText="1"/>
    </xf>
    <xf numFmtId="0" fontId="8" fillId="6" borderId="44" xfId="19" quotePrefix="1" applyFont="1" applyAlignment="1" applyProtection="1">
      <alignment horizontal="left" vertical="top"/>
    </xf>
    <xf numFmtId="0" fontId="7" fillId="6" borderId="0" xfId="19" quotePrefix="1" applyFont="1" applyBorder="1" applyAlignment="1" applyProtection="1">
      <alignment vertical="top"/>
    </xf>
    <xf numFmtId="0" fontId="0" fillId="0" borderId="0" xfId="0" applyAlignment="1" applyProtection="1"/>
    <xf numFmtId="166" fontId="0" fillId="6" borderId="54" xfId="1" applyNumberFormat="1" applyFont="1" applyFill="1" applyBorder="1" applyAlignment="1" applyProtection="1">
      <alignment vertical="top"/>
    </xf>
    <xf numFmtId="166" fontId="0" fillId="6" borderId="0" xfId="1" applyNumberFormat="1" applyFont="1" applyFill="1" applyAlignment="1" applyProtection="1">
      <alignment vertical="top"/>
    </xf>
    <xf numFmtId="0" fontId="8" fillId="6" borderId="22" xfId="0" applyFont="1" applyFill="1" applyBorder="1" applyAlignment="1" applyProtection="1">
      <alignment horizontal="center" vertical="top" wrapText="1"/>
    </xf>
    <xf numFmtId="0" fontId="8" fillId="6" borderId="24" xfId="0" applyFont="1" applyFill="1" applyBorder="1" applyAlignment="1" applyProtection="1">
      <alignment vertical="top" wrapText="1"/>
    </xf>
    <xf numFmtId="0" fontId="8" fillId="6" borderId="0" xfId="0" applyFont="1" applyFill="1" applyBorder="1" applyAlignment="1" applyProtection="1">
      <alignment horizontal="center" vertical="top" wrapText="1"/>
    </xf>
    <xf numFmtId="0" fontId="8" fillId="6" borderId="0" xfId="0" applyFont="1" applyFill="1" applyBorder="1" applyAlignment="1" applyProtection="1">
      <alignment vertical="top"/>
    </xf>
    <xf numFmtId="0" fontId="8" fillId="6" borderId="0" xfId="0" applyFont="1" applyFill="1" applyBorder="1" applyAlignment="1" applyProtection="1">
      <alignment vertical="top" wrapText="1"/>
    </xf>
    <xf numFmtId="0" fontId="9" fillId="6" borderId="0" xfId="0" applyFont="1" applyFill="1" applyAlignment="1" applyProtection="1">
      <alignment horizontal="center" vertical="top"/>
    </xf>
    <xf numFmtId="0" fontId="0" fillId="6" borderId="0" xfId="0" applyFont="1" applyFill="1" applyAlignment="1" applyProtection="1">
      <alignment horizontal="left" vertical="top" indent="6"/>
    </xf>
    <xf numFmtId="2" fontId="0" fillId="6" borderId="0" xfId="0" applyNumberFormat="1" applyFill="1" applyAlignment="1" applyProtection="1">
      <alignment vertical="top"/>
    </xf>
    <xf numFmtId="166" fontId="8" fillId="6" borderId="1" xfId="4" applyNumberFormat="1" applyFont="1" applyFill="1" applyAlignment="1" applyProtection="1">
      <alignment vertical="top"/>
    </xf>
    <xf numFmtId="2" fontId="19" fillId="6" borderId="0" xfId="0" applyNumberFormat="1" applyFont="1" applyFill="1" applyAlignment="1" applyProtection="1">
      <alignment vertical="top"/>
    </xf>
    <xf numFmtId="0" fontId="0" fillId="6" borderId="0" xfId="0" applyFont="1" applyFill="1" applyAlignment="1" applyProtection="1">
      <alignment horizontal="left" vertical="top"/>
    </xf>
    <xf numFmtId="166" fontId="6" fillId="3" borderId="1" xfId="4" applyNumberFormat="1" applyAlignment="1" applyProtection="1">
      <alignment vertical="top"/>
    </xf>
    <xf numFmtId="2" fontId="8" fillId="6" borderId="1" xfId="4" applyNumberFormat="1" applyFont="1" applyFill="1" applyAlignment="1" applyProtection="1">
      <alignment vertical="top"/>
    </xf>
    <xf numFmtId="165" fontId="0" fillId="6" borderId="0" xfId="0" applyNumberFormat="1" applyFill="1" applyBorder="1" applyAlignment="1" applyProtection="1">
      <alignment horizontal="left" vertical="top" wrapText="1"/>
    </xf>
    <xf numFmtId="0" fontId="0" fillId="6" borderId="0" xfId="0" applyFill="1" applyBorder="1" applyAlignment="1" applyProtection="1">
      <alignment horizontal="left" vertical="top" wrapText="1"/>
    </xf>
    <xf numFmtId="166" fontId="6" fillId="6" borderId="1" xfId="4" applyNumberFormat="1" applyFill="1" applyAlignment="1" applyProtection="1">
      <alignment vertical="top"/>
    </xf>
    <xf numFmtId="2" fontId="9" fillId="6" borderId="1" xfId="4" applyNumberFormat="1" applyFont="1" applyFill="1" applyAlignment="1" applyProtection="1">
      <alignment vertical="top"/>
    </xf>
    <xf numFmtId="0" fontId="0" fillId="6" borderId="0" xfId="0" quotePrefix="1" applyFill="1" applyAlignment="1" applyProtection="1">
      <alignment horizontal="left" vertical="top"/>
    </xf>
    <xf numFmtId="9" fontId="6" fillId="3" borderId="1" xfId="4" applyNumberFormat="1" applyAlignment="1" applyProtection="1">
      <alignment vertical="top"/>
    </xf>
    <xf numFmtId="179" fontId="0" fillId="6" borderId="54" xfId="10" applyNumberFormat="1" applyFont="1" applyBorder="1" applyAlignment="1" applyProtection="1">
      <alignment horizontal="right"/>
    </xf>
    <xf numFmtId="179" fontId="6" fillId="3" borderId="1" xfId="4" applyNumberFormat="1" applyBorder="1" applyAlignment="1" applyProtection="1">
      <alignment horizontal="right"/>
    </xf>
    <xf numFmtId="0" fontId="0" fillId="6" borderId="54" xfId="10" applyFont="1" applyBorder="1" applyAlignment="1" applyProtection="1">
      <alignment horizontal="right"/>
    </xf>
    <xf numFmtId="179" fontId="4" fillId="21" borderId="1" xfId="16" applyNumberFormat="1" applyBorder="1" applyAlignment="1" applyProtection="1">
      <alignment horizontal="right"/>
      <protection locked="0"/>
    </xf>
    <xf numFmtId="0" fontId="8" fillId="6" borderId="0" xfId="0" applyFont="1" applyFill="1" applyAlignment="1" applyProtection="1">
      <alignment horizontal="left" vertical="top" wrapText="1" indent="6"/>
    </xf>
    <xf numFmtId="0" fontId="39" fillId="6" borderId="0" xfId="0" applyFont="1" applyFill="1" applyAlignment="1" applyProtection="1">
      <alignment vertical="top"/>
    </xf>
    <xf numFmtId="174" fontId="6" fillId="3" borderId="1" xfId="6" applyNumberFormat="1" applyFont="1" applyFill="1" applyBorder="1" applyAlignment="1" applyProtection="1">
      <alignment vertical="top"/>
    </xf>
    <xf numFmtId="9" fontId="0" fillId="6" borderId="54" xfId="1" applyNumberFormat="1" applyFont="1" applyFill="1" applyBorder="1" applyAlignment="1" applyProtection="1">
      <alignment vertical="top"/>
    </xf>
    <xf numFmtId="9" fontId="6" fillId="3" borderId="1" xfId="6" applyNumberFormat="1" applyFont="1" applyFill="1" applyBorder="1" applyAlignment="1" applyProtection="1">
      <alignment vertical="top"/>
    </xf>
    <xf numFmtId="0" fontId="0" fillId="6" borderId="0" xfId="0" applyFill="1" applyBorder="1" applyAlignment="1" applyProtection="1">
      <alignment horizontal="center" vertical="top" wrapText="1"/>
    </xf>
    <xf numFmtId="0" fontId="4" fillId="2" borderId="1" xfId="2" applyAlignment="1" applyProtection="1">
      <alignment horizontal="left" vertical="top"/>
      <protection locked="0"/>
    </xf>
    <xf numFmtId="167" fontId="8" fillId="6" borderId="1" xfId="4" applyNumberFormat="1" applyFont="1" applyFill="1" applyAlignment="1" applyProtection="1">
      <alignment vertical="top"/>
    </xf>
    <xf numFmtId="0" fontId="8" fillId="6" borderId="14" xfId="0" applyFont="1" applyFill="1" applyBorder="1" applyAlignment="1" applyProtection="1">
      <alignment horizontal="left" vertical="top" wrapText="1"/>
    </xf>
    <xf numFmtId="1" fontId="6" fillId="3" borderId="1" xfId="4" applyNumberFormat="1" applyAlignment="1" applyProtection="1">
      <alignment vertical="top"/>
    </xf>
    <xf numFmtId="0" fontId="36" fillId="7" borderId="0" xfId="20" applyProtection="1"/>
    <xf numFmtId="0" fontId="8" fillId="6" borderId="0" xfId="0" applyFont="1" applyFill="1" applyAlignment="1" applyProtection="1">
      <alignment wrapText="1"/>
    </xf>
    <xf numFmtId="1" fontId="19" fillId="6" borderId="0" xfId="0" applyNumberFormat="1" applyFont="1" applyFill="1" applyAlignment="1" applyProtection="1">
      <alignment vertical="center"/>
    </xf>
    <xf numFmtId="0" fontId="7" fillId="6" borderId="0" xfId="0" applyFont="1" applyFill="1" applyAlignment="1" applyProtection="1">
      <alignment vertical="center"/>
    </xf>
    <xf numFmtId="0" fontId="8" fillId="6" borderId="0" xfId="0" applyFont="1" applyFill="1" applyAlignment="1" applyProtection="1">
      <alignment vertical="center"/>
    </xf>
    <xf numFmtId="0" fontId="19" fillId="6" borderId="0" xfId="0" applyFont="1" applyFill="1" applyAlignment="1" applyProtection="1">
      <alignment vertical="center"/>
    </xf>
    <xf numFmtId="166" fontId="6" fillId="3" borderId="1" xfId="4" applyNumberFormat="1" applyAlignment="1" applyProtection="1">
      <alignment vertical="center"/>
    </xf>
    <xf numFmtId="0" fontId="8" fillId="6" borderId="0" xfId="0" applyFont="1" applyFill="1" applyAlignment="1" applyProtection="1">
      <alignment horizontal="left"/>
    </xf>
    <xf numFmtId="0" fontId="0" fillId="6" borderId="0" xfId="0" applyFill="1" applyAlignment="1" applyProtection="1">
      <alignment vertical="center"/>
    </xf>
    <xf numFmtId="166" fontId="6" fillId="3" borderId="1" xfId="4" applyNumberFormat="1" applyProtection="1"/>
    <xf numFmtId="9" fontId="6" fillId="3" borderId="1" xfId="4" applyNumberFormat="1" applyProtection="1"/>
    <xf numFmtId="0" fontId="0" fillId="6" borderId="54" xfId="0" applyFill="1" applyBorder="1" applyProtection="1"/>
    <xf numFmtId="0" fontId="0" fillId="6" borderId="44" xfId="19" applyFont="1" applyAlignment="1" applyProtection="1">
      <alignment horizontal="left" vertical="top"/>
    </xf>
    <xf numFmtId="9" fontId="0" fillId="6" borderId="0" xfId="0" applyNumberFormat="1" applyFill="1" applyAlignment="1" applyProtection="1">
      <alignment vertical="top"/>
    </xf>
    <xf numFmtId="0" fontId="12" fillId="6" borderId="0" xfId="8" applyFill="1" applyAlignment="1" applyProtection="1">
      <alignment horizontal="left" vertical="top" wrapText="1" indent="6"/>
    </xf>
    <xf numFmtId="0" fontId="43" fillId="6" borderId="0" xfId="0" applyFont="1" applyFill="1" applyAlignment="1" applyProtection="1">
      <alignment vertical="top"/>
    </xf>
    <xf numFmtId="166" fontId="0" fillId="6" borderId="0" xfId="0" applyNumberFormat="1" applyFill="1" applyAlignment="1" applyProtection="1">
      <alignment vertical="top"/>
    </xf>
    <xf numFmtId="2" fontId="0" fillId="6" borderId="54" xfId="1" applyNumberFormat="1" applyFont="1" applyFill="1" applyBorder="1" applyAlignment="1" applyProtection="1">
      <alignment vertical="top"/>
    </xf>
    <xf numFmtId="0" fontId="0" fillId="6" borderId="0" xfId="0" applyFill="1" applyAlignment="1" applyProtection="1">
      <alignment horizontal="left" vertical="top" wrapText="1" indent="6"/>
    </xf>
    <xf numFmtId="2" fontId="3" fillId="6" borderId="0" xfId="0" applyNumberFormat="1" applyFont="1" applyFill="1" applyAlignment="1" applyProtection="1">
      <alignment vertical="top"/>
    </xf>
    <xf numFmtId="0" fontId="0" fillId="6" borderId="8" xfId="0" applyFont="1" applyFill="1" applyBorder="1" applyAlignment="1" applyProtection="1">
      <alignment horizontal="center" vertical="center" wrapText="1"/>
    </xf>
    <xf numFmtId="0" fontId="0" fillId="6" borderId="10" xfId="0" applyFont="1" applyFill="1" applyBorder="1" applyAlignment="1" applyProtection="1">
      <alignment vertical="center" wrapText="1"/>
    </xf>
    <xf numFmtId="0" fontId="0" fillId="6" borderId="0" xfId="0" applyFill="1" applyAlignment="1" applyProtection="1">
      <alignment horizontal="center" vertical="top" wrapText="1"/>
    </xf>
    <xf numFmtId="170" fontId="0" fillId="6" borderId="54" xfId="1" applyNumberFormat="1" applyFont="1" applyFill="1" applyBorder="1" applyAlignment="1" applyProtection="1">
      <alignment vertical="top"/>
    </xf>
    <xf numFmtId="177" fontId="0" fillId="6" borderId="54" xfId="1" applyNumberFormat="1" applyFont="1" applyFill="1" applyBorder="1" applyAlignment="1" applyProtection="1">
      <alignment vertical="top"/>
    </xf>
    <xf numFmtId="1" fontId="0" fillId="6" borderId="0" xfId="1" applyNumberFormat="1" applyFont="1" applyFill="1" applyAlignment="1" applyProtection="1">
      <alignment vertical="top"/>
    </xf>
    <xf numFmtId="1" fontId="0" fillId="6" borderId="54" xfId="1" applyNumberFormat="1" applyFont="1" applyFill="1" applyBorder="1" applyAlignment="1" applyProtection="1">
      <alignment vertical="top"/>
    </xf>
    <xf numFmtId="0" fontId="0" fillId="6" borderId="9" xfId="0" quotePrefix="1" applyFill="1" applyBorder="1" applyAlignment="1" applyProtection="1">
      <alignment horizontal="centerContinuous" vertical="top"/>
    </xf>
    <xf numFmtId="0" fontId="0" fillId="6" borderId="9" xfId="0" applyFill="1" applyBorder="1" applyAlignment="1" applyProtection="1">
      <alignment horizontal="centerContinuous" vertical="top"/>
    </xf>
    <xf numFmtId="3" fontId="0" fillId="0" borderId="0" xfId="0" applyNumberFormat="1" applyProtection="1"/>
    <xf numFmtId="0" fontId="0" fillId="6" borderId="14" xfId="0" applyFill="1" applyBorder="1" applyAlignment="1" applyProtection="1">
      <alignment vertical="top" wrapText="1"/>
    </xf>
    <xf numFmtId="0" fontId="1" fillId="6" borderId="44" xfId="19" quotePrefix="1" applyAlignment="1" applyProtection="1">
      <alignment horizontal="left" vertical="top"/>
    </xf>
    <xf numFmtId="9" fontId="8" fillId="6" borderId="54" xfId="0" applyNumberFormat="1" applyFont="1" applyFill="1" applyBorder="1" applyAlignment="1" applyProtection="1">
      <alignment vertical="top"/>
    </xf>
    <xf numFmtId="3" fontId="0" fillId="6" borderId="54" xfId="1" applyNumberFormat="1" applyFont="1" applyFill="1" applyBorder="1" applyProtection="1"/>
    <xf numFmtId="0" fontId="0" fillId="6" borderId="0" xfId="0" applyFill="1" applyAlignment="1" applyProtection="1">
      <alignment wrapText="1"/>
    </xf>
    <xf numFmtId="9" fontId="0" fillId="6" borderId="54" xfId="1" applyFont="1" applyFill="1" applyBorder="1" applyProtection="1"/>
    <xf numFmtId="9" fontId="0" fillId="6" borderId="54" xfId="1" applyFont="1" applyFill="1" applyBorder="1" applyAlignment="1" applyProtection="1">
      <alignment vertical="center"/>
    </xf>
    <xf numFmtId="1" fontId="0" fillId="6" borderId="54" xfId="1" applyNumberFormat="1" applyFont="1" applyFill="1" applyBorder="1" applyAlignment="1" applyProtection="1">
      <alignment vertical="center"/>
    </xf>
    <xf numFmtId="3" fontId="4" fillId="2" borderId="1" xfId="2" applyNumberFormat="1" applyProtection="1">
      <protection locked="0"/>
    </xf>
    <xf numFmtId="10" fontId="5" fillId="8" borderId="2" xfId="3" applyNumberFormat="1" applyFill="1" applyAlignment="1" applyProtection="1">
      <alignment vertical="top"/>
    </xf>
    <xf numFmtId="9" fontId="0" fillId="0" borderId="0" xfId="0" applyNumberFormat="1" applyAlignment="1" applyProtection="1">
      <alignment vertical="top"/>
    </xf>
    <xf numFmtId="10" fontId="0" fillId="0" borderId="0" xfId="0" applyNumberFormat="1" applyAlignment="1" applyProtection="1">
      <alignment vertical="top"/>
    </xf>
    <xf numFmtId="9" fontId="6" fillId="3" borderId="1" xfId="1" applyFont="1" applyFill="1" applyBorder="1" applyAlignment="1" applyProtection="1">
      <alignment vertical="top"/>
    </xf>
    <xf numFmtId="164" fontId="0" fillId="6" borderId="54" xfId="0" applyNumberFormat="1" applyFill="1" applyBorder="1" applyAlignment="1" applyProtection="1">
      <alignment vertical="top"/>
    </xf>
    <xf numFmtId="0" fontId="0" fillId="6" borderId="6" xfId="0" applyFill="1" applyBorder="1" applyAlignment="1" applyProtection="1">
      <alignment horizontal="center" vertical="top" wrapText="1"/>
    </xf>
    <xf numFmtId="0" fontId="0" fillId="6" borderId="7" xfId="0" applyFill="1" applyBorder="1" applyAlignment="1" applyProtection="1">
      <alignment horizontal="center" vertical="top" wrapText="1"/>
    </xf>
    <xf numFmtId="0" fontId="0" fillId="6" borderId="8" xfId="0" applyFill="1" applyBorder="1" applyAlignment="1" applyProtection="1">
      <alignment horizontal="center" vertical="top" wrapText="1"/>
    </xf>
    <xf numFmtId="0" fontId="0" fillId="6" borderId="10" xfId="0" applyFill="1" applyBorder="1" applyAlignment="1" applyProtection="1">
      <alignment horizontal="center" vertical="top" wrapText="1"/>
    </xf>
    <xf numFmtId="0" fontId="0" fillId="6" borderId="7" xfId="0" applyFill="1" applyBorder="1" applyAlignment="1" applyProtection="1">
      <alignment horizontal="left" vertical="top" wrapText="1"/>
    </xf>
    <xf numFmtId="0" fontId="0" fillId="6" borderId="3" xfId="0" applyFill="1" applyBorder="1" applyAlignment="1" applyProtection="1">
      <alignment vertical="top"/>
    </xf>
    <xf numFmtId="0" fontId="9" fillId="6" borderId="4" xfId="0" applyFont="1" applyFill="1" applyBorder="1" applyAlignment="1" applyProtection="1">
      <alignment vertical="top"/>
    </xf>
    <xf numFmtId="0" fontId="0" fillId="6" borderId="4" xfId="0" applyFill="1" applyBorder="1" applyAlignment="1" applyProtection="1">
      <alignment vertical="top"/>
    </xf>
    <xf numFmtId="0" fontId="0" fillId="6" borderId="4" xfId="0" applyFill="1" applyBorder="1" applyAlignment="1" applyProtection="1">
      <alignment horizontal="center" vertical="top"/>
    </xf>
    <xf numFmtId="0" fontId="0" fillId="6" borderId="19" xfId="0" applyFill="1" applyBorder="1" applyAlignment="1" applyProtection="1">
      <alignment horizontal="center" vertical="top" wrapText="1"/>
    </xf>
    <xf numFmtId="0" fontId="0" fillId="6" borderId="20" xfId="0" applyFill="1" applyBorder="1" applyAlignment="1" applyProtection="1">
      <alignment vertical="top"/>
    </xf>
    <xf numFmtId="0" fontId="0" fillId="6" borderId="21" xfId="0" applyFill="1" applyBorder="1" applyAlignment="1" applyProtection="1">
      <alignment vertical="top"/>
    </xf>
    <xf numFmtId="9" fontId="0" fillId="6" borderId="54" xfId="1" applyFont="1" applyFill="1" applyBorder="1" applyAlignment="1" applyProtection="1">
      <alignment vertical="top"/>
    </xf>
    <xf numFmtId="0" fontId="1" fillId="6" borderId="0" xfId="19" applyFill="1" applyBorder="1" applyProtection="1">
      <alignment horizontal="left"/>
    </xf>
    <xf numFmtId="0" fontId="0" fillId="6" borderId="0" xfId="0" quotePrefix="1" applyFill="1" applyAlignment="1" applyProtection="1">
      <alignment vertical="top"/>
    </xf>
    <xf numFmtId="0" fontId="2" fillId="6" borderId="0" xfId="0" applyFont="1" applyFill="1" applyBorder="1" applyAlignment="1" applyProtection="1">
      <alignment vertical="top"/>
    </xf>
    <xf numFmtId="0" fontId="2" fillId="6" borderId="0" xfId="0" applyFont="1" applyFill="1" applyBorder="1" applyAlignment="1" applyProtection="1">
      <alignment horizontal="left" vertical="top"/>
    </xf>
    <xf numFmtId="0" fontId="9" fillId="6" borderId="0" xfId="0" applyFont="1" applyFill="1" applyBorder="1" applyAlignment="1" applyProtection="1">
      <alignment vertical="top"/>
    </xf>
    <xf numFmtId="164" fontId="9" fillId="6" borderId="0" xfId="0" quotePrefix="1" applyNumberFormat="1" applyFont="1" applyFill="1" applyBorder="1" applyAlignment="1" applyProtection="1">
      <alignment horizontal="left" vertical="top"/>
    </xf>
    <xf numFmtId="0" fontId="18" fillId="0" borderId="0" xfId="0" applyFont="1" applyAlignment="1" applyProtection="1">
      <alignment vertical="top"/>
    </xf>
    <xf numFmtId="0" fontId="0" fillId="0" borderId="0" xfId="0" quotePrefix="1" applyAlignment="1" applyProtection="1">
      <alignment vertical="top" wrapText="1"/>
    </xf>
    <xf numFmtId="0" fontId="8" fillId="6" borderId="0" xfId="0" applyFont="1" applyFill="1" applyBorder="1" applyAlignment="1" applyProtection="1">
      <alignment horizontal="left" vertical="top" indent="6"/>
    </xf>
    <xf numFmtId="0" fontId="8" fillId="6" borderId="0" xfId="0" applyFont="1" applyFill="1" applyBorder="1" applyAlignment="1" applyProtection="1">
      <alignment horizontal="left" vertical="top"/>
    </xf>
    <xf numFmtId="0" fontId="7" fillId="6" borderId="0" xfId="0" applyFont="1" applyFill="1" applyBorder="1" applyAlignment="1" applyProtection="1">
      <alignment vertical="top"/>
    </xf>
    <xf numFmtId="10" fontId="8" fillId="6" borderId="54" xfId="1" applyNumberFormat="1" applyFont="1" applyFill="1" applyBorder="1" applyAlignment="1" applyProtection="1">
      <alignment vertical="top"/>
    </xf>
    <xf numFmtId="1" fontId="0" fillId="6" borderId="0" xfId="0" applyNumberFormat="1" applyFill="1" applyBorder="1" applyAlignment="1" applyProtection="1">
      <alignment vertical="top"/>
    </xf>
    <xf numFmtId="0" fontId="1" fillId="6" borderId="44" xfId="19" applyBorder="1" applyAlignment="1" applyProtection="1">
      <alignment horizontal="left" vertical="top"/>
    </xf>
    <xf numFmtId="1" fontId="0" fillId="6" borderId="0" xfId="1" applyNumberFormat="1" applyFont="1" applyFill="1" applyBorder="1" applyAlignment="1" applyProtection="1">
      <alignment vertical="top"/>
    </xf>
    <xf numFmtId="0" fontId="0" fillId="0" borderId="0" xfId="0" quotePrefix="1" applyAlignment="1" applyProtection="1">
      <alignment vertical="top"/>
    </xf>
    <xf numFmtId="164" fontId="6" fillId="6" borderId="1" xfId="4" applyNumberFormat="1" applyFill="1" applyBorder="1" applyAlignment="1" applyProtection="1">
      <alignment vertical="top"/>
    </xf>
    <xf numFmtId="164" fontId="5" fillId="8" borderId="2" xfId="3" applyNumberFormat="1" applyFill="1" applyBorder="1" applyAlignment="1" applyProtection="1">
      <alignment vertical="top"/>
    </xf>
    <xf numFmtId="0" fontId="19" fillId="6" borderId="0" xfId="0" applyFont="1" applyFill="1" applyBorder="1" applyAlignment="1" applyProtection="1">
      <alignment vertical="top"/>
    </xf>
    <xf numFmtId="0" fontId="0" fillId="6" borderId="8" xfId="0" applyFill="1" applyBorder="1" applyAlignment="1" applyProtection="1">
      <alignment horizontal="center" vertical="top"/>
    </xf>
    <xf numFmtId="0" fontId="12" fillId="6" borderId="0" xfId="8" applyFill="1" applyAlignment="1" applyProtection="1">
      <alignment horizontal="right"/>
      <protection locked="0"/>
    </xf>
    <xf numFmtId="0" fontId="12" fillId="6" borderId="0" xfId="8" applyFill="1" applyBorder="1" applyAlignment="1" applyProtection="1">
      <alignment horizontal="right" vertical="top"/>
      <protection locked="0"/>
    </xf>
    <xf numFmtId="0" fontId="12" fillId="7" borderId="0" xfId="8" applyFill="1" applyAlignment="1" applyProtection="1">
      <alignment horizontal="right"/>
      <protection locked="0"/>
    </xf>
    <xf numFmtId="0" fontId="12" fillId="6" borderId="0" xfId="8" applyFill="1" applyAlignment="1" applyProtection="1">
      <alignment horizontal="right" vertical="top"/>
      <protection locked="0"/>
    </xf>
    <xf numFmtId="0" fontId="12" fillId="6" borderId="28" xfId="8" applyFill="1" applyBorder="1" applyAlignment="1" applyProtection="1">
      <alignment horizontal="left" vertical="center" indent="2"/>
      <protection locked="0"/>
    </xf>
    <xf numFmtId="0" fontId="12" fillId="6" borderId="30" xfId="8" applyFill="1" applyBorder="1" applyAlignment="1" applyProtection="1">
      <alignment horizontal="left" vertical="center" indent="2"/>
      <protection locked="0"/>
    </xf>
    <xf numFmtId="0" fontId="12" fillId="8" borderId="0" xfId="8" applyFill="1" applyBorder="1" applyAlignment="1" applyProtection="1">
      <alignment horizontal="left" vertical="center"/>
      <protection locked="0"/>
    </xf>
    <xf numFmtId="0" fontId="12" fillId="8" borderId="0" xfId="8" applyFill="1" applyAlignment="1" applyProtection="1">
      <alignment vertical="center"/>
      <protection locked="0"/>
    </xf>
    <xf numFmtId="0" fontId="0" fillId="6" borderId="0" xfId="0" applyFill="1" applyBorder="1" applyAlignment="1" applyProtection="1">
      <alignment horizontal="left" vertical="center" indent="2"/>
    </xf>
    <xf numFmtId="0" fontId="0" fillId="6" borderId="29" xfId="0" applyFill="1" applyBorder="1" applyAlignment="1" applyProtection="1">
      <alignment horizontal="left" vertical="center" indent="2"/>
    </xf>
    <xf numFmtId="0" fontId="12" fillId="6" borderId="31" xfId="8" applyFill="1" applyBorder="1" applyAlignment="1" applyProtection="1">
      <alignment horizontal="left" vertical="center" indent="2"/>
    </xf>
    <xf numFmtId="0" fontId="12" fillId="6" borderId="32" xfId="8" applyFill="1" applyBorder="1" applyAlignment="1" applyProtection="1">
      <alignment horizontal="left" vertical="center" indent="2"/>
    </xf>
    <xf numFmtId="0" fontId="42" fillId="14" borderId="33" xfId="0" applyFont="1" applyFill="1" applyBorder="1" applyAlignment="1" applyProtection="1">
      <alignment horizontal="left" vertical="center"/>
    </xf>
    <xf numFmtId="0" fontId="42" fillId="14" borderId="34" xfId="0" applyFont="1" applyFill="1" applyBorder="1" applyAlignment="1" applyProtection="1">
      <alignment horizontal="left" vertical="center"/>
    </xf>
    <xf numFmtId="0" fontId="33" fillId="21" borderId="1" xfId="2" applyFont="1" applyFill="1" applyBorder="1" applyAlignment="1" applyProtection="1">
      <protection locked="0"/>
    </xf>
    <xf numFmtId="0" fontId="55" fillId="7" borderId="0" xfId="8" quotePrefix="1" applyFont="1" applyFill="1" applyAlignment="1" applyProtection="1">
      <alignment horizontal="center" vertical="center"/>
      <protection locked="0"/>
    </xf>
    <xf numFmtId="0" fontId="12" fillId="6" borderId="0" xfId="8" applyFill="1" applyAlignment="1" applyProtection="1">
      <alignment vertical="top"/>
      <protection locked="0"/>
    </xf>
    <xf numFmtId="0" fontId="3" fillId="14" borderId="34" xfId="0" applyFont="1" applyFill="1" applyBorder="1" applyAlignment="1" applyProtection="1">
      <alignment horizontal="right" vertical="center" indent="1"/>
    </xf>
    <xf numFmtId="0" fontId="23" fillId="18" borderId="80" xfId="9" applyFont="1" applyFill="1" applyBorder="1" applyAlignment="1">
      <alignment vertical="center"/>
    </xf>
    <xf numFmtId="0" fontId="0" fillId="0" borderId="0" xfId="0" applyFill="1" applyBorder="1" applyAlignment="1" applyProtection="1">
      <alignment vertical="top" wrapText="1"/>
    </xf>
    <xf numFmtId="0" fontId="12" fillId="0" borderId="0" xfId="8" applyFill="1" applyBorder="1" applyAlignment="1" applyProtection="1">
      <alignment horizontal="left" vertical="top" wrapText="1"/>
      <protection locked="0"/>
    </xf>
    <xf numFmtId="0" fontId="23" fillId="0" borderId="0" xfId="9" applyFont="1" applyFill="1" applyBorder="1" applyAlignment="1">
      <alignment horizontal="center" vertical="center" wrapText="1"/>
    </xf>
    <xf numFmtId="0" fontId="9" fillId="0" borderId="0" xfId="9" applyFont="1" applyFill="1" applyBorder="1" applyAlignment="1">
      <alignment horizontal="left" vertical="top" wrapText="1"/>
    </xf>
    <xf numFmtId="0" fontId="9" fillId="0" borderId="0" xfId="9" applyFont="1" applyFill="1" applyBorder="1" applyAlignment="1">
      <alignment horizontal="left" vertical="top"/>
    </xf>
    <xf numFmtId="0" fontId="23" fillId="6" borderId="12" xfId="9" applyFont="1" applyFill="1" applyBorder="1" applyAlignment="1">
      <alignment horizontal="center" vertical="center" wrapText="1"/>
    </xf>
    <xf numFmtId="0" fontId="0" fillId="0" borderId="0" xfId="0" applyFill="1" applyBorder="1" applyAlignment="1">
      <alignment horizontal="left" vertical="top" wrapText="1"/>
    </xf>
    <xf numFmtId="0" fontId="12" fillId="6" borderId="28" xfId="8" applyFill="1" applyBorder="1" applyAlignment="1" applyProtection="1">
      <alignment horizontal="left" vertical="center" indent="2"/>
      <protection locked="0"/>
    </xf>
    <xf numFmtId="0" fontId="0" fillId="6" borderId="0" xfId="0" applyFill="1" applyBorder="1" applyAlignment="1" applyProtection="1">
      <alignment horizontal="left" vertical="center" indent="2"/>
      <protection locked="0"/>
    </xf>
    <xf numFmtId="0" fontId="0" fillId="6" borderId="29" xfId="0" applyFill="1" applyBorder="1" applyAlignment="1" applyProtection="1">
      <alignment horizontal="left" vertical="center" indent="2"/>
      <protection locked="0"/>
    </xf>
    <xf numFmtId="0" fontId="12" fillId="6" borderId="0" xfId="8" applyFill="1" applyBorder="1" applyAlignment="1" applyProtection="1">
      <alignment horizontal="left" vertical="center" indent="2"/>
      <protection locked="0"/>
    </xf>
    <xf numFmtId="0" fontId="12" fillId="6" borderId="29" xfId="8" applyFill="1" applyBorder="1" applyAlignment="1" applyProtection="1">
      <alignment horizontal="left" vertical="center" indent="2"/>
      <protection locked="0"/>
    </xf>
    <xf numFmtId="0" fontId="26" fillId="10" borderId="25" xfId="0" applyFont="1" applyFill="1" applyBorder="1" applyAlignment="1" applyProtection="1">
      <alignment horizontal="center" vertical="center" wrapText="1"/>
    </xf>
    <xf numFmtId="0" fontId="26" fillId="10" borderId="26" xfId="0" applyFont="1" applyFill="1" applyBorder="1" applyAlignment="1" applyProtection="1">
      <alignment horizontal="center" vertical="center" wrapText="1"/>
    </xf>
    <xf numFmtId="0" fontId="26" fillId="10" borderId="27" xfId="0" applyFont="1" applyFill="1" applyBorder="1" applyAlignment="1" applyProtection="1">
      <alignment horizontal="center" vertical="center" wrapText="1"/>
    </xf>
    <xf numFmtId="0" fontId="28" fillId="10" borderId="30" xfId="0" applyFont="1" applyFill="1" applyBorder="1" applyAlignment="1" applyProtection="1">
      <alignment horizontal="left" vertical="center" wrapText="1"/>
    </xf>
    <xf numFmtId="0" fontId="28" fillId="10" borderId="31" xfId="0" applyFont="1" applyFill="1" applyBorder="1" applyAlignment="1" applyProtection="1">
      <alignment horizontal="left" vertical="center" wrapText="1"/>
    </xf>
    <xf numFmtId="0" fontId="28" fillId="10" borderId="32" xfId="0" applyFont="1" applyFill="1" applyBorder="1" applyAlignment="1" applyProtection="1">
      <alignment horizontal="left" vertical="center" wrapText="1"/>
    </xf>
    <xf numFmtId="0" fontId="12" fillId="6" borderId="30" xfId="8" applyFill="1" applyBorder="1" applyAlignment="1" applyProtection="1">
      <alignment horizontal="left" vertical="center" indent="2"/>
      <protection locked="0"/>
    </xf>
    <xf numFmtId="0" fontId="0" fillId="6" borderId="31" xfId="0" applyFill="1" applyBorder="1" applyAlignment="1" applyProtection="1">
      <alignment horizontal="left" vertical="center" indent="2"/>
      <protection locked="0"/>
    </xf>
    <xf numFmtId="0" fontId="0" fillId="6" borderId="32" xfId="0" applyFill="1" applyBorder="1" applyAlignment="1" applyProtection="1">
      <alignment horizontal="left" vertical="center" indent="2"/>
      <protection locked="0"/>
    </xf>
    <xf numFmtId="0" fontId="0" fillId="6" borderId="26" xfId="0" applyFont="1" applyFill="1" applyBorder="1" applyAlignment="1" applyProtection="1">
      <alignment horizontal="left" vertical="center" wrapText="1"/>
    </xf>
    <xf numFmtId="0" fontId="8" fillId="6" borderId="0" xfId="8" applyFont="1" applyFill="1" applyBorder="1" applyAlignment="1" applyProtection="1">
      <alignment horizontal="left" vertical="top" wrapText="1"/>
      <protection locked="0"/>
    </xf>
    <xf numFmtId="0" fontId="12" fillId="6" borderId="0" xfId="8" applyFill="1" applyBorder="1" applyAlignment="1" applyProtection="1">
      <alignment horizontal="left" vertical="top" wrapText="1"/>
      <protection locked="0"/>
    </xf>
    <xf numFmtId="0" fontId="2" fillId="6" borderId="26" xfId="0" applyFont="1" applyFill="1" applyBorder="1" applyAlignment="1" applyProtection="1">
      <alignment horizontal="left" vertical="center" wrapText="1"/>
    </xf>
    <xf numFmtId="0" fontId="2" fillId="6" borderId="0" xfId="0" applyFont="1" applyFill="1" applyBorder="1" applyAlignment="1" applyProtection="1">
      <alignment horizontal="left" vertical="center" wrapText="1"/>
    </xf>
    <xf numFmtId="0" fontId="26" fillId="9" borderId="25" xfId="0" applyFont="1" applyFill="1" applyBorder="1" applyAlignment="1" applyProtection="1">
      <alignment horizontal="center" vertical="center" wrapText="1"/>
    </xf>
    <xf numFmtId="0" fontId="26" fillId="9" borderId="26" xfId="0" applyFont="1" applyFill="1" applyBorder="1" applyAlignment="1" applyProtection="1">
      <alignment horizontal="center" vertical="center" wrapText="1"/>
    </xf>
    <xf numFmtId="0" fontId="26" fillId="9" borderId="27" xfId="0" applyFont="1" applyFill="1" applyBorder="1" applyAlignment="1" applyProtection="1">
      <alignment horizontal="center" vertical="center" wrapText="1"/>
    </xf>
    <xf numFmtId="0" fontId="28" fillId="9" borderId="30" xfId="0" applyFont="1" applyFill="1" applyBorder="1" applyAlignment="1" applyProtection="1">
      <alignment horizontal="left" vertical="center" wrapText="1"/>
    </xf>
    <xf numFmtId="0" fontId="28" fillId="9" borderId="31" xfId="0" applyFont="1" applyFill="1" applyBorder="1" applyAlignment="1" applyProtection="1">
      <alignment horizontal="left" vertical="center" wrapText="1"/>
    </xf>
    <xf numFmtId="0" fontId="28" fillId="9" borderId="32" xfId="0" applyFont="1" applyFill="1" applyBorder="1" applyAlignment="1" applyProtection="1">
      <alignment horizontal="left" vertical="center" wrapText="1"/>
    </xf>
    <xf numFmtId="0" fontId="12" fillId="6" borderId="56" xfId="8" applyFill="1" applyBorder="1" applyAlignment="1" applyProtection="1">
      <alignment horizontal="left" vertical="top" wrapText="1"/>
      <protection locked="0"/>
    </xf>
    <xf numFmtId="0" fontId="0" fillId="6" borderId="0" xfId="0" applyFill="1" applyBorder="1" applyAlignment="1" applyProtection="1">
      <alignment horizontal="left" vertical="top" wrapText="1"/>
    </xf>
    <xf numFmtId="0" fontId="45" fillId="6" borderId="0" xfId="0" applyFont="1" applyFill="1" applyBorder="1" applyAlignment="1" applyProtection="1">
      <alignment vertical="top" wrapText="1"/>
    </xf>
    <xf numFmtId="0" fontId="0" fillId="0" borderId="0" xfId="0" applyAlignment="1" applyProtection="1">
      <alignment wrapText="1"/>
    </xf>
    <xf numFmtId="0" fontId="23" fillId="18" borderId="79" xfId="9" applyFont="1" applyFill="1" applyBorder="1" applyAlignment="1">
      <alignment horizontal="left" vertical="center"/>
    </xf>
    <xf numFmtId="0" fontId="9" fillId="6" borderId="15" xfId="9" applyFont="1" applyFill="1" applyBorder="1" applyAlignment="1">
      <alignment horizontal="left" vertical="top" wrapText="1"/>
    </xf>
    <xf numFmtId="0" fontId="9" fillId="6" borderId="15" xfId="9" applyFont="1" applyFill="1" applyBorder="1" applyAlignment="1">
      <alignment horizontal="left" vertical="top"/>
    </xf>
    <xf numFmtId="0" fontId="9" fillId="6" borderId="13" xfId="9" applyFont="1" applyFill="1" applyBorder="1" applyAlignment="1">
      <alignment horizontal="left" vertical="top"/>
    </xf>
    <xf numFmtId="0" fontId="12" fillId="6" borderId="31" xfId="8" applyFill="1" applyBorder="1" applyAlignment="1" applyProtection="1">
      <alignment horizontal="left" vertical="center" indent="2"/>
      <protection locked="0"/>
    </xf>
    <xf numFmtId="0" fontId="12" fillId="6" borderId="32" xfId="8" applyFill="1" applyBorder="1" applyAlignment="1" applyProtection="1">
      <alignment horizontal="left" vertical="center" indent="2"/>
      <protection locked="0"/>
    </xf>
    <xf numFmtId="0" fontId="57" fillId="6" borderId="38" xfId="8" applyFont="1" applyFill="1" applyBorder="1" applyAlignment="1" applyProtection="1">
      <alignment horizontal="center" vertical="center"/>
      <protection locked="0"/>
    </xf>
    <xf numFmtId="0" fontId="57" fillId="6" borderId="39" xfId="8" applyFont="1" applyFill="1" applyBorder="1" applyAlignment="1" applyProtection="1">
      <alignment horizontal="center" vertical="center"/>
      <protection locked="0"/>
    </xf>
    <xf numFmtId="0" fontId="57" fillId="6" borderId="40" xfId="8" applyFont="1" applyFill="1" applyBorder="1" applyAlignment="1" applyProtection="1">
      <alignment horizontal="center" vertical="center"/>
      <protection locked="0"/>
    </xf>
    <xf numFmtId="0" fontId="26" fillId="13" borderId="0" xfId="0" applyFont="1" applyFill="1" applyBorder="1" applyAlignment="1" applyProtection="1">
      <alignment horizontal="center" vertical="center" wrapText="1"/>
    </xf>
    <xf numFmtId="0" fontId="28" fillId="13" borderId="31" xfId="0" applyFont="1" applyFill="1" applyBorder="1" applyAlignment="1" applyProtection="1">
      <alignment horizontal="left" vertical="center" wrapText="1"/>
    </xf>
    <xf numFmtId="0" fontId="12" fillId="6" borderId="25" xfId="8" applyFill="1" applyBorder="1" applyAlignment="1" applyProtection="1">
      <alignment horizontal="left" vertical="center" indent="2"/>
      <protection locked="0"/>
    </xf>
    <xf numFmtId="0" fontId="0" fillId="6" borderId="26" xfId="0" applyFill="1" applyBorder="1" applyAlignment="1" applyProtection="1">
      <alignment horizontal="left" vertical="center" indent="2"/>
      <protection locked="0"/>
    </xf>
    <xf numFmtId="0" fontId="0" fillId="6" borderId="27" xfId="0" applyFill="1" applyBorder="1" applyAlignment="1" applyProtection="1">
      <alignment horizontal="left" vertical="center" indent="2"/>
      <protection locked="0"/>
    </xf>
    <xf numFmtId="0" fontId="26" fillId="11" borderId="25" xfId="0" applyFont="1" applyFill="1" applyBorder="1" applyAlignment="1" applyProtection="1">
      <alignment horizontal="center" vertical="center" wrapText="1"/>
    </xf>
    <xf numFmtId="0" fontId="26" fillId="11" borderId="26" xfId="0" applyFont="1" applyFill="1" applyBorder="1" applyAlignment="1" applyProtection="1">
      <alignment horizontal="center" vertical="center" wrapText="1"/>
    </xf>
    <xf numFmtId="0" fontId="26" fillId="11" borderId="27" xfId="0" applyFont="1" applyFill="1" applyBorder="1" applyAlignment="1" applyProtection="1">
      <alignment horizontal="center" vertical="center" wrapText="1"/>
    </xf>
    <xf numFmtId="0" fontId="28" fillId="11" borderId="30" xfId="0" applyFont="1" applyFill="1" applyBorder="1" applyAlignment="1" applyProtection="1">
      <alignment horizontal="left" vertical="center" wrapText="1"/>
    </xf>
    <xf numFmtId="0" fontId="28" fillId="11" borderId="31" xfId="0" applyFont="1" applyFill="1" applyBorder="1" applyAlignment="1" applyProtection="1">
      <alignment horizontal="left" vertical="center" wrapText="1"/>
    </xf>
    <xf numFmtId="0" fontId="28" fillId="11" borderId="32" xfId="0" applyFont="1" applyFill="1" applyBorder="1" applyAlignment="1" applyProtection="1">
      <alignment horizontal="left" vertical="center" wrapText="1"/>
    </xf>
    <xf numFmtId="0" fontId="26" fillId="12" borderId="25" xfId="0" applyFont="1" applyFill="1" applyBorder="1" applyAlignment="1" applyProtection="1">
      <alignment horizontal="center" vertical="center" wrapText="1"/>
    </xf>
    <xf numFmtId="0" fontId="26" fillId="12" borderId="26" xfId="0" applyFont="1" applyFill="1" applyBorder="1" applyAlignment="1" applyProtection="1">
      <alignment horizontal="center" vertical="center" wrapText="1"/>
    </xf>
    <xf numFmtId="0" fontId="26" fillId="12" borderId="27" xfId="0" applyFont="1" applyFill="1" applyBorder="1" applyAlignment="1" applyProtection="1">
      <alignment horizontal="center" vertical="center" wrapText="1"/>
    </xf>
    <xf numFmtId="0" fontId="28" fillId="12" borderId="30" xfId="0" applyFont="1" applyFill="1" applyBorder="1" applyAlignment="1" applyProtection="1">
      <alignment horizontal="left" vertical="center" wrapText="1"/>
    </xf>
    <xf numFmtId="0" fontId="28" fillId="12" borderId="31" xfId="0" applyFont="1" applyFill="1" applyBorder="1" applyAlignment="1" applyProtection="1">
      <alignment horizontal="left" vertical="center" wrapText="1"/>
    </xf>
    <xf numFmtId="0" fontId="28" fillId="12" borderId="32" xfId="0" applyFont="1" applyFill="1" applyBorder="1" applyAlignment="1" applyProtection="1">
      <alignment horizontal="left" vertical="center" wrapText="1"/>
    </xf>
    <xf numFmtId="0" fontId="12" fillId="6" borderId="26" xfId="8" applyFill="1" applyBorder="1" applyAlignment="1" applyProtection="1">
      <alignment horizontal="left" vertical="center" indent="2"/>
      <protection locked="0"/>
    </xf>
    <xf numFmtId="0" fontId="12" fillId="6" borderId="27" xfId="8" applyFill="1" applyBorder="1" applyAlignment="1" applyProtection="1">
      <alignment horizontal="left" vertical="center" indent="2"/>
      <protection locked="0"/>
    </xf>
    <xf numFmtId="0" fontId="0" fillId="6" borderId="39" xfId="0" applyFill="1" applyBorder="1" applyAlignment="1">
      <alignment horizontal="left" vertical="top" wrapText="1"/>
    </xf>
    <xf numFmtId="0" fontId="0" fillId="6" borderId="40" xfId="0" applyFill="1" applyBorder="1" applyAlignment="1">
      <alignment horizontal="left" vertical="top" wrapText="1"/>
    </xf>
    <xf numFmtId="0" fontId="0" fillId="6" borderId="39" xfId="0" applyFill="1" applyBorder="1" applyAlignment="1" applyProtection="1">
      <alignment horizontal="left" vertical="top" wrapText="1"/>
    </xf>
    <xf numFmtId="0" fontId="0" fillId="6" borderId="40" xfId="0" applyFill="1" applyBorder="1" applyAlignment="1" applyProtection="1">
      <alignment horizontal="left" vertical="top" wrapText="1"/>
    </xf>
    <xf numFmtId="0" fontId="2" fillId="6" borderId="39" xfId="0" applyFont="1" applyFill="1" applyBorder="1" applyAlignment="1" applyProtection="1">
      <alignment horizontal="left" vertical="top" wrapText="1"/>
    </xf>
    <xf numFmtId="0" fontId="0" fillId="6" borderId="77" xfId="0" applyFill="1" applyBorder="1" applyAlignment="1">
      <alignment horizontal="left" vertical="top" wrapText="1"/>
    </xf>
    <xf numFmtId="0" fontId="0" fillId="6" borderId="78" xfId="0" applyFill="1" applyBorder="1" applyAlignment="1">
      <alignment horizontal="left" vertical="top" wrapText="1"/>
    </xf>
    <xf numFmtId="0" fontId="40" fillId="14" borderId="33" xfId="0" applyFont="1" applyFill="1" applyBorder="1" applyAlignment="1">
      <alignment horizontal="left" vertical="center"/>
    </xf>
    <xf numFmtId="0" fontId="40" fillId="14" borderId="34" xfId="0" applyFont="1" applyFill="1" applyBorder="1" applyAlignment="1">
      <alignment horizontal="left" vertical="center"/>
    </xf>
    <xf numFmtId="0" fontId="12" fillId="0" borderId="0" xfId="8" applyFill="1" applyBorder="1" applyAlignment="1">
      <alignment horizontal="center"/>
    </xf>
    <xf numFmtId="0" fontId="23" fillId="18" borderId="28" xfId="9" applyFont="1" applyFill="1" applyBorder="1" applyAlignment="1">
      <alignment horizontal="center" vertical="center"/>
    </xf>
    <xf numFmtId="0" fontId="23" fillId="18" borderId="0" xfId="9" applyFont="1" applyFill="1" applyBorder="1" applyAlignment="1">
      <alignment horizontal="center" vertical="center"/>
    </xf>
    <xf numFmtId="0" fontId="8" fillId="8" borderId="0" xfId="9" applyFont="1" applyFill="1" applyBorder="1" applyAlignment="1" applyProtection="1">
      <alignment horizontal="left" vertical="top" wrapText="1"/>
    </xf>
    <xf numFmtId="0" fontId="0" fillId="0" borderId="0" xfId="0" applyAlignment="1" applyProtection="1">
      <alignment horizontal="left" vertical="top" wrapText="1"/>
    </xf>
    <xf numFmtId="0" fontId="30" fillId="20" borderId="12" xfId="9" applyFont="1" applyFill="1" applyBorder="1" applyAlignment="1" applyProtection="1">
      <alignment horizontal="center" vertical="center"/>
    </xf>
    <xf numFmtId="0" fontId="30" fillId="20" borderId="15" xfId="9" applyFont="1" applyFill="1" applyBorder="1" applyAlignment="1" applyProtection="1">
      <alignment horizontal="center" vertical="center"/>
    </xf>
    <xf numFmtId="0" fontId="30" fillId="20" borderId="13" xfId="9" applyFont="1" applyFill="1" applyBorder="1" applyAlignment="1" applyProtection="1">
      <alignment horizontal="center" vertical="center"/>
    </xf>
    <xf numFmtId="0" fontId="41" fillId="14" borderId="33" xfId="0" applyFont="1" applyFill="1" applyBorder="1" applyAlignment="1" applyProtection="1">
      <alignment horizontal="left" vertical="center"/>
    </xf>
    <xf numFmtId="0" fontId="41" fillId="14" borderId="34" xfId="0" applyFont="1" applyFill="1" applyBorder="1" applyAlignment="1" applyProtection="1">
      <alignment horizontal="left" vertical="center"/>
    </xf>
    <xf numFmtId="0" fontId="12" fillId="7" borderId="0" xfId="8" applyFill="1" applyAlignment="1" applyProtection="1">
      <alignment horizontal="right"/>
      <protection locked="0"/>
    </xf>
    <xf numFmtId="0" fontId="7" fillId="6" borderId="0" xfId="0" applyFont="1" applyFill="1" applyAlignment="1" applyProtection="1">
      <alignment horizontal="left" vertical="top" wrapText="1"/>
    </xf>
    <xf numFmtId="0" fontId="0" fillId="6" borderId="0" xfId="0" quotePrefix="1" applyFill="1" applyAlignment="1" applyProtection="1">
      <alignment vertical="top" wrapText="1"/>
    </xf>
    <xf numFmtId="0" fontId="0" fillId="0" borderId="0" xfId="0" applyAlignment="1" applyProtection="1">
      <alignment vertical="top" wrapText="1"/>
    </xf>
    <xf numFmtId="0" fontId="36" fillId="7" borderId="0" xfId="0" applyFont="1" applyFill="1" applyAlignment="1" applyProtection="1">
      <alignment horizontal="left" vertical="top" wrapText="1"/>
    </xf>
    <xf numFmtId="0" fontId="22" fillId="9" borderId="12" xfId="0" applyFont="1" applyFill="1" applyBorder="1" applyAlignment="1" applyProtection="1">
      <alignment horizontal="center" vertical="top"/>
    </xf>
    <xf numFmtId="0" fontId="0" fillId="0" borderId="15" xfId="0" applyBorder="1" applyAlignment="1" applyProtection="1">
      <alignment horizontal="center" vertical="top"/>
    </xf>
    <xf numFmtId="0" fontId="0" fillId="0" borderId="13" xfId="0" applyBorder="1" applyAlignment="1" applyProtection="1">
      <alignment horizontal="center" vertical="top"/>
    </xf>
    <xf numFmtId="0" fontId="8" fillId="6" borderId="0" xfId="0" applyFont="1" applyFill="1" applyAlignment="1" applyProtection="1">
      <alignment horizontal="left" vertical="top" wrapText="1"/>
    </xf>
    <xf numFmtId="0" fontId="8" fillId="6" borderId="12"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1" fillId="6" borderId="0" xfId="19" applyBorder="1" applyAlignment="1" applyProtection="1">
      <alignment horizontal="left"/>
    </xf>
    <xf numFmtId="0" fontId="7" fillId="6" borderId="0" xfId="0" quotePrefix="1" applyFont="1" applyFill="1" applyAlignment="1" applyProtection="1">
      <alignment horizontal="left" vertical="top" wrapText="1"/>
    </xf>
    <xf numFmtId="0" fontId="36" fillId="7" borderId="0" xfId="0" applyFont="1" applyFill="1" applyAlignment="1">
      <alignment horizontal="left" wrapText="1"/>
    </xf>
    <xf numFmtId="0" fontId="22" fillId="9" borderId="12" xfId="0" applyFont="1" applyFill="1" applyBorder="1" applyAlignment="1">
      <alignment horizontal="center" vertical="top"/>
    </xf>
    <xf numFmtId="0" fontId="22" fillId="9" borderId="15" xfId="0" applyFont="1" applyFill="1" applyBorder="1" applyAlignment="1">
      <alignment horizontal="center" vertical="top"/>
    </xf>
    <xf numFmtId="0" fontId="22" fillId="9" borderId="13" xfId="0" applyFont="1" applyFill="1" applyBorder="1" applyAlignment="1">
      <alignment horizontal="center" vertical="top"/>
    </xf>
    <xf numFmtId="0" fontId="0" fillId="6" borderId="9" xfId="0" quotePrefix="1" applyFill="1" applyBorder="1" applyAlignment="1">
      <alignment horizontal="left" vertical="top" wrapText="1"/>
    </xf>
    <xf numFmtId="0" fontId="0" fillId="6" borderId="12" xfId="0" applyFont="1" applyFill="1" applyBorder="1" applyAlignment="1">
      <alignment horizontal="center" vertical="center"/>
    </xf>
    <xf numFmtId="0" fontId="0" fillId="0" borderId="15" xfId="0" applyFont="1" applyBorder="1" applyAlignment="1">
      <alignment horizontal="center" vertical="center"/>
    </xf>
    <xf numFmtId="0" fontId="0" fillId="0" borderId="13" xfId="0" applyFont="1" applyBorder="1" applyAlignment="1">
      <alignment horizontal="center" vertical="center"/>
    </xf>
    <xf numFmtId="0" fontId="0" fillId="6" borderId="0" xfId="0" quotePrefix="1" applyFill="1" applyAlignment="1">
      <alignment horizontal="left" vertical="top" wrapText="1"/>
    </xf>
    <xf numFmtId="0" fontId="0" fillId="6" borderId="0" xfId="0" applyFill="1" applyAlignment="1">
      <alignment horizontal="left" vertical="top" wrapText="1"/>
    </xf>
    <xf numFmtId="0" fontId="0" fillId="0" borderId="0" xfId="0" applyAlignment="1">
      <alignment horizontal="left" vertical="top" wrapText="1"/>
    </xf>
    <xf numFmtId="164" fontId="0" fillId="6" borderId="68" xfId="1" applyNumberFormat="1" applyFont="1" applyFill="1" applyBorder="1" applyAlignment="1">
      <alignment horizontal="center"/>
    </xf>
    <xf numFmtId="164" fontId="0" fillId="6" borderId="69" xfId="1" applyNumberFormat="1" applyFont="1" applyFill="1" applyBorder="1" applyAlignment="1">
      <alignment horizontal="center"/>
    </xf>
    <xf numFmtId="0" fontId="36" fillId="7" borderId="0" xfId="0" applyFont="1" applyFill="1" applyAlignment="1" applyProtection="1">
      <alignment horizontal="left" wrapText="1"/>
    </xf>
    <xf numFmtId="0" fontId="0" fillId="0" borderId="0" xfId="0" applyAlignment="1" applyProtection="1">
      <alignment horizontal="left" wrapText="1"/>
    </xf>
    <xf numFmtId="0" fontId="0" fillId="6" borderId="0" xfId="0" applyFill="1" applyAlignment="1" applyProtection="1">
      <alignment vertical="top" wrapText="1"/>
    </xf>
    <xf numFmtId="0" fontId="0" fillId="6" borderId="16" xfId="0" applyFont="1" applyFill="1" applyBorder="1" applyAlignment="1" applyProtection="1">
      <alignment horizontal="center" vertical="center" wrapText="1"/>
    </xf>
    <xf numFmtId="0" fontId="0" fillId="6" borderId="17" xfId="0" applyFont="1" applyFill="1" applyBorder="1" applyAlignment="1" applyProtection="1">
      <alignment horizontal="center" vertical="center" wrapText="1"/>
    </xf>
    <xf numFmtId="0" fontId="0" fillId="6" borderId="18" xfId="0" applyFont="1" applyFill="1" applyBorder="1" applyAlignment="1" applyProtection="1">
      <alignment horizontal="center" vertical="center" wrapText="1"/>
    </xf>
    <xf numFmtId="0" fontId="0" fillId="6" borderId="22" xfId="0" applyFont="1" applyFill="1" applyBorder="1" applyAlignment="1" applyProtection="1">
      <alignment horizontal="center" vertical="center" wrapText="1"/>
    </xf>
    <xf numFmtId="0" fontId="0" fillId="6" borderId="23" xfId="0" applyFont="1" applyFill="1" applyBorder="1" applyAlignment="1" applyProtection="1">
      <alignment horizontal="center" vertical="center" wrapText="1"/>
    </xf>
    <xf numFmtId="0" fontId="0" fillId="6" borderId="24" xfId="0" applyFont="1" applyFill="1" applyBorder="1" applyAlignment="1" applyProtection="1">
      <alignment horizontal="center" vertical="center" wrapText="1"/>
    </xf>
    <xf numFmtId="0" fontId="0" fillId="6" borderId="8"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wrapText="1"/>
    </xf>
    <xf numFmtId="0" fontId="0" fillId="6" borderId="10" xfId="0" applyFont="1" applyFill="1" applyBorder="1" applyAlignment="1" applyProtection="1">
      <alignment horizontal="center" vertical="center" wrapText="1"/>
    </xf>
    <xf numFmtId="0" fontId="0" fillId="6" borderId="0" xfId="0" applyFill="1" applyAlignment="1" applyProtection="1">
      <alignment horizontal="left" vertical="top" wrapText="1"/>
    </xf>
    <xf numFmtId="0" fontId="22" fillId="9" borderId="15" xfId="0" applyFont="1" applyFill="1" applyBorder="1" applyAlignment="1" applyProtection="1">
      <alignment horizontal="center" vertical="top"/>
    </xf>
    <xf numFmtId="0" fontId="22" fillId="9" borderId="13" xfId="0" applyFont="1" applyFill="1" applyBorder="1" applyAlignment="1" applyProtection="1">
      <alignment horizontal="center" vertical="top"/>
    </xf>
    <xf numFmtId="0" fontId="0" fillId="6" borderId="0" xfId="0" applyFill="1" applyAlignment="1" applyProtection="1">
      <alignment horizontal="left" vertical="center" wrapText="1"/>
    </xf>
    <xf numFmtId="0" fontId="0" fillId="6" borderId="7" xfId="0" applyFill="1" applyBorder="1" applyAlignment="1" applyProtection="1">
      <alignment horizontal="left" vertical="center" wrapText="1"/>
    </xf>
    <xf numFmtId="0" fontId="0" fillId="6" borderId="0" xfId="0" applyFill="1" applyAlignment="1" applyProtection="1">
      <alignment vertical="center" wrapText="1"/>
    </xf>
    <xf numFmtId="0" fontId="0" fillId="6" borderId="12"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0" fillId="6" borderId="13" xfId="0" applyFont="1" applyFill="1" applyBorder="1" applyAlignment="1" applyProtection="1">
      <alignment horizontal="center" vertical="center" wrapText="1"/>
    </xf>
    <xf numFmtId="0" fontId="0" fillId="6" borderId="0" xfId="10" quotePrefix="1" applyFont="1" applyFill="1" applyBorder="1" applyAlignment="1" applyProtection="1">
      <alignment horizontal="left" vertical="top" wrapText="1"/>
    </xf>
    <xf numFmtId="0" fontId="1" fillId="6" borderId="0" xfId="10" quotePrefix="1" applyFill="1" applyBorder="1" applyAlignment="1" applyProtection="1">
      <alignment horizontal="left" vertical="top" wrapText="1"/>
    </xf>
    <xf numFmtId="0" fontId="1" fillId="6" borderId="0" xfId="10" applyFill="1" applyBorder="1" applyAlignment="1" applyProtection="1">
      <alignment horizontal="left" vertical="top" wrapText="1"/>
    </xf>
    <xf numFmtId="0" fontId="22" fillId="10" borderId="12" xfId="0" applyFont="1" applyFill="1" applyBorder="1" applyAlignment="1" applyProtection="1">
      <alignment horizontal="center" vertical="top"/>
    </xf>
    <xf numFmtId="0" fontId="0" fillId="6" borderId="0" xfId="10" quotePrefix="1" applyFont="1" applyBorder="1" applyAlignment="1" applyProtection="1">
      <alignment horizontal="left" vertical="top" wrapText="1"/>
    </xf>
    <xf numFmtId="0" fontId="8" fillId="6" borderId="16" xfId="0" applyFont="1" applyFill="1" applyBorder="1" applyAlignment="1" applyProtection="1">
      <alignment horizontal="center" vertical="center" wrapText="1"/>
    </xf>
    <xf numFmtId="0" fontId="8" fillId="6" borderId="17" xfId="0" applyFont="1" applyFill="1" applyBorder="1" applyAlignment="1" applyProtection="1">
      <alignment horizontal="center" vertical="center" wrapText="1"/>
    </xf>
    <xf numFmtId="0" fontId="8" fillId="6" borderId="18" xfId="0" applyFont="1" applyFill="1" applyBorder="1" applyAlignment="1" applyProtection="1">
      <alignment vertical="center"/>
    </xf>
    <xf numFmtId="0" fontId="7" fillId="6" borderId="47" xfId="0" applyFont="1" applyFill="1" applyBorder="1" applyAlignment="1" applyProtection="1">
      <alignment horizontal="left" vertical="top" wrapText="1"/>
    </xf>
    <xf numFmtId="0" fontId="7" fillId="6" borderId="0" xfId="0" applyFont="1" applyFill="1" applyBorder="1" applyAlignment="1" applyProtection="1">
      <alignment horizontal="left" vertical="top" wrapText="1"/>
    </xf>
    <xf numFmtId="0" fontId="8" fillId="6" borderId="23" xfId="0" applyFont="1" applyFill="1" applyBorder="1" applyAlignment="1" applyProtection="1">
      <alignment horizontal="center" vertical="top"/>
    </xf>
    <xf numFmtId="0" fontId="8" fillId="6" borderId="13" xfId="0" applyFont="1" applyFill="1" applyBorder="1" applyAlignment="1" applyProtection="1">
      <alignment vertical="center"/>
    </xf>
    <xf numFmtId="0" fontId="8" fillId="6" borderId="22" xfId="0" applyFont="1" applyFill="1" applyBorder="1" applyAlignment="1" applyProtection="1">
      <alignment horizontal="center" vertical="center" wrapText="1"/>
    </xf>
    <xf numFmtId="0" fontId="8" fillId="6" borderId="23" xfId="0" applyFont="1" applyFill="1" applyBorder="1" applyAlignment="1" applyProtection="1">
      <alignment horizontal="center" vertical="center" wrapText="1"/>
    </xf>
    <xf numFmtId="0" fontId="8" fillId="6" borderId="24"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top"/>
    </xf>
    <xf numFmtId="0" fontId="0" fillId="6" borderId="0" xfId="0" quotePrefix="1" applyFill="1" applyAlignment="1" applyProtection="1">
      <alignment horizontal="left" vertical="top" wrapText="1"/>
    </xf>
    <xf numFmtId="0" fontId="0" fillId="6" borderId="22" xfId="0" applyFill="1" applyBorder="1" applyAlignment="1" applyProtection="1">
      <alignment horizontal="center" vertical="center"/>
    </xf>
    <xf numFmtId="0" fontId="0" fillId="6" borderId="23" xfId="0" applyFill="1" applyBorder="1" applyAlignment="1" applyProtection="1">
      <alignment horizontal="center" vertical="center"/>
    </xf>
    <xf numFmtId="0" fontId="0" fillId="6" borderId="24" xfId="0" applyFill="1" applyBorder="1" applyAlignment="1" applyProtection="1">
      <alignment horizontal="center" vertical="center"/>
    </xf>
    <xf numFmtId="0" fontId="22" fillId="11" borderId="15" xfId="0" applyFont="1" applyFill="1" applyBorder="1" applyAlignment="1" applyProtection="1">
      <alignment horizontal="center" vertical="top"/>
    </xf>
    <xf numFmtId="0" fontId="22" fillId="11" borderId="13" xfId="0" applyFont="1" applyFill="1" applyBorder="1" applyAlignment="1" applyProtection="1">
      <alignment horizontal="center" vertical="top"/>
    </xf>
    <xf numFmtId="0" fontId="22" fillId="12" borderId="12" xfId="0" applyFont="1" applyFill="1" applyBorder="1" applyAlignment="1" applyProtection="1">
      <alignment horizontal="center" vertical="top"/>
    </xf>
    <xf numFmtId="0" fontId="0" fillId="0" borderId="0" xfId="0" applyAlignment="1" applyProtection="1">
      <alignment vertical="top"/>
    </xf>
    <xf numFmtId="0" fontId="8" fillId="6" borderId="0" xfId="0" applyFont="1" applyFill="1" applyAlignment="1" applyProtection="1">
      <alignment horizontal="left" vertical="top" wrapText="1" indent="6"/>
    </xf>
    <xf numFmtId="0" fontId="0" fillId="0" borderId="0" xfId="0" applyAlignment="1" applyProtection="1">
      <alignment horizontal="left" vertical="top" wrapText="1" indent="6"/>
    </xf>
    <xf numFmtId="0" fontId="0" fillId="6" borderId="15" xfId="0" applyFont="1" applyFill="1" applyBorder="1" applyAlignment="1" applyProtection="1">
      <alignment vertical="center" wrapText="1"/>
    </xf>
    <xf numFmtId="0" fontId="0" fillId="6" borderId="13" xfId="0" applyFont="1" applyFill="1" applyBorder="1" applyAlignment="1" applyProtection="1">
      <alignment vertical="center" wrapText="1"/>
    </xf>
    <xf numFmtId="0" fontId="4" fillId="2" borderId="51" xfId="2" applyBorder="1" applyAlignment="1" applyProtection="1">
      <alignment horizontal="right" vertical="top"/>
      <protection locked="0"/>
    </xf>
    <xf numFmtId="0" fontId="0" fillId="0" borderId="52" xfId="0" applyBorder="1" applyAlignment="1" applyProtection="1">
      <alignment horizontal="right" vertical="top"/>
      <protection locked="0"/>
    </xf>
    <xf numFmtId="0" fontId="0" fillId="6" borderId="17" xfId="0" applyFont="1" applyFill="1" applyBorder="1" applyAlignment="1" applyProtection="1">
      <alignment vertical="center" wrapText="1"/>
    </xf>
    <xf numFmtId="0" fontId="0" fillId="6" borderId="18" xfId="0" applyFont="1" applyFill="1" applyBorder="1" applyAlignment="1" applyProtection="1">
      <alignment vertical="center" wrapText="1"/>
    </xf>
    <xf numFmtId="0" fontId="4" fillId="2" borderId="1" xfId="2" applyAlignment="1" applyProtection="1">
      <alignment horizontal="left" vertical="top"/>
      <protection locked="0"/>
    </xf>
    <xf numFmtId="0" fontId="12" fillId="6" borderId="0" xfId="8" applyFill="1" applyAlignment="1" applyProtection="1">
      <alignment horizontal="left" vertical="top" wrapText="1" indent="6"/>
    </xf>
    <xf numFmtId="0" fontId="0" fillId="6" borderId="0" xfId="0" applyFill="1" applyAlignment="1" applyProtection="1">
      <alignment horizontal="left" vertical="top" wrapText="1" indent="6"/>
    </xf>
    <xf numFmtId="3" fontId="4" fillId="2" borderId="51" xfId="2" applyNumberFormat="1" applyBorder="1" applyAlignment="1" applyProtection="1">
      <alignment horizontal="right" vertical="top"/>
      <protection locked="0"/>
    </xf>
    <xf numFmtId="0" fontId="0" fillId="0" borderId="52" xfId="0" applyBorder="1" applyAlignment="1" applyProtection="1">
      <protection locked="0"/>
    </xf>
    <xf numFmtId="0" fontId="0" fillId="6" borderId="12" xfId="0" quotePrefix="1" applyFont="1" applyFill="1" applyBorder="1" applyAlignment="1" applyProtection="1">
      <alignment horizontal="center" vertical="center" wrapText="1"/>
    </xf>
    <xf numFmtId="0" fontId="0" fillId="6" borderId="15" xfId="0" quotePrefix="1" applyFont="1" applyFill="1" applyBorder="1" applyAlignment="1" applyProtection="1">
      <alignment horizontal="center" vertical="center" wrapText="1"/>
    </xf>
    <xf numFmtId="0" fontId="0" fillId="6" borderId="13" xfId="0" quotePrefix="1" applyFont="1" applyFill="1" applyBorder="1" applyAlignment="1" applyProtection="1">
      <alignment horizontal="center" vertical="center" wrapText="1"/>
    </xf>
    <xf numFmtId="0" fontId="0" fillId="6" borderId="7" xfId="0" applyFill="1" applyBorder="1" applyAlignment="1" applyProtection="1">
      <alignment vertical="top" wrapText="1"/>
    </xf>
    <xf numFmtId="0" fontId="22" fillId="17" borderId="12" xfId="0" applyFont="1" applyFill="1" applyBorder="1" applyAlignment="1" applyProtection="1">
      <alignment horizontal="center" vertical="top"/>
    </xf>
    <xf numFmtId="0" fontId="0" fillId="6" borderId="16" xfId="0" quotePrefix="1" applyFont="1" applyFill="1" applyBorder="1" applyAlignment="1" applyProtection="1">
      <alignment horizontal="center" vertical="center" wrapText="1"/>
    </xf>
    <xf numFmtId="0" fontId="0" fillId="6" borderId="17" xfId="0" quotePrefix="1" applyFont="1" applyFill="1" applyBorder="1" applyAlignment="1" applyProtection="1">
      <alignment horizontal="center" vertical="center" wrapText="1"/>
    </xf>
    <xf numFmtId="0" fontId="0" fillId="6" borderId="18" xfId="0" quotePrefix="1" applyFont="1" applyFill="1" applyBorder="1" applyAlignment="1" applyProtection="1">
      <alignment horizontal="center" vertical="center" wrapText="1"/>
    </xf>
    <xf numFmtId="0" fontId="8" fillId="6" borderId="0" xfId="0" quotePrefix="1" applyFont="1" applyFill="1" applyAlignment="1" applyProtection="1">
      <alignment horizontal="left" vertical="top" wrapText="1"/>
    </xf>
    <xf numFmtId="0" fontId="0" fillId="6" borderId="7" xfId="0" applyFill="1" applyBorder="1" applyAlignment="1" applyProtection="1">
      <alignment horizontal="left" vertical="top" wrapText="1"/>
    </xf>
    <xf numFmtId="0" fontId="0" fillId="6" borderId="9" xfId="0" applyFill="1" applyBorder="1" applyAlignment="1" applyProtection="1">
      <alignment vertical="top" wrapText="1"/>
    </xf>
    <xf numFmtId="0" fontId="0" fillId="6" borderId="10" xfId="0" applyFill="1" applyBorder="1" applyAlignment="1" applyProtection="1">
      <alignment vertical="top" wrapText="1"/>
    </xf>
    <xf numFmtId="0" fontId="0" fillId="6" borderId="0" xfId="0" applyFill="1" applyBorder="1" applyAlignment="1" applyProtection="1">
      <alignment vertical="top" wrapText="1"/>
    </xf>
    <xf numFmtId="0" fontId="22" fillId="17" borderId="15" xfId="0" applyFont="1" applyFill="1" applyBorder="1" applyAlignment="1" applyProtection="1">
      <alignment horizontal="center" vertical="top"/>
    </xf>
    <xf numFmtId="0" fontId="22" fillId="17" borderId="13" xfId="0" applyFont="1" applyFill="1" applyBorder="1" applyAlignment="1" applyProtection="1">
      <alignment horizontal="center" vertical="top"/>
    </xf>
    <xf numFmtId="0" fontId="8" fillId="6" borderId="0" xfId="0" applyFont="1" applyFill="1" applyBorder="1" applyAlignment="1" applyProtection="1">
      <alignment horizontal="left" vertical="top" wrapText="1"/>
    </xf>
  </cellXfs>
  <cellStyles count="63">
    <cellStyle name="20% - Accent1" xfId="35" builtinId="30" customBuiltin="1"/>
    <cellStyle name="20% - Accent2" xfId="39" builtinId="34" customBuiltin="1"/>
    <cellStyle name="20% - Accent3" xfId="43" builtinId="38" customBuiltin="1"/>
    <cellStyle name="20% - Accent4" xfId="47" builtinId="42" customBuiltin="1"/>
    <cellStyle name="20% - Accent5" xfId="51" builtinId="46" customBuiltin="1"/>
    <cellStyle name="20% - Accent6" xfId="55" builtinId="50" customBuiltin="1"/>
    <cellStyle name="40% - Accent1" xfId="36" builtinId="31" customBuiltin="1"/>
    <cellStyle name="40% - Accent2" xfId="40" builtinId="35" customBuiltin="1"/>
    <cellStyle name="40% - Accent3" xfId="44" builtinId="39" customBuiltin="1"/>
    <cellStyle name="40% - Accent4" xfId="48" builtinId="43" customBuiltin="1"/>
    <cellStyle name="40% - Accent5" xfId="52" builtinId="47" customBuiltin="1"/>
    <cellStyle name="40% - Accent6" xfId="56" builtinId="51" customBuiltin="1"/>
    <cellStyle name="60% - Accent1" xfId="37" builtinId="32" customBuiltin="1"/>
    <cellStyle name="60% - Accent2" xfId="41" builtinId="36" customBuiltin="1"/>
    <cellStyle name="60% - Accent3" xfId="45" builtinId="40" customBuiltin="1"/>
    <cellStyle name="60% - Accent4" xfId="49" builtinId="44" customBuiltin="1"/>
    <cellStyle name="60% - Accent5" xfId="53" builtinId="48" customBuiltin="1"/>
    <cellStyle name="60% - Accent6" xfId="57" builtinId="52" customBuiltin="1"/>
    <cellStyle name="Accent1" xfId="34" builtinId="29" customBuiltin="1"/>
    <cellStyle name="Accent2" xfId="38" builtinId="33" customBuiltin="1"/>
    <cellStyle name="Accent3" xfId="42" builtinId="37" customBuiltin="1"/>
    <cellStyle name="Accent4" xfId="46" builtinId="41" customBuiltin="1"/>
    <cellStyle name="Accent5" xfId="50" builtinId="45" customBuiltin="1"/>
    <cellStyle name="Accent6" xfId="54" builtinId="49" customBuiltin="1"/>
    <cellStyle name="Bad" xfId="28" builtinId="27" customBuiltin="1"/>
    <cellStyle name="Calculation" xfId="4" builtinId="22" customBuiltin="1"/>
    <cellStyle name="Calculation 2" xfId="60" xr:uid="{0E784F84-45FE-4482-AF8A-1616EE05BA28}"/>
    <cellStyle name="Check Cell" xfId="5" builtinId="23" customBuiltin="1"/>
    <cellStyle name="Check Cell 2" xfId="62" xr:uid="{4EBC46E6-5C9B-4137-B1D9-7DA31E9BCE45}"/>
    <cellStyle name="Comma" xfId="6" builtinId="3"/>
    <cellStyle name="Comment" xfId="19" xr:uid="{00000000-0005-0000-0000-000003000000}"/>
    <cellStyle name="Constant, overriden" xfId="17" xr:uid="{00000000-0005-0000-0000-000004000000}"/>
    <cellStyle name="Explanatory Text" xfId="32" builtinId="53" customBuiltin="1"/>
    <cellStyle name="Followed Hyperlink" xfId="11" builtinId="9" hidden="1" customBuiltin="1"/>
    <cellStyle name="Followed Hyperlink" xfId="12" builtinId="9" hidden="1"/>
    <cellStyle name="Followed Hyperlink" xfId="13" builtinId="9" hidden="1" customBuiltin="1"/>
    <cellStyle name="Followed Hyperlink" xfId="14" builtinId="9" customBuiltin="1"/>
    <cellStyle name="Good" xfId="27" builtinId="26" customBuiltin="1"/>
    <cellStyle name="Header" xfId="9" xr:uid="{00000000-0005-0000-0000-00000A000000}"/>
    <cellStyle name="Heading 1" xfId="23" builtinId="16" customBuiltin="1"/>
    <cellStyle name="Heading 2" xfId="24" builtinId="17" customBuiltin="1"/>
    <cellStyle name="Heading 3" xfId="25" builtinId="18" customBuiltin="1"/>
    <cellStyle name="Heading 4" xfId="26" builtinId="19" customBuiltin="1"/>
    <cellStyle name="Hyperlink" xfId="8" builtinId="8" customBuiltin="1"/>
    <cellStyle name="Input" xfId="2" builtinId="20" customBuiltin="1"/>
    <cellStyle name="Input 2" xfId="58" xr:uid="{4EEC4CBA-BEF3-4315-BE81-4C89AAFE3F2C}"/>
    <cellStyle name="Input, optional" xfId="16" xr:uid="{00000000-0005-0000-0000-00000D000000}"/>
    <cellStyle name="Linked Cell" xfId="15" builtinId="24" customBuiltin="1"/>
    <cellStyle name="Linked Cell 2" xfId="61" xr:uid="{C032873E-8B53-4269-9ABC-9BDD3CD9968E}"/>
    <cellStyle name="Neutral" xfId="29" builtinId="28" customBuiltin="1"/>
    <cellStyle name="Normal" xfId="0" builtinId="0"/>
    <cellStyle name="Normal 3" xfId="7" xr:uid="{00000000-0005-0000-0000-000010000000}"/>
    <cellStyle name="Note" xfId="31" builtinId="10" customBuiltin="1"/>
    <cellStyle name="Output" xfId="3" builtinId="21" customBuiltin="1"/>
    <cellStyle name="Output 2" xfId="59" xr:uid="{8856E0E7-90BD-45E5-8DD8-BD1D0BA740B8}"/>
    <cellStyle name="Output, increase" xfId="21" xr:uid="{00000000-0005-0000-0000-000012000000}"/>
    <cellStyle name="Output, Max" xfId="18" xr:uid="{00000000-0005-0000-0000-000013000000}"/>
    <cellStyle name="Percent" xfId="1" builtinId="5"/>
    <cellStyle name="Text" xfId="10" xr:uid="{00000000-0005-0000-0000-000015000000}"/>
    <cellStyle name="Title" xfId="22" builtinId="15" customBuiltin="1"/>
    <cellStyle name="Total" xfId="33" builtinId="25" customBuiltin="1"/>
    <cellStyle name="Warning" xfId="20" xr:uid="{00000000-0005-0000-0000-000016000000}"/>
    <cellStyle name="Warning Text" xfId="30" builtinId="11" customBuiltin="1"/>
  </cellStyles>
  <dxfs count="112">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499984740745262"/>
      </font>
      <fill>
        <patternFill>
          <bgColor theme="0" tint="-4.9989318521683403E-2"/>
        </patternFill>
      </fill>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499984740745262"/>
      </font>
      <fill>
        <patternFill>
          <bgColor theme="0" tint="-4.9989318521683403E-2"/>
        </patternFill>
      </fill>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14996795556505021"/>
      </font>
      <fill>
        <patternFill patternType="none">
          <bgColor auto="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border>
        <top style="thin">
          <color rgb="FFFF0000"/>
        </top>
        <bottom style="thin">
          <color rgb="FFFF0000"/>
        </bottom>
      </border>
    </dxf>
    <dxf>
      <font>
        <color theme="2" tint="-0.24994659260841701"/>
      </font>
    </dxf>
    <dxf>
      <fill>
        <patternFill>
          <bgColor theme="5" tint="0.79998168889431442"/>
        </patternFill>
      </fill>
      <border>
        <top style="thin">
          <color rgb="FFFF0000"/>
        </top>
        <bottom style="thin">
          <color rgb="FFFF0000"/>
        </bottom>
      </border>
    </dxf>
    <dxf>
      <font>
        <color theme="2" tint="-0.24994659260841701"/>
      </font>
    </dxf>
    <dxf>
      <font>
        <b/>
        <i val="0"/>
        <color rgb="FFFF0000"/>
      </font>
      <fill>
        <patternFill>
          <bgColor theme="5" tint="0.79998168889431442"/>
        </patternFill>
      </fill>
      <border>
        <top style="thin">
          <color rgb="FFFF0000"/>
        </top>
        <bottom style="thin">
          <color rgb="FFFF0000"/>
        </bottom>
        <vertical/>
        <horizontal/>
      </border>
    </dxf>
    <dxf>
      <fill>
        <patternFill>
          <bgColor theme="5" tint="0.79998168889431442"/>
        </patternFill>
      </fill>
      <border>
        <top style="thin">
          <color rgb="FFFF0000"/>
        </top>
        <bottom style="thin">
          <color rgb="FFFF0000"/>
        </bottom>
        <vertical/>
        <horizontal/>
      </border>
    </dxf>
    <dxf>
      <fill>
        <patternFill>
          <bgColor theme="5" tint="0.79998168889431442"/>
        </patternFill>
      </fill>
      <border>
        <top style="thin">
          <color rgb="FFFF0000"/>
        </top>
        <bottom style="thin">
          <color rgb="FFFF0000"/>
        </bottom>
      </border>
    </dxf>
    <dxf>
      <font>
        <b val="0"/>
        <i val="0"/>
        <color theme="0" tint="-0.499984740745262"/>
      </font>
    </dxf>
    <dxf>
      <font>
        <b val="0"/>
        <i val="0"/>
        <color theme="0" tint="-0.499984740745262"/>
      </font>
    </dxf>
    <dxf>
      <font>
        <color theme="0" tint="-0.499984740745262"/>
      </font>
      <fill>
        <patternFill>
          <bgColor theme="0" tint="-4.9989318521683403E-2"/>
        </patternFill>
      </fill>
    </dxf>
    <dxf>
      <font>
        <b val="0"/>
        <i val="0"/>
        <color theme="0" tint="-0.499984740745262"/>
      </font>
    </dxf>
    <dxf>
      <font>
        <color theme="0" tint="-0.499984740745262"/>
      </font>
      <fill>
        <patternFill>
          <bgColor theme="0" tint="-0.24994659260841701"/>
        </patternFill>
      </fill>
    </dxf>
    <dxf>
      <font>
        <color theme="0" tint="-0.499984740745262"/>
      </font>
      <fill>
        <patternFill>
          <bgColor theme="0" tint="-4.9989318521683403E-2"/>
        </patternFill>
      </fill>
    </dxf>
    <dxf>
      <font>
        <b val="0"/>
        <i val="0"/>
        <color theme="0" tint="-0.499984740745262"/>
      </font>
    </dxf>
    <dxf>
      <font>
        <color theme="0" tint="-0.499984740745262"/>
      </font>
      <fill>
        <patternFill>
          <bgColor theme="0" tint="-4.9989318521683403E-2"/>
        </patternFill>
      </fill>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color theme="0" tint="-0.499984740745262"/>
      </font>
      <fill>
        <patternFill>
          <bgColor theme="0" tint="-4.9989318521683403E-2"/>
        </patternFill>
      </fill>
    </dxf>
    <dxf>
      <font>
        <color theme="0" tint="-0.499984740745262"/>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4" tint="0.79998168889431442"/>
      </font>
      <fill>
        <patternFill patternType="solid">
          <bgColor theme="4" tint="0.79998168889431442"/>
        </patternFill>
      </fill>
      <border>
        <left/>
        <right/>
        <top/>
        <bottom/>
        <vertical/>
        <horizontal/>
      </border>
    </dxf>
    <dxf>
      <font>
        <color theme="0" tint="-0.499984740745262"/>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0.24994659260841701"/>
        </patternFill>
      </fill>
    </dxf>
    <dxf>
      <font>
        <b val="0"/>
        <i val="0"/>
        <color theme="0" tint="-0.499984740745262"/>
      </font>
    </dxf>
    <dxf>
      <font>
        <b val="0"/>
        <i val="0"/>
        <color theme="0" tint="-0.499984740745262"/>
      </font>
    </dxf>
  </dxfs>
  <tableStyles count="0" defaultTableStyle="TableStyleMedium2" defaultPivotStyle="PivotStyleLight16"/>
  <colors>
    <mruColors>
      <color rgb="FF3399FF"/>
      <color rgb="FF9C238F"/>
      <color rgb="FFCC00CC"/>
      <color rgb="FFFF66FF"/>
      <color rgb="FF996600"/>
      <color rgb="FF0E256A"/>
      <color rgb="FF2E75B6"/>
      <color rgb="FF289893"/>
      <color rgb="FF33CCC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K$36" lockText="1" noThreeD="1"/>
</file>

<file path=xl/ctrlProps/ctrlProp10.xml><?xml version="1.0" encoding="utf-8"?>
<formControlPr xmlns="http://schemas.microsoft.com/office/spreadsheetml/2009/9/main" objectType="CheckBox" fmlaLink="$G$24" lockText="1" noThreeD="1"/>
</file>

<file path=xl/ctrlProps/ctrlProp11.xml><?xml version="1.0" encoding="utf-8"?>
<formControlPr xmlns="http://schemas.microsoft.com/office/spreadsheetml/2009/9/main" objectType="CheckBox" fmlaLink="$G$24" lockText="1" noThreeD="1"/>
</file>

<file path=xl/ctrlProps/ctrlProp12.xml><?xml version="1.0" encoding="utf-8"?>
<formControlPr xmlns="http://schemas.microsoft.com/office/spreadsheetml/2009/9/main" objectType="CheckBox" fmlaLink="$G$18" lockText="1" noThreeD="1"/>
</file>

<file path=xl/ctrlProps/ctrlProp13.xml><?xml version="1.0" encoding="utf-8"?>
<formControlPr xmlns="http://schemas.microsoft.com/office/spreadsheetml/2009/9/main" objectType="CheckBox" fmlaLink="$G$26" lockText="1" noThreeD="1"/>
</file>

<file path=xl/ctrlProps/ctrlProp14.xml><?xml version="1.0" encoding="utf-8"?>
<formControlPr xmlns="http://schemas.microsoft.com/office/spreadsheetml/2009/9/main" objectType="CheckBox" fmlaLink="$G$28" lockText="1" noThreeD="1"/>
</file>

<file path=xl/ctrlProps/ctrlProp15.xml><?xml version="1.0" encoding="utf-8"?>
<formControlPr xmlns="http://schemas.microsoft.com/office/spreadsheetml/2009/9/main" objectType="CheckBox" fmlaLink="$G$14" lockText="1" noThreeD="1"/>
</file>

<file path=xl/ctrlProps/ctrlProp16.xml><?xml version="1.0" encoding="utf-8"?>
<formControlPr xmlns="http://schemas.microsoft.com/office/spreadsheetml/2009/9/main" objectType="CheckBox" fmlaLink="$G$23" lockText="1" noThreeD="1"/>
</file>

<file path=xl/ctrlProps/ctrlProp17.xml><?xml version="1.0" encoding="utf-8"?>
<formControlPr xmlns="http://schemas.microsoft.com/office/spreadsheetml/2009/9/main" objectType="CheckBox" fmlaLink="$H$41" lockText="1" noThreeD="1"/>
</file>

<file path=xl/ctrlProps/ctrlProp18.xml><?xml version="1.0" encoding="utf-8"?>
<formControlPr xmlns="http://schemas.microsoft.com/office/spreadsheetml/2009/9/main" objectType="CheckBox" fmlaLink="$G$22" lockText="1" noThreeD="1"/>
</file>

<file path=xl/ctrlProps/ctrlProp19.xml><?xml version="1.0" encoding="utf-8"?>
<formControlPr xmlns="http://schemas.microsoft.com/office/spreadsheetml/2009/9/main" objectType="CheckBox" fmlaLink="$G$26" lockText="1" noThreeD="1"/>
</file>

<file path=xl/ctrlProps/ctrlProp2.xml><?xml version="1.0" encoding="utf-8"?>
<formControlPr xmlns="http://schemas.microsoft.com/office/spreadsheetml/2009/9/main" objectType="CheckBox" fmlaLink="$H$22" lockText="1" noThreeD="1"/>
</file>

<file path=xl/ctrlProps/ctrlProp20.xml><?xml version="1.0" encoding="utf-8"?>
<formControlPr xmlns="http://schemas.microsoft.com/office/spreadsheetml/2009/9/main" objectType="CheckBox" fmlaLink="$H$55" lockText="1" noThreeD="1"/>
</file>

<file path=xl/ctrlProps/ctrlProp21.xml><?xml version="1.0" encoding="utf-8"?>
<formControlPr xmlns="http://schemas.microsoft.com/office/spreadsheetml/2009/9/main" objectType="CheckBox" fmlaLink="$H$55" lockText="1" noThreeD="1"/>
</file>

<file path=xl/ctrlProps/ctrlProp22.xml><?xml version="1.0" encoding="utf-8"?>
<formControlPr xmlns="http://schemas.microsoft.com/office/spreadsheetml/2009/9/main" objectType="CheckBox" fmlaLink="H34" lockText="1" noThreeD="1"/>
</file>

<file path=xl/ctrlProps/ctrlProp23.xml><?xml version="1.0" encoding="utf-8"?>
<formControlPr xmlns="http://schemas.microsoft.com/office/spreadsheetml/2009/9/main" objectType="CheckBox" fmlaLink="H23" lockText="1" noThreeD="1"/>
</file>

<file path=xl/ctrlProps/ctrlProp24.xml><?xml version="1.0" encoding="utf-8"?>
<formControlPr xmlns="http://schemas.microsoft.com/office/spreadsheetml/2009/9/main" objectType="CheckBox" fmlaLink="$G$22" lockText="1" noThreeD="1"/>
</file>

<file path=xl/ctrlProps/ctrlProp25.xml><?xml version="1.0" encoding="utf-8"?>
<formControlPr xmlns="http://schemas.microsoft.com/office/spreadsheetml/2009/9/main" objectType="CheckBox" fmlaLink="H16" lockText="1" noThreeD="1"/>
</file>

<file path=xl/ctrlProps/ctrlProp26.xml><?xml version="1.0" encoding="utf-8"?>
<formControlPr xmlns="http://schemas.microsoft.com/office/spreadsheetml/2009/9/main" objectType="CheckBox" fmlaLink="$G$30" lockText="1" noThreeD="1"/>
</file>

<file path=xl/ctrlProps/ctrlProp27.xml><?xml version="1.0" encoding="utf-8"?>
<formControlPr xmlns="http://schemas.microsoft.com/office/spreadsheetml/2009/9/main" objectType="CheckBox" fmlaLink="$G$37" lockText="1" noThreeD="1"/>
</file>

<file path=xl/ctrlProps/ctrlProp28.xml><?xml version="1.0" encoding="utf-8"?>
<formControlPr xmlns="http://schemas.microsoft.com/office/spreadsheetml/2009/9/main" objectType="CheckBox" fmlaLink="$G$37" lockText="1" noThreeD="1"/>
</file>

<file path=xl/ctrlProps/ctrlProp29.xml><?xml version="1.0" encoding="utf-8"?>
<formControlPr xmlns="http://schemas.microsoft.com/office/spreadsheetml/2009/9/main" objectType="CheckBox" fmlaLink="G38" lockText="1" noThreeD="1"/>
</file>

<file path=xl/ctrlProps/ctrlProp3.xml><?xml version="1.0" encoding="utf-8"?>
<formControlPr xmlns="http://schemas.microsoft.com/office/spreadsheetml/2009/9/main" objectType="CheckBox" fmlaLink="$G$24" lockText="1" noThreeD="1"/>
</file>

<file path=xl/ctrlProps/ctrlProp30.xml><?xml version="1.0" encoding="utf-8"?>
<formControlPr xmlns="http://schemas.microsoft.com/office/spreadsheetml/2009/9/main" objectType="CheckBox" fmlaLink="G34" lockText="1" noThreeD="1"/>
</file>

<file path=xl/ctrlProps/ctrlProp4.xml><?xml version="1.0" encoding="utf-8"?>
<formControlPr xmlns="http://schemas.microsoft.com/office/spreadsheetml/2009/9/main" objectType="CheckBox" fmlaLink="$H$17" lockText="1" noThreeD="1"/>
</file>

<file path=xl/ctrlProps/ctrlProp5.xml><?xml version="1.0" encoding="utf-8"?>
<formControlPr xmlns="http://schemas.microsoft.com/office/spreadsheetml/2009/9/main" objectType="CheckBox" fmlaLink="G32" lockText="1" noThreeD="1"/>
</file>

<file path=xl/ctrlProps/ctrlProp6.xml><?xml version="1.0" encoding="utf-8"?>
<formControlPr xmlns="http://schemas.microsoft.com/office/spreadsheetml/2009/9/main" objectType="CheckBox" fmlaLink="G34" lockText="1" noThreeD="1"/>
</file>

<file path=xl/ctrlProps/ctrlProp7.xml><?xml version="1.0" encoding="utf-8"?>
<formControlPr xmlns="http://schemas.microsoft.com/office/spreadsheetml/2009/9/main" objectType="CheckBox" fmlaLink="$G$35" lockText="1" noThreeD="1"/>
</file>

<file path=xl/ctrlProps/ctrlProp8.xml><?xml version="1.0" encoding="utf-8"?>
<formControlPr xmlns="http://schemas.microsoft.com/office/spreadsheetml/2009/9/main" objectType="CheckBox" fmlaLink="$G$17" lockText="1" noThreeD="1"/>
</file>

<file path=xl/ctrlProps/ctrlProp9.xml><?xml version="1.0" encoding="utf-8"?>
<formControlPr xmlns="http://schemas.microsoft.com/office/spreadsheetml/2009/9/main" objectType="CheckBox" fmlaLink="$G$30"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7.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6.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24.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35</xdr:row>
          <xdr:rowOff>0</xdr:rowOff>
        </xdr:from>
        <xdr:to>
          <xdr:col>11</xdr:col>
          <xdr:colOff>9525</xdr:colOff>
          <xdr:row>36</xdr:row>
          <xdr:rowOff>28575</xdr:rowOff>
        </xdr:to>
        <xdr:sp macro="" textlink="">
          <xdr:nvSpPr>
            <xdr:cNvPr id="1040" name="Check Box 16" descr="Exclude From Results Summary"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15</xdr:row>
          <xdr:rowOff>66675</xdr:rowOff>
        </xdr:from>
        <xdr:to>
          <xdr:col>6</xdr:col>
          <xdr:colOff>1400175</xdr:colOff>
          <xdr:row>17</xdr:row>
          <xdr:rowOff>28575</xdr:rowOff>
        </xdr:to>
        <xdr:sp macro="" textlink="">
          <xdr:nvSpPr>
            <xdr:cNvPr id="91137" name="Check Box 1" descr="Exclude From Results Summary" hidden="1">
              <a:extLst>
                <a:ext uri="{63B3BB69-23CF-44E3-9099-C40C66FF867C}">
                  <a14:compatExt spid="_x0000_s91137"/>
                </a:ext>
                <a:ext uri="{FF2B5EF4-FFF2-40B4-BE49-F238E27FC236}">
                  <a16:creationId xmlns:a16="http://schemas.microsoft.com/office/drawing/2014/main" id="{00000000-0008-0000-1000-0000016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28</xdr:row>
          <xdr:rowOff>85725</xdr:rowOff>
        </xdr:from>
        <xdr:to>
          <xdr:col>7</xdr:col>
          <xdr:colOff>38100</xdr:colOff>
          <xdr:row>30</xdr:row>
          <xdr:rowOff>28575</xdr:rowOff>
        </xdr:to>
        <xdr:sp macro="" textlink="">
          <xdr:nvSpPr>
            <xdr:cNvPr id="59402" name="Check Box 10" descr="Exclude From Results Summary" hidden="1">
              <a:extLst>
                <a:ext uri="{63B3BB69-23CF-44E3-9099-C40C66FF867C}">
                  <a14:compatExt spid="_x0000_s59402"/>
                </a:ext>
                <a:ext uri="{FF2B5EF4-FFF2-40B4-BE49-F238E27FC236}">
                  <a16:creationId xmlns:a16="http://schemas.microsoft.com/office/drawing/2014/main" id="{00000000-0008-0000-1100-00000AE800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22</xdr:row>
          <xdr:rowOff>85725</xdr:rowOff>
        </xdr:from>
        <xdr:to>
          <xdr:col>7</xdr:col>
          <xdr:colOff>0</xdr:colOff>
          <xdr:row>24</xdr:row>
          <xdr:rowOff>0</xdr:rowOff>
        </xdr:to>
        <xdr:sp macro="" textlink="">
          <xdr:nvSpPr>
            <xdr:cNvPr id="211969" name="Check Box 1" descr="Exclude From Results Summary" hidden="1">
              <a:extLst>
                <a:ext uri="{63B3BB69-23CF-44E3-9099-C40C66FF867C}">
                  <a14:compatExt spid="_x0000_s211969"/>
                </a:ext>
                <a:ext uri="{FF2B5EF4-FFF2-40B4-BE49-F238E27FC236}">
                  <a16:creationId xmlns:a16="http://schemas.microsoft.com/office/drawing/2014/main" id="{00000000-0008-0000-1200-0000013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22</xdr:row>
          <xdr:rowOff>85725</xdr:rowOff>
        </xdr:from>
        <xdr:to>
          <xdr:col>7</xdr:col>
          <xdr:colOff>0</xdr:colOff>
          <xdr:row>24</xdr:row>
          <xdr:rowOff>0</xdr:rowOff>
        </xdr:to>
        <xdr:sp macro="" textlink="">
          <xdr:nvSpPr>
            <xdr:cNvPr id="212993" name="Check Box 1" descr="Exclude From Results Summary" hidden="1">
              <a:extLst>
                <a:ext uri="{63B3BB69-23CF-44E3-9099-C40C66FF867C}">
                  <a14:compatExt spid="_x0000_s212993"/>
                </a:ext>
                <a:ext uri="{FF2B5EF4-FFF2-40B4-BE49-F238E27FC236}">
                  <a16:creationId xmlns:a16="http://schemas.microsoft.com/office/drawing/2014/main" id="{00000000-0008-0000-1300-0000014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16</xdr:row>
          <xdr:rowOff>85725</xdr:rowOff>
        </xdr:from>
        <xdr:to>
          <xdr:col>7</xdr:col>
          <xdr:colOff>0</xdr:colOff>
          <xdr:row>18</xdr:row>
          <xdr:rowOff>0</xdr:rowOff>
        </xdr:to>
        <xdr:sp macro="" textlink="">
          <xdr:nvSpPr>
            <xdr:cNvPr id="236545" name="Check Box 1" descr="Exclude From Results Summary" hidden="1">
              <a:extLst>
                <a:ext uri="{63B3BB69-23CF-44E3-9099-C40C66FF867C}">
                  <a14:compatExt spid="_x0000_s236545"/>
                </a:ext>
                <a:ext uri="{FF2B5EF4-FFF2-40B4-BE49-F238E27FC236}">
                  <a16:creationId xmlns:a16="http://schemas.microsoft.com/office/drawing/2014/main" id="{00000000-0008-0000-1400-0000019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7</xdr:col>
          <xdr:colOff>0</xdr:colOff>
          <xdr:row>26</xdr:row>
          <xdr:rowOff>0</xdr:rowOff>
        </xdr:to>
        <xdr:sp macro="" textlink="">
          <xdr:nvSpPr>
            <xdr:cNvPr id="95237" name="Check Box 5" descr="Exclude From Results Summary" hidden="1">
              <a:extLst>
                <a:ext uri="{63B3BB69-23CF-44E3-9099-C40C66FF867C}">
                  <a14:compatExt spid="_x0000_s95237"/>
                </a:ext>
                <a:ext uri="{FF2B5EF4-FFF2-40B4-BE49-F238E27FC236}">
                  <a16:creationId xmlns:a16="http://schemas.microsoft.com/office/drawing/2014/main" id="{00000000-0008-0000-1500-0000057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7</xdr:col>
          <xdr:colOff>0</xdr:colOff>
          <xdr:row>28</xdr:row>
          <xdr:rowOff>0</xdr:rowOff>
        </xdr:to>
        <xdr:sp macro="" textlink="">
          <xdr:nvSpPr>
            <xdr:cNvPr id="333825" name="Check Box 1" descr="Exclude From Results Summary" hidden="1">
              <a:extLst>
                <a:ext uri="{63B3BB69-23CF-44E3-9099-C40C66FF867C}">
                  <a14:compatExt spid="_x0000_s333825"/>
                </a:ext>
                <a:ext uri="{FF2B5EF4-FFF2-40B4-BE49-F238E27FC236}">
                  <a16:creationId xmlns:a16="http://schemas.microsoft.com/office/drawing/2014/main" id="{00000000-0008-0000-1600-0000011805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12</xdr:row>
          <xdr:rowOff>76200</xdr:rowOff>
        </xdr:from>
        <xdr:to>
          <xdr:col>7</xdr:col>
          <xdr:colOff>0</xdr:colOff>
          <xdr:row>14</xdr:row>
          <xdr:rowOff>9525</xdr:rowOff>
        </xdr:to>
        <xdr:sp macro="" textlink="">
          <xdr:nvSpPr>
            <xdr:cNvPr id="96259" name="Check Box 3" descr="Exclude From Results Summary" hidden="1">
              <a:extLst>
                <a:ext uri="{63B3BB69-23CF-44E3-9099-C40C66FF867C}">
                  <a14:compatExt spid="_x0000_s96259"/>
                </a:ext>
                <a:ext uri="{FF2B5EF4-FFF2-40B4-BE49-F238E27FC236}">
                  <a16:creationId xmlns:a16="http://schemas.microsoft.com/office/drawing/2014/main" id="{00000000-0008-0000-1700-0000037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22</xdr:row>
          <xdr:rowOff>0</xdr:rowOff>
        </xdr:from>
        <xdr:to>
          <xdr:col>7</xdr:col>
          <xdr:colOff>0</xdr:colOff>
          <xdr:row>23</xdr:row>
          <xdr:rowOff>0</xdr:rowOff>
        </xdr:to>
        <xdr:sp macro="" textlink="">
          <xdr:nvSpPr>
            <xdr:cNvPr id="239617" name="Check Box 1" descr="Exclude From Results Summary" hidden="1">
              <a:extLst>
                <a:ext uri="{63B3BB69-23CF-44E3-9099-C40C66FF867C}">
                  <a14:compatExt spid="_x0000_s239617"/>
                </a:ext>
                <a:ext uri="{FF2B5EF4-FFF2-40B4-BE49-F238E27FC236}">
                  <a16:creationId xmlns:a16="http://schemas.microsoft.com/office/drawing/2014/main" id="{00000000-0008-0000-1800-000001A8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8</xdr:col>
          <xdr:colOff>9525</xdr:colOff>
          <xdr:row>41</xdr:row>
          <xdr:rowOff>38100</xdr:rowOff>
        </xdr:to>
        <xdr:sp macro="" textlink="">
          <xdr:nvSpPr>
            <xdr:cNvPr id="241665" name="Check Box 1" descr="Exclude From Results Summary" hidden="1">
              <a:extLst>
                <a:ext uri="{63B3BB69-23CF-44E3-9099-C40C66FF867C}">
                  <a14:compatExt spid="_x0000_s241665"/>
                </a:ext>
                <a:ext uri="{FF2B5EF4-FFF2-40B4-BE49-F238E27FC236}">
                  <a16:creationId xmlns:a16="http://schemas.microsoft.com/office/drawing/2014/main" id="{00000000-0008-0000-1900-000001B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33</xdr:col>
      <xdr:colOff>38100</xdr:colOff>
      <xdr:row>26</xdr:row>
      <xdr:rowOff>38100</xdr:rowOff>
    </xdr:from>
    <xdr:to>
      <xdr:col>33</xdr:col>
      <xdr:colOff>631843</xdr:colOff>
      <xdr:row>26</xdr:row>
      <xdr:rowOff>205740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6344900" y="4419600"/>
          <a:ext cx="597554" cy="171450"/>
        </a:xfrm>
        <a:prstGeom prst="rect">
          <a:avLst/>
        </a:prstGeom>
      </xdr:spPr>
    </xdr:pic>
    <xdr:clientData/>
  </xdr:twoCellAnchor>
  <xdr:twoCellAnchor editAs="oneCell">
    <xdr:from>
      <xdr:col>33</xdr:col>
      <xdr:colOff>1</xdr:colOff>
      <xdr:row>13</xdr:row>
      <xdr:rowOff>0</xdr:rowOff>
    </xdr:from>
    <xdr:to>
      <xdr:col>33</xdr:col>
      <xdr:colOff>628236</xdr:colOff>
      <xdr:row>13</xdr:row>
      <xdr:rowOff>148683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6306801" y="4191000"/>
          <a:ext cx="637761" cy="148683"/>
        </a:xfrm>
        <a:prstGeom prst="rect">
          <a:avLst/>
        </a:prstGeom>
      </xdr:spPr>
    </xdr:pic>
    <xdr:clientData/>
  </xdr:twoCellAnchor>
  <xdr:twoCellAnchor editAs="oneCell">
    <xdr:from>
      <xdr:col>33</xdr:col>
      <xdr:colOff>1</xdr:colOff>
      <xdr:row>12</xdr:row>
      <xdr:rowOff>0</xdr:rowOff>
    </xdr:from>
    <xdr:to>
      <xdr:col>33</xdr:col>
      <xdr:colOff>457201</xdr:colOff>
      <xdr:row>12</xdr:row>
      <xdr:rowOff>170648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6306801" y="6096000"/>
          <a:ext cx="457200" cy="174458"/>
        </a:xfrm>
        <a:prstGeom prst="rect">
          <a:avLst/>
        </a:prstGeom>
      </xdr:spPr>
    </xdr:pic>
    <xdr:clientData/>
  </xdr:twoCellAnchor>
  <xdr:twoCellAnchor editAs="oneCell">
    <xdr:from>
      <xdr:col>33</xdr:col>
      <xdr:colOff>32525</xdr:colOff>
      <xdr:row>11</xdr:row>
      <xdr:rowOff>23231</xdr:rowOff>
    </xdr:from>
    <xdr:to>
      <xdr:col>33</xdr:col>
      <xdr:colOff>663079</xdr:colOff>
      <xdr:row>11</xdr:row>
      <xdr:rowOff>168435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6339325" y="2118731"/>
          <a:ext cx="619125" cy="137584"/>
        </a:xfrm>
        <a:prstGeom prst="rect">
          <a:avLst/>
        </a:prstGeom>
      </xdr:spPr>
    </xdr:pic>
    <xdr:clientData/>
  </xdr:twoCellAnchor>
  <xdr:twoCellAnchor editAs="oneCell">
    <xdr:from>
      <xdr:col>33</xdr:col>
      <xdr:colOff>1</xdr:colOff>
      <xdr:row>10</xdr:row>
      <xdr:rowOff>1</xdr:rowOff>
    </xdr:from>
    <xdr:to>
      <xdr:col>33</xdr:col>
      <xdr:colOff>533401</xdr:colOff>
      <xdr:row>10</xdr:row>
      <xdr:rowOff>171451</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16325023" y="6667501"/>
          <a:ext cx="533400" cy="167640"/>
        </a:xfrm>
        <a:prstGeom prst="rect">
          <a:avLst/>
        </a:prstGeom>
      </xdr:spPr>
    </xdr:pic>
    <xdr:clientData/>
  </xdr:twoCellAnchor>
  <xdr:twoCellAnchor editAs="oneCell">
    <xdr:from>
      <xdr:col>33</xdr:col>
      <xdr:colOff>23232</xdr:colOff>
      <xdr:row>18</xdr:row>
      <xdr:rowOff>27878</xdr:rowOff>
    </xdr:from>
    <xdr:to>
      <xdr:col>33</xdr:col>
      <xdr:colOff>400422</xdr:colOff>
      <xdr:row>18</xdr:row>
      <xdr:rowOff>208853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16330032" y="5361878"/>
          <a:ext cx="381000" cy="190500"/>
        </a:xfrm>
        <a:prstGeom prst="rect">
          <a:avLst/>
        </a:prstGeom>
      </xdr:spPr>
    </xdr:pic>
    <xdr:clientData/>
  </xdr:twoCellAnchor>
  <xdr:twoCellAnchor editAs="oneCell">
    <xdr:from>
      <xdr:col>33</xdr:col>
      <xdr:colOff>41817</xdr:colOff>
      <xdr:row>21</xdr:row>
      <xdr:rowOff>13940</xdr:rowOff>
    </xdr:from>
    <xdr:to>
      <xdr:col>33</xdr:col>
      <xdr:colOff>474252</xdr:colOff>
      <xdr:row>21</xdr:row>
      <xdr:rowOff>209892</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6348617" y="4776440"/>
          <a:ext cx="428625" cy="192142"/>
        </a:xfrm>
        <a:prstGeom prst="rect">
          <a:avLst/>
        </a:prstGeom>
      </xdr:spPr>
    </xdr:pic>
    <xdr:clientData/>
  </xdr:twoCellAnchor>
  <xdr:twoCellAnchor editAs="oneCell">
    <xdr:from>
      <xdr:col>33</xdr:col>
      <xdr:colOff>31988</xdr:colOff>
      <xdr:row>20</xdr:row>
      <xdr:rowOff>13940</xdr:rowOff>
    </xdr:from>
    <xdr:to>
      <xdr:col>33</xdr:col>
      <xdr:colOff>478149</xdr:colOff>
      <xdr:row>20</xdr:row>
      <xdr:rowOff>194060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6338788" y="4585940"/>
          <a:ext cx="432826" cy="180120"/>
        </a:xfrm>
        <a:prstGeom prst="rect">
          <a:avLst/>
        </a:prstGeom>
      </xdr:spPr>
    </xdr:pic>
    <xdr:clientData/>
  </xdr:twoCellAnchor>
  <xdr:twoCellAnchor editAs="oneCell">
    <xdr:from>
      <xdr:col>33</xdr:col>
      <xdr:colOff>0</xdr:colOff>
      <xdr:row>35</xdr:row>
      <xdr:rowOff>0</xdr:rowOff>
    </xdr:from>
    <xdr:to>
      <xdr:col>33</xdr:col>
      <xdr:colOff>626744</xdr:colOff>
      <xdr:row>35</xdr:row>
      <xdr:rowOff>168309</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3039725" y="15811500"/>
          <a:ext cx="619124" cy="160689"/>
        </a:xfrm>
        <a:prstGeom prst="rect">
          <a:avLst/>
        </a:prstGeom>
      </xdr:spPr>
    </xdr:pic>
    <xdr:clientData/>
  </xdr:twoCellAnchor>
  <xdr:twoCellAnchor editAs="oneCell">
    <xdr:from>
      <xdr:col>33</xdr:col>
      <xdr:colOff>0</xdr:colOff>
      <xdr:row>16</xdr:row>
      <xdr:rowOff>1</xdr:rowOff>
    </xdr:from>
    <xdr:to>
      <xdr:col>33</xdr:col>
      <xdr:colOff>631114</xdr:colOff>
      <xdr:row>16</xdr:row>
      <xdr:rowOff>190501</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6306800" y="3238501"/>
          <a:ext cx="638735" cy="190500"/>
        </a:xfrm>
        <a:prstGeom prst="rect">
          <a:avLst/>
        </a:prstGeom>
      </xdr:spPr>
    </xdr:pic>
    <xdr:clientData/>
  </xdr:twoCellAnchor>
  <xdr:twoCellAnchor editAs="oneCell">
    <xdr:from>
      <xdr:col>33</xdr:col>
      <xdr:colOff>0</xdr:colOff>
      <xdr:row>23</xdr:row>
      <xdr:rowOff>0</xdr:rowOff>
    </xdr:from>
    <xdr:to>
      <xdr:col>33</xdr:col>
      <xdr:colOff>781049</xdr:colOff>
      <xdr:row>23</xdr:row>
      <xdr:rowOff>248003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6306800" y="1333500"/>
          <a:ext cx="790575" cy="251813"/>
        </a:xfrm>
        <a:prstGeom prst="rect">
          <a:avLst/>
        </a:prstGeom>
      </xdr:spPr>
    </xdr:pic>
    <xdr:clientData/>
  </xdr:twoCellAnchor>
  <xdr:twoCellAnchor editAs="oneCell">
    <xdr:from>
      <xdr:col>33</xdr:col>
      <xdr:colOff>0</xdr:colOff>
      <xdr:row>25</xdr:row>
      <xdr:rowOff>1</xdr:rowOff>
    </xdr:from>
    <xdr:to>
      <xdr:col>33</xdr:col>
      <xdr:colOff>495300</xdr:colOff>
      <xdr:row>25</xdr:row>
      <xdr:rowOff>168881</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16306800" y="5905501"/>
          <a:ext cx="495300" cy="161260"/>
        </a:xfrm>
        <a:prstGeom prst="rect">
          <a:avLst/>
        </a:prstGeom>
      </xdr:spPr>
    </xdr:pic>
    <xdr:clientData/>
  </xdr:twoCellAnchor>
  <xdr:twoCellAnchor editAs="oneCell">
    <xdr:from>
      <xdr:col>33</xdr:col>
      <xdr:colOff>0</xdr:colOff>
      <xdr:row>27</xdr:row>
      <xdr:rowOff>0</xdr:rowOff>
    </xdr:from>
    <xdr:to>
      <xdr:col>33</xdr:col>
      <xdr:colOff>438150</xdr:colOff>
      <xdr:row>27</xdr:row>
      <xdr:rowOff>173915</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16306800" y="3619500"/>
          <a:ext cx="428625" cy="181535"/>
        </a:xfrm>
        <a:prstGeom prst="rect">
          <a:avLst/>
        </a:prstGeom>
      </xdr:spPr>
    </xdr:pic>
    <xdr:clientData/>
  </xdr:twoCellAnchor>
  <xdr:twoCellAnchor editAs="oneCell">
    <xdr:from>
      <xdr:col>33</xdr:col>
      <xdr:colOff>1</xdr:colOff>
      <xdr:row>28</xdr:row>
      <xdr:rowOff>0</xdr:rowOff>
    </xdr:from>
    <xdr:to>
      <xdr:col>33</xdr:col>
      <xdr:colOff>396241</xdr:colOff>
      <xdr:row>28</xdr:row>
      <xdr:rowOff>228029</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a:stretch>
          <a:fillRect/>
        </a:stretch>
      </xdr:blipFill>
      <xdr:spPr>
        <a:xfrm>
          <a:off x="16306801" y="1905000"/>
          <a:ext cx="400050" cy="228029"/>
        </a:xfrm>
        <a:prstGeom prst="rect">
          <a:avLst/>
        </a:prstGeom>
      </xdr:spPr>
    </xdr:pic>
    <xdr:clientData/>
  </xdr:twoCellAnchor>
  <xdr:twoCellAnchor editAs="oneCell">
    <xdr:from>
      <xdr:col>33</xdr:col>
      <xdr:colOff>0</xdr:colOff>
      <xdr:row>30</xdr:row>
      <xdr:rowOff>0</xdr:rowOff>
    </xdr:from>
    <xdr:to>
      <xdr:col>33</xdr:col>
      <xdr:colOff>533400</xdr:colOff>
      <xdr:row>30</xdr:row>
      <xdr:rowOff>174576</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a:stretch>
          <a:fillRect/>
        </a:stretch>
      </xdr:blipFill>
      <xdr:spPr>
        <a:xfrm>
          <a:off x="16306800" y="1524000"/>
          <a:ext cx="533400" cy="186006"/>
        </a:xfrm>
        <a:prstGeom prst="rect">
          <a:avLst/>
        </a:prstGeom>
      </xdr:spPr>
    </xdr:pic>
    <xdr:clientData/>
  </xdr:twoCellAnchor>
  <xdr:twoCellAnchor editAs="oneCell">
    <xdr:from>
      <xdr:col>33</xdr:col>
      <xdr:colOff>9525</xdr:colOff>
      <xdr:row>29</xdr:row>
      <xdr:rowOff>0</xdr:rowOff>
    </xdr:from>
    <xdr:to>
      <xdr:col>33</xdr:col>
      <xdr:colOff>611511</xdr:colOff>
      <xdr:row>29</xdr:row>
      <xdr:rowOff>173355</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a:stretch>
          <a:fillRect/>
        </a:stretch>
      </xdr:blipFill>
      <xdr:spPr>
        <a:xfrm>
          <a:off x="16316325" y="2857500"/>
          <a:ext cx="601987" cy="180975"/>
        </a:xfrm>
        <a:prstGeom prst="rect">
          <a:avLst/>
        </a:prstGeom>
      </xdr:spPr>
    </xdr:pic>
    <xdr:clientData/>
  </xdr:twoCellAnchor>
  <xdr:twoCellAnchor editAs="oneCell">
    <xdr:from>
      <xdr:col>33</xdr:col>
      <xdr:colOff>1</xdr:colOff>
      <xdr:row>32</xdr:row>
      <xdr:rowOff>1</xdr:rowOff>
    </xdr:from>
    <xdr:to>
      <xdr:col>33</xdr:col>
      <xdr:colOff>624840</xdr:colOff>
      <xdr:row>32</xdr:row>
      <xdr:rowOff>129541</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a:stretch>
          <a:fillRect/>
        </a:stretch>
      </xdr:blipFill>
      <xdr:spPr>
        <a:xfrm>
          <a:off x="16306801" y="1714501"/>
          <a:ext cx="628650" cy="133350"/>
        </a:xfrm>
        <a:prstGeom prst="rect">
          <a:avLst/>
        </a:prstGeom>
      </xdr:spPr>
    </xdr:pic>
    <xdr:clientData/>
  </xdr:twoCellAnchor>
  <xdr:twoCellAnchor editAs="oneCell">
    <xdr:from>
      <xdr:col>33</xdr:col>
      <xdr:colOff>0</xdr:colOff>
      <xdr:row>33</xdr:row>
      <xdr:rowOff>1</xdr:rowOff>
    </xdr:from>
    <xdr:to>
      <xdr:col>33</xdr:col>
      <xdr:colOff>628649</xdr:colOff>
      <xdr:row>33</xdr:row>
      <xdr:rowOff>174717</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a:stretch>
          <a:fillRect/>
        </a:stretch>
      </xdr:blipFill>
      <xdr:spPr>
        <a:xfrm>
          <a:off x="16306800" y="2476501"/>
          <a:ext cx="638175" cy="182336"/>
        </a:xfrm>
        <a:prstGeom prst="rect">
          <a:avLst/>
        </a:prstGeom>
      </xdr:spPr>
    </xdr:pic>
    <xdr:clientData/>
  </xdr:twoCellAnchor>
  <xdr:twoCellAnchor editAs="oneCell">
    <xdr:from>
      <xdr:col>33</xdr:col>
      <xdr:colOff>1</xdr:colOff>
      <xdr:row>31</xdr:row>
      <xdr:rowOff>0</xdr:rowOff>
    </xdr:from>
    <xdr:to>
      <xdr:col>33</xdr:col>
      <xdr:colOff>629517</xdr:colOff>
      <xdr:row>31</xdr:row>
      <xdr:rowOff>152400</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9"/>
        <a:stretch>
          <a:fillRect/>
        </a:stretch>
      </xdr:blipFill>
      <xdr:spPr>
        <a:xfrm>
          <a:off x="16306801" y="2667000"/>
          <a:ext cx="619992" cy="152400"/>
        </a:xfrm>
        <a:prstGeom prst="rect">
          <a:avLst/>
        </a:prstGeom>
      </xdr:spPr>
    </xdr:pic>
    <xdr:clientData/>
  </xdr:twoCellAnchor>
  <xdr:twoCellAnchor editAs="oneCell">
    <xdr:from>
      <xdr:col>33</xdr:col>
      <xdr:colOff>0</xdr:colOff>
      <xdr:row>37</xdr:row>
      <xdr:rowOff>0</xdr:rowOff>
    </xdr:from>
    <xdr:to>
      <xdr:col>33</xdr:col>
      <xdr:colOff>514814</xdr:colOff>
      <xdr:row>37</xdr:row>
      <xdr:rowOff>135255</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0"/>
        <a:stretch>
          <a:fillRect/>
        </a:stretch>
      </xdr:blipFill>
      <xdr:spPr>
        <a:xfrm>
          <a:off x="16306800" y="3429000"/>
          <a:ext cx="505289" cy="142875"/>
        </a:xfrm>
        <a:prstGeom prst="rect">
          <a:avLst/>
        </a:prstGeom>
      </xdr:spPr>
    </xdr:pic>
    <xdr:clientData/>
  </xdr:twoCellAnchor>
  <xdr:twoCellAnchor editAs="oneCell">
    <xdr:from>
      <xdr:col>33</xdr:col>
      <xdr:colOff>1</xdr:colOff>
      <xdr:row>36</xdr:row>
      <xdr:rowOff>0</xdr:rowOff>
    </xdr:from>
    <xdr:to>
      <xdr:col>33</xdr:col>
      <xdr:colOff>815340</xdr:colOff>
      <xdr:row>36</xdr:row>
      <xdr:rowOff>169481</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1"/>
        <a:stretch>
          <a:fillRect/>
        </a:stretch>
      </xdr:blipFill>
      <xdr:spPr>
        <a:xfrm>
          <a:off x="16306801" y="3810000"/>
          <a:ext cx="819150" cy="165671"/>
        </a:xfrm>
        <a:prstGeom prst="rect">
          <a:avLst/>
        </a:prstGeom>
      </xdr:spPr>
    </xdr:pic>
    <xdr:clientData/>
  </xdr:twoCellAnchor>
  <xdr:twoCellAnchor editAs="oneCell">
    <xdr:from>
      <xdr:col>33</xdr:col>
      <xdr:colOff>0</xdr:colOff>
      <xdr:row>39</xdr:row>
      <xdr:rowOff>0</xdr:rowOff>
    </xdr:from>
    <xdr:to>
      <xdr:col>33</xdr:col>
      <xdr:colOff>571500</xdr:colOff>
      <xdr:row>39</xdr:row>
      <xdr:rowOff>151805</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a:stretch>
          <a:fillRect/>
        </a:stretch>
      </xdr:blipFill>
      <xdr:spPr>
        <a:xfrm>
          <a:off x="16306800" y="2286000"/>
          <a:ext cx="571500" cy="151805"/>
        </a:xfrm>
        <a:prstGeom prst="rect">
          <a:avLst/>
        </a:prstGeom>
      </xdr:spPr>
    </xdr:pic>
    <xdr:clientData/>
  </xdr:twoCellAnchor>
  <xdr:twoCellAnchor editAs="oneCell">
    <xdr:from>
      <xdr:col>33</xdr:col>
      <xdr:colOff>0</xdr:colOff>
      <xdr:row>38</xdr:row>
      <xdr:rowOff>0</xdr:rowOff>
    </xdr:from>
    <xdr:to>
      <xdr:col>33</xdr:col>
      <xdr:colOff>626744</xdr:colOff>
      <xdr:row>38</xdr:row>
      <xdr:rowOff>150091</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a:stretch>
          <a:fillRect/>
        </a:stretch>
      </xdr:blipFill>
      <xdr:spPr>
        <a:xfrm>
          <a:off x="16306800" y="3048000"/>
          <a:ext cx="619125" cy="150091"/>
        </a:xfrm>
        <a:prstGeom prst="rect">
          <a:avLst/>
        </a:prstGeom>
      </xdr:spPr>
    </xdr:pic>
    <xdr:clientData/>
  </xdr:twoCellAnchor>
  <xdr:twoCellAnchor editAs="oneCell">
    <xdr:from>
      <xdr:col>33</xdr:col>
      <xdr:colOff>0</xdr:colOff>
      <xdr:row>34</xdr:row>
      <xdr:rowOff>0</xdr:rowOff>
    </xdr:from>
    <xdr:to>
      <xdr:col>33</xdr:col>
      <xdr:colOff>479283</xdr:colOff>
      <xdr:row>34</xdr:row>
      <xdr:rowOff>129540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a:stretch>
          <a:fillRect/>
        </a:stretch>
      </xdr:blipFill>
      <xdr:spPr>
        <a:xfrm>
          <a:off x="16306800" y="5143500"/>
          <a:ext cx="486903" cy="133350"/>
        </a:xfrm>
        <a:prstGeom prst="rect">
          <a:avLst/>
        </a:prstGeom>
      </xdr:spPr>
    </xdr:pic>
    <xdr:clientData/>
  </xdr:twoCellAnchor>
  <xdr:twoCellAnchor editAs="oneCell">
    <xdr:from>
      <xdr:col>33</xdr:col>
      <xdr:colOff>38100</xdr:colOff>
      <xdr:row>26</xdr:row>
      <xdr:rowOff>38100</xdr:rowOff>
    </xdr:from>
    <xdr:to>
      <xdr:col>33</xdr:col>
      <xdr:colOff>631843</xdr:colOff>
      <xdr:row>26</xdr:row>
      <xdr:rowOff>205740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
        <a:stretch>
          <a:fillRect/>
        </a:stretch>
      </xdr:blipFill>
      <xdr:spPr>
        <a:xfrm>
          <a:off x="39928800" y="13944600"/>
          <a:ext cx="597553" cy="171450"/>
        </a:xfrm>
        <a:prstGeom prst="rect">
          <a:avLst/>
        </a:prstGeom>
      </xdr:spPr>
    </xdr:pic>
    <xdr:clientData/>
  </xdr:twoCellAnchor>
  <xdr:twoCellAnchor editAs="oneCell">
    <xdr:from>
      <xdr:col>33</xdr:col>
      <xdr:colOff>1</xdr:colOff>
      <xdr:row>13</xdr:row>
      <xdr:rowOff>0</xdr:rowOff>
    </xdr:from>
    <xdr:to>
      <xdr:col>33</xdr:col>
      <xdr:colOff>628236</xdr:colOff>
      <xdr:row>13</xdr:row>
      <xdr:rowOff>148683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
        <a:stretch>
          <a:fillRect/>
        </a:stretch>
      </xdr:blipFill>
      <xdr:spPr>
        <a:xfrm>
          <a:off x="39890701" y="4762500"/>
          <a:ext cx="637760" cy="148683"/>
        </a:xfrm>
        <a:prstGeom prst="rect">
          <a:avLst/>
        </a:prstGeom>
      </xdr:spPr>
    </xdr:pic>
    <xdr:clientData/>
  </xdr:twoCellAnchor>
  <xdr:twoCellAnchor editAs="oneCell">
    <xdr:from>
      <xdr:col>33</xdr:col>
      <xdr:colOff>1</xdr:colOff>
      <xdr:row>12</xdr:row>
      <xdr:rowOff>0</xdr:rowOff>
    </xdr:from>
    <xdr:to>
      <xdr:col>33</xdr:col>
      <xdr:colOff>457201</xdr:colOff>
      <xdr:row>12</xdr:row>
      <xdr:rowOff>170648</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3"/>
        <a:stretch>
          <a:fillRect/>
        </a:stretch>
      </xdr:blipFill>
      <xdr:spPr>
        <a:xfrm>
          <a:off x="39890701" y="4000500"/>
          <a:ext cx="457200" cy="174458"/>
        </a:xfrm>
        <a:prstGeom prst="rect">
          <a:avLst/>
        </a:prstGeom>
      </xdr:spPr>
    </xdr:pic>
    <xdr:clientData/>
  </xdr:twoCellAnchor>
  <xdr:twoCellAnchor editAs="oneCell">
    <xdr:from>
      <xdr:col>33</xdr:col>
      <xdr:colOff>32525</xdr:colOff>
      <xdr:row>11</xdr:row>
      <xdr:rowOff>23231</xdr:rowOff>
    </xdr:from>
    <xdr:to>
      <xdr:col>33</xdr:col>
      <xdr:colOff>663079</xdr:colOff>
      <xdr:row>11</xdr:row>
      <xdr:rowOff>168435</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
        <a:stretch>
          <a:fillRect/>
        </a:stretch>
      </xdr:blipFill>
      <xdr:spPr>
        <a:xfrm>
          <a:off x="39923225" y="3261731"/>
          <a:ext cx="619124" cy="137584"/>
        </a:xfrm>
        <a:prstGeom prst="rect">
          <a:avLst/>
        </a:prstGeom>
      </xdr:spPr>
    </xdr:pic>
    <xdr:clientData/>
  </xdr:twoCellAnchor>
  <xdr:twoCellAnchor editAs="oneCell">
    <xdr:from>
      <xdr:col>33</xdr:col>
      <xdr:colOff>1</xdr:colOff>
      <xdr:row>10</xdr:row>
      <xdr:rowOff>1</xdr:rowOff>
    </xdr:from>
    <xdr:to>
      <xdr:col>33</xdr:col>
      <xdr:colOff>533401</xdr:colOff>
      <xdr:row>10</xdr:row>
      <xdr:rowOff>171451</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a:stretch>
          <a:fillRect/>
        </a:stretch>
      </xdr:blipFill>
      <xdr:spPr>
        <a:xfrm>
          <a:off x="39890701" y="2476501"/>
          <a:ext cx="533400" cy="167640"/>
        </a:xfrm>
        <a:prstGeom prst="rect">
          <a:avLst/>
        </a:prstGeom>
      </xdr:spPr>
    </xdr:pic>
    <xdr:clientData/>
  </xdr:twoCellAnchor>
  <xdr:twoCellAnchor editAs="oneCell">
    <xdr:from>
      <xdr:col>33</xdr:col>
      <xdr:colOff>23232</xdr:colOff>
      <xdr:row>18</xdr:row>
      <xdr:rowOff>27878</xdr:rowOff>
    </xdr:from>
    <xdr:to>
      <xdr:col>33</xdr:col>
      <xdr:colOff>400422</xdr:colOff>
      <xdr:row>18</xdr:row>
      <xdr:rowOff>208853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6"/>
        <a:stretch>
          <a:fillRect/>
        </a:stretch>
      </xdr:blipFill>
      <xdr:spPr>
        <a:xfrm>
          <a:off x="39913932" y="8600378"/>
          <a:ext cx="381000" cy="190500"/>
        </a:xfrm>
        <a:prstGeom prst="rect">
          <a:avLst/>
        </a:prstGeom>
      </xdr:spPr>
    </xdr:pic>
    <xdr:clientData/>
  </xdr:twoCellAnchor>
  <xdr:twoCellAnchor editAs="oneCell">
    <xdr:from>
      <xdr:col>33</xdr:col>
      <xdr:colOff>41817</xdr:colOff>
      <xdr:row>21</xdr:row>
      <xdr:rowOff>13940</xdr:rowOff>
    </xdr:from>
    <xdr:to>
      <xdr:col>33</xdr:col>
      <xdr:colOff>474252</xdr:colOff>
      <xdr:row>21</xdr:row>
      <xdr:rowOff>209892</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7"/>
        <a:stretch>
          <a:fillRect/>
        </a:stretch>
      </xdr:blipFill>
      <xdr:spPr>
        <a:xfrm>
          <a:off x="39932517" y="10872440"/>
          <a:ext cx="428625" cy="192142"/>
        </a:xfrm>
        <a:prstGeom prst="rect">
          <a:avLst/>
        </a:prstGeom>
      </xdr:spPr>
    </xdr:pic>
    <xdr:clientData/>
  </xdr:twoCellAnchor>
  <xdr:twoCellAnchor editAs="oneCell">
    <xdr:from>
      <xdr:col>33</xdr:col>
      <xdr:colOff>31988</xdr:colOff>
      <xdr:row>20</xdr:row>
      <xdr:rowOff>13940</xdr:rowOff>
    </xdr:from>
    <xdr:to>
      <xdr:col>33</xdr:col>
      <xdr:colOff>478149</xdr:colOff>
      <xdr:row>20</xdr:row>
      <xdr:rowOff>194060</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8"/>
        <a:stretch>
          <a:fillRect/>
        </a:stretch>
      </xdr:blipFill>
      <xdr:spPr>
        <a:xfrm>
          <a:off x="39922688" y="10110440"/>
          <a:ext cx="432826" cy="180120"/>
        </a:xfrm>
        <a:prstGeom prst="rect">
          <a:avLst/>
        </a:prstGeom>
      </xdr:spPr>
    </xdr:pic>
    <xdr:clientData/>
  </xdr:twoCellAnchor>
  <xdr:twoCellAnchor editAs="oneCell">
    <xdr:from>
      <xdr:col>33</xdr:col>
      <xdr:colOff>0</xdr:colOff>
      <xdr:row>35</xdr:row>
      <xdr:rowOff>0</xdr:rowOff>
    </xdr:from>
    <xdr:to>
      <xdr:col>33</xdr:col>
      <xdr:colOff>626744</xdr:colOff>
      <xdr:row>35</xdr:row>
      <xdr:rowOff>168309</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
        <a:stretch>
          <a:fillRect/>
        </a:stretch>
      </xdr:blipFill>
      <xdr:spPr>
        <a:xfrm>
          <a:off x="39890700" y="20764500"/>
          <a:ext cx="619124" cy="160689"/>
        </a:xfrm>
        <a:prstGeom prst="rect">
          <a:avLst/>
        </a:prstGeom>
      </xdr:spPr>
    </xdr:pic>
    <xdr:clientData/>
  </xdr:twoCellAnchor>
  <xdr:twoCellAnchor editAs="oneCell">
    <xdr:from>
      <xdr:col>33</xdr:col>
      <xdr:colOff>0</xdr:colOff>
      <xdr:row>16</xdr:row>
      <xdr:rowOff>1</xdr:rowOff>
    </xdr:from>
    <xdr:to>
      <xdr:col>33</xdr:col>
      <xdr:colOff>631114</xdr:colOff>
      <xdr:row>16</xdr:row>
      <xdr:rowOff>190501</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0"/>
        <a:stretch>
          <a:fillRect/>
        </a:stretch>
      </xdr:blipFill>
      <xdr:spPr>
        <a:xfrm>
          <a:off x="39890700" y="7048501"/>
          <a:ext cx="638734" cy="190500"/>
        </a:xfrm>
        <a:prstGeom prst="rect">
          <a:avLst/>
        </a:prstGeom>
      </xdr:spPr>
    </xdr:pic>
    <xdr:clientData/>
  </xdr:twoCellAnchor>
  <xdr:twoCellAnchor editAs="oneCell">
    <xdr:from>
      <xdr:col>33</xdr:col>
      <xdr:colOff>0</xdr:colOff>
      <xdr:row>23</xdr:row>
      <xdr:rowOff>0</xdr:rowOff>
    </xdr:from>
    <xdr:to>
      <xdr:col>33</xdr:col>
      <xdr:colOff>781049</xdr:colOff>
      <xdr:row>23</xdr:row>
      <xdr:rowOff>248003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1"/>
        <a:stretch>
          <a:fillRect/>
        </a:stretch>
      </xdr:blipFill>
      <xdr:spPr>
        <a:xfrm>
          <a:off x="39890700" y="12382500"/>
          <a:ext cx="790574" cy="251813"/>
        </a:xfrm>
        <a:prstGeom prst="rect">
          <a:avLst/>
        </a:prstGeom>
      </xdr:spPr>
    </xdr:pic>
    <xdr:clientData/>
  </xdr:twoCellAnchor>
  <xdr:twoCellAnchor editAs="oneCell">
    <xdr:from>
      <xdr:col>33</xdr:col>
      <xdr:colOff>0</xdr:colOff>
      <xdr:row>25</xdr:row>
      <xdr:rowOff>1</xdr:rowOff>
    </xdr:from>
    <xdr:to>
      <xdr:col>33</xdr:col>
      <xdr:colOff>495300</xdr:colOff>
      <xdr:row>25</xdr:row>
      <xdr:rowOff>168881</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2"/>
        <a:stretch>
          <a:fillRect/>
        </a:stretch>
      </xdr:blipFill>
      <xdr:spPr>
        <a:xfrm>
          <a:off x="39890700" y="13144501"/>
          <a:ext cx="495300" cy="161260"/>
        </a:xfrm>
        <a:prstGeom prst="rect">
          <a:avLst/>
        </a:prstGeom>
      </xdr:spPr>
    </xdr:pic>
    <xdr:clientData/>
  </xdr:twoCellAnchor>
  <xdr:twoCellAnchor editAs="oneCell">
    <xdr:from>
      <xdr:col>33</xdr:col>
      <xdr:colOff>0</xdr:colOff>
      <xdr:row>27</xdr:row>
      <xdr:rowOff>0</xdr:rowOff>
    </xdr:from>
    <xdr:to>
      <xdr:col>33</xdr:col>
      <xdr:colOff>438150</xdr:colOff>
      <xdr:row>27</xdr:row>
      <xdr:rowOff>173915</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3"/>
        <a:stretch>
          <a:fillRect/>
        </a:stretch>
      </xdr:blipFill>
      <xdr:spPr>
        <a:xfrm>
          <a:off x="39890700" y="14668500"/>
          <a:ext cx="428625" cy="181535"/>
        </a:xfrm>
        <a:prstGeom prst="rect">
          <a:avLst/>
        </a:prstGeom>
      </xdr:spPr>
    </xdr:pic>
    <xdr:clientData/>
  </xdr:twoCellAnchor>
  <xdr:twoCellAnchor editAs="oneCell">
    <xdr:from>
      <xdr:col>33</xdr:col>
      <xdr:colOff>1</xdr:colOff>
      <xdr:row>28</xdr:row>
      <xdr:rowOff>0</xdr:rowOff>
    </xdr:from>
    <xdr:to>
      <xdr:col>33</xdr:col>
      <xdr:colOff>396241</xdr:colOff>
      <xdr:row>28</xdr:row>
      <xdr:rowOff>228029</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4"/>
        <a:stretch>
          <a:fillRect/>
        </a:stretch>
      </xdr:blipFill>
      <xdr:spPr>
        <a:xfrm>
          <a:off x="39890701" y="15430500"/>
          <a:ext cx="400050" cy="228029"/>
        </a:xfrm>
        <a:prstGeom prst="rect">
          <a:avLst/>
        </a:prstGeom>
      </xdr:spPr>
    </xdr:pic>
    <xdr:clientData/>
  </xdr:twoCellAnchor>
  <xdr:twoCellAnchor editAs="oneCell">
    <xdr:from>
      <xdr:col>33</xdr:col>
      <xdr:colOff>0</xdr:colOff>
      <xdr:row>30</xdr:row>
      <xdr:rowOff>0</xdr:rowOff>
    </xdr:from>
    <xdr:to>
      <xdr:col>33</xdr:col>
      <xdr:colOff>533400</xdr:colOff>
      <xdr:row>30</xdr:row>
      <xdr:rowOff>174576</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5"/>
        <a:stretch>
          <a:fillRect/>
        </a:stretch>
      </xdr:blipFill>
      <xdr:spPr>
        <a:xfrm>
          <a:off x="39890700" y="16954500"/>
          <a:ext cx="533400" cy="186006"/>
        </a:xfrm>
        <a:prstGeom prst="rect">
          <a:avLst/>
        </a:prstGeom>
      </xdr:spPr>
    </xdr:pic>
    <xdr:clientData/>
  </xdr:twoCellAnchor>
  <xdr:twoCellAnchor editAs="oneCell">
    <xdr:from>
      <xdr:col>33</xdr:col>
      <xdr:colOff>9525</xdr:colOff>
      <xdr:row>29</xdr:row>
      <xdr:rowOff>0</xdr:rowOff>
    </xdr:from>
    <xdr:to>
      <xdr:col>33</xdr:col>
      <xdr:colOff>611511</xdr:colOff>
      <xdr:row>29</xdr:row>
      <xdr:rowOff>173355</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6"/>
        <a:stretch>
          <a:fillRect/>
        </a:stretch>
      </xdr:blipFill>
      <xdr:spPr>
        <a:xfrm>
          <a:off x="39900225" y="16192500"/>
          <a:ext cx="601986" cy="180975"/>
        </a:xfrm>
        <a:prstGeom prst="rect">
          <a:avLst/>
        </a:prstGeom>
      </xdr:spPr>
    </xdr:pic>
    <xdr:clientData/>
  </xdr:twoCellAnchor>
  <xdr:twoCellAnchor editAs="oneCell">
    <xdr:from>
      <xdr:col>33</xdr:col>
      <xdr:colOff>1</xdr:colOff>
      <xdr:row>32</xdr:row>
      <xdr:rowOff>1</xdr:rowOff>
    </xdr:from>
    <xdr:to>
      <xdr:col>33</xdr:col>
      <xdr:colOff>624840</xdr:colOff>
      <xdr:row>32</xdr:row>
      <xdr:rowOff>129541</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7"/>
        <a:stretch>
          <a:fillRect/>
        </a:stretch>
      </xdr:blipFill>
      <xdr:spPr>
        <a:xfrm>
          <a:off x="39890701" y="18478501"/>
          <a:ext cx="628649" cy="133350"/>
        </a:xfrm>
        <a:prstGeom prst="rect">
          <a:avLst/>
        </a:prstGeom>
      </xdr:spPr>
    </xdr:pic>
    <xdr:clientData/>
  </xdr:twoCellAnchor>
  <xdr:twoCellAnchor editAs="oneCell">
    <xdr:from>
      <xdr:col>33</xdr:col>
      <xdr:colOff>0</xdr:colOff>
      <xdr:row>33</xdr:row>
      <xdr:rowOff>1</xdr:rowOff>
    </xdr:from>
    <xdr:to>
      <xdr:col>33</xdr:col>
      <xdr:colOff>628649</xdr:colOff>
      <xdr:row>33</xdr:row>
      <xdr:rowOff>174717</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8"/>
        <a:stretch>
          <a:fillRect/>
        </a:stretch>
      </xdr:blipFill>
      <xdr:spPr>
        <a:xfrm>
          <a:off x="39890700" y="19240501"/>
          <a:ext cx="638174" cy="182336"/>
        </a:xfrm>
        <a:prstGeom prst="rect">
          <a:avLst/>
        </a:prstGeom>
      </xdr:spPr>
    </xdr:pic>
    <xdr:clientData/>
  </xdr:twoCellAnchor>
  <xdr:twoCellAnchor editAs="oneCell">
    <xdr:from>
      <xdr:col>33</xdr:col>
      <xdr:colOff>1</xdr:colOff>
      <xdr:row>31</xdr:row>
      <xdr:rowOff>0</xdr:rowOff>
    </xdr:from>
    <xdr:to>
      <xdr:col>33</xdr:col>
      <xdr:colOff>629517</xdr:colOff>
      <xdr:row>31</xdr:row>
      <xdr:rowOff>152400</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9"/>
        <a:stretch>
          <a:fillRect/>
        </a:stretch>
      </xdr:blipFill>
      <xdr:spPr>
        <a:xfrm>
          <a:off x="39890701" y="17716500"/>
          <a:ext cx="619991" cy="152400"/>
        </a:xfrm>
        <a:prstGeom prst="rect">
          <a:avLst/>
        </a:prstGeom>
      </xdr:spPr>
    </xdr:pic>
    <xdr:clientData/>
  </xdr:twoCellAnchor>
  <xdr:twoCellAnchor editAs="oneCell">
    <xdr:from>
      <xdr:col>33</xdr:col>
      <xdr:colOff>0</xdr:colOff>
      <xdr:row>37</xdr:row>
      <xdr:rowOff>0</xdr:rowOff>
    </xdr:from>
    <xdr:to>
      <xdr:col>33</xdr:col>
      <xdr:colOff>514814</xdr:colOff>
      <xdr:row>37</xdr:row>
      <xdr:rowOff>135255</xdr:rowOff>
    </xdr:to>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20"/>
        <a:stretch>
          <a:fillRect/>
        </a:stretch>
      </xdr:blipFill>
      <xdr:spPr>
        <a:xfrm>
          <a:off x="39890700" y="22288500"/>
          <a:ext cx="505289" cy="142875"/>
        </a:xfrm>
        <a:prstGeom prst="rect">
          <a:avLst/>
        </a:prstGeom>
      </xdr:spPr>
    </xdr:pic>
    <xdr:clientData/>
  </xdr:twoCellAnchor>
  <xdr:twoCellAnchor editAs="oneCell">
    <xdr:from>
      <xdr:col>33</xdr:col>
      <xdr:colOff>1</xdr:colOff>
      <xdr:row>36</xdr:row>
      <xdr:rowOff>0</xdr:rowOff>
    </xdr:from>
    <xdr:to>
      <xdr:col>33</xdr:col>
      <xdr:colOff>815340</xdr:colOff>
      <xdr:row>36</xdr:row>
      <xdr:rowOff>169481</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21"/>
        <a:stretch>
          <a:fillRect/>
        </a:stretch>
      </xdr:blipFill>
      <xdr:spPr>
        <a:xfrm>
          <a:off x="39890701" y="21526500"/>
          <a:ext cx="819149" cy="165671"/>
        </a:xfrm>
        <a:prstGeom prst="rect">
          <a:avLst/>
        </a:prstGeom>
      </xdr:spPr>
    </xdr:pic>
    <xdr:clientData/>
  </xdr:twoCellAnchor>
  <xdr:twoCellAnchor editAs="oneCell">
    <xdr:from>
      <xdr:col>33</xdr:col>
      <xdr:colOff>0</xdr:colOff>
      <xdr:row>39</xdr:row>
      <xdr:rowOff>0</xdr:rowOff>
    </xdr:from>
    <xdr:to>
      <xdr:col>33</xdr:col>
      <xdr:colOff>571500</xdr:colOff>
      <xdr:row>39</xdr:row>
      <xdr:rowOff>151805</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2"/>
        <a:stretch>
          <a:fillRect/>
        </a:stretch>
      </xdr:blipFill>
      <xdr:spPr>
        <a:xfrm>
          <a:off x="39890700" y="23812500"/>
          <a:ext cx="571500" cy="151805"/>
        </a:xfrm>
        <a:prstGeom prst="rect">
          <a:avLst/>
        </a:prstGeom>
      </xdr:spPr>
    </xdr:pic>
    <xdr:clientData/>
  </xdr:twoCellAnchor>
  <xdr:twoCellAnchor editAs="oneCell">
    <xdr:from>
      <xdr:col>33</xdr:col>
      <xdr:colOff>0</xdr:colOff>
      <xdr:row>38</xdr:row>
      <xdr:rowOff>0</xdr:rowOff>
    </xdr:from>
    <xdr:to>
      <xdr:col>33</xdr:col>
      <xdr:colOff>626744</xdr:colOff>
      <xdr:row>38</xdr:row>
      <xdr:rowOff>150091</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3"/>
        <a:stretch>
          <a:fillRect/>
        </a:stretch>
      </xdr:blipFill>
      <xdr:spPr>
        <a:xfrm>
          <a:off x="39890700" y="23050500"/>
          <a:ext cx="619124" cy="150091"/>
        </a:xfrm>
        <a:prstGeom prst="rect">
          <a:avLst/>
        </a:prstGeom>
      </xdr:spPr>
    </xdr:pic>
    <xdr:clientData/>
  </xdr:twoCellAnchor>
  <xdr:twoCellAnchor editAs="oneCell">
    <xdr:from>
      <xdr:col>33</xdr:col>
      <xdr:colOff>0</xdr:colOff>
      <xdr:row>34</xdr:row>
      <xdr:rowOff>0</xdr:rowOff>
    </xdr:from>
    <xdr:to>
      <xdr:col>33</xdr:col>
      <xdr:colOff>479283</xdr:colOff>
      <xdr:row>34</xdr:row>
      <xdr:rowOff>129540</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24"/>
        <a:stretch>
          <a:fillRect/>
        </a:stretch>
      </xdr:blipFill>
      <xdr:spPr>
        <a:xfrm>
          <a:off x="39890700" y="20002500"/>
          <a:ext cx="486903" cy="133350"/>
        </a:xfrm>
        <a:prstGeom prst="rect">
          <a:avLst/>
        </a:prstGeom>
      </xdr:spPr>
    </xdr:pic>
    <xdr:clientData/>
  </xdr:twoCellAnchor>
  <xdr:twoCellAnchor editAs="oneCell">
    <xdr:from>
      <xdr:col>33</xdr:col>
      <xdr:colOff>19050</xdr:colOff>
      <xdr:row>24</xdr:row>
      <xdr:rowOff>190501</xdr:rowOff>
    </xdr:from>
    <xdr:to>
      <xdr:col>33</xdr:col>
      <xdr:colOff>896751</xdr:colOff>
      <xdr:row>24</xdr:row>
      <xdr:rowOff>434341</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5"/>
        <a:stretch>
          <a:fillRect/>
        </a:stretch>
      </xdr:blipFill>
      <xdr:spPr>
        <a:xfrm>
          <a:off x="39909750" y="11620501"/>
          <a:ext cx="873891" cy="2476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20</xdr:row>
          <xdr:rowOff>47625</xdr:rowOff>
        </xdr:from>
        <xdr:to>
          <xdr:col>6</xdr:col>
          <xdr:colOff>2276475</xdr:colOff>
          <xdr:row>22</xdr:row>
          <xdr:rowOff>28575</xdr:rowOff>
        </xdr:to>
        <xdr:sp macro="" textlink="">
          <xdr:nvSpPr>
            <xdr:cNvPr id="97281" name="Check Box 1" descr="Exclude From Results Summary" hidden="1">
              <a:extLst>
                <a:ext uri="{63B3BB69-23CF-44E3-9099-C40C66FF867C}">
                  <a14:compatExt spid="_x0000_s97281"/>
                </a:ext>
                <a:ext uri="{FF2B5EF4-FFF2-40B4-BE49-F238E27FC236}">
                  <a16:creationId xmlns:a16="http://schemas.microsoft.com/office/drawing/2014/main" id="{00000000-0008-0000-1A00-0000017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371475</xdr:colOff>
          <xdr:row>24</xdr:row>
          <xdr:rowOff>66675</xdr:rowOff>
        </xdr:from>
        <xdr:to>
          <xdr:col>6</xdr:col>
          <xdr:colOff>1266825</xdr:colOff>
          <xdr:row>26</xdr:row>
          <xdr:rowOff>28575</xdr:rowOff>
        </xdr:to>
        <xdr:sp macro="" textlink="">
          <xdr:nvSpPr>
            <xdr:cNvPr id="98305" name="Check Box 1" descr="Exclude From Results Summary" hidden="1">
              <a:extLst>
                <a:ext uri="{63B3BB69-23CF-44E3-9099-C40C66FF867C}">
                  <a14:compatExt spid="_x0000_s98305"/>
                </a:ext>
                <a:ext uri="{FF2B5EF4-FFF2-40B4-BE49-F238E27FC236}">
                  <a16:creationId xmlns:a16="http://schemas.microsoft.com/office/drawing/2014/main" id="{00000000-0008-0000-1B00-0000018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53</xdr:row>
          <xdr:rowOff>66675</xdr:rowOff>
        </xdr:from>
        <xdr:to>
          <xdr:col>7</xdr:col>
          <xdr:colOff>1628775</xdr:colOff>
          <xdr:row>55</xdr:row>
          <xdr:rowOff>28575</xdr:rowOff>
        </xdr:to>
        <xdr:sp macro="" textlink="">
          <xdr:nvSpPr>
            <xdr:cNvPr id="138248" name="Check Box 8" descr="Exclude From Results Summary" hidden="1">
              <a:extLst>
                <a:ext uri="{63B3BB69-23CF-44E3-9099-C40C66FF867C}">
                  <a14:compatExt spid="_x0000_s138248"/>
                </a:ext>
                <a:ext uri="{FF2B5EF4-FFF2-40B4-BE49-F238E27FC236}">
                  <a16:creationId xmlns:a16="http://schemas.microsoft.com/office/drawing/2014/main" id="{00000000-0008-0000-1C00-0000081C02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53</xdr:row>
          <xdr:rowOff>66675</xdr:rowOff>
        </xdr:from>
        <xdr:to>
          <xdr:col>8</xdr:col>
          <xdr:colOff>9525</xdr:colOff>
          <xdr:row>55</xdr:row>
          <xdr:rowOff>9525</xdr:rowOff>
        </xdr:to>
        <xdr:sp macro="" textlink="">
          <xdr:nvSpPr>
            <xdr:cNvPr id="100355" name="Check Box 3" descr="Exclude From Results Summary" hidden="1">
              <a:extLst>
                <a:ext uri="{63B3BB69-23CF-44E3-9099-C40C66FF867C}">
                  <a14:compatExt spid="_x0000_s100355"/>
                </a:ext>
                <a:ext uri="{FF2B5EF4-FFF2-40B4-BE49-F238E27FC236}">
                  <a16:creationId xmlns:a16="http://schemas.microsoft.com/office/drawing/2014/main" id="{00000000-0008-0000-1D00-0000038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32</xdr:row>
          <xdr:rowOff>333375</xdr:rowOff>
        </xdr:from>
        <xdr:to>
          <xdr:col>8</xdr:col>
          <xdr:colOff>28575</xdr:colOff>
          <xdr:row>34</xdr:row>
          <xdr:rowOff>28575</xdr:rowOff>
        </xdr:to>
        <xdr:sp macro="" textlink="">
          <xdr:nvSpPr>
            <xdr:cNvPr id="82949" name="Check Box 5" descr="Exclude From Results Summary" hidden="1">
              <a:extLst>
                <a:ext uri="{63B3BB69-23CF-44E3-9099-C40C66FF867C}">
                  <a14:compatExt spid="_x0000_s82949"/>
                </a:ext>
                <a:ext uri="{FF2B5EF4-FFF2-40B4-BE49-F238E27FC236}">
                  <a16:creationId xmlns:a16="http://schemas.microsoft.com/office/drawing/2014/main" id="{00000000-0008-0000-1E00-0000054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22</xdr:row>
          <xdr:rowOff>9525</xdr:rowOff>
        </xdr:from>
        <xdr:to>
          <xdr:col>8</xdr:col>
          <xdr:colOff>9525</xdr:colOff>
          <xdr:row>23</xdr:row>
          <xdr:rowOff>47625</xdr:rowOff>
        </xdr:to>
        <xdr:sp macro="" textlink="">
          <xdr:nvSpPr>
            <xdr:cNvPr id="101377" name="Check Box 1" descr="Exclude From Results Summary" hidden="1">
              <a:extLst>
                <a:ext uri="{63B3BB69-23CF-44E3-9099-C40C66FF867C}">
                  <a14:compatExt spid="_x0000_s101377"/>
                </a:ext>
                <a:ext uri="{FF2B5EF4-FFF2-40B4-BE49-F238E27FC236}">
                  <a16:creationId xmlns:a16="http://schemas.microsoft.com/office/drawing/2014/main" id="{00000000-0008-0000-1F00-0000018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20</xdr:row>
          <xdr:rowOff>76200</xdr:rowOff>
        </xdr:from>
        <xdr:to>
          <xdr:col>7</xdr:col>
          <xdr:colOff>0</xdr:colOff>
          <xdr:row>22</xdr:row>
          <xdr:rowOff>9525</xdr:rowOff>
        </xdr:to>
        <xdr:sp macro="" textlink="">
          <xdr:nvSpPr>
            <xdr:cNvPr id="102401" name="Check Box 1" descr="Exclude From Results Summary" hidden="1">
              <a:extLst>
                <a:ext uri="{63B3BB69-23CF-44E3-9099-C40C66FF867C}">
                  <a14:compatExt spid="_x0000_s102401"/>
                </a:ext>
                <a:ext uri="{FF2B5EF4-FFF2-40B4-BE49-F238E27FC236}">
                  <a16:creationId xmlns:a16="http://schemas.microsoft.com/office/drawing/2014/main" id="{00000000-0008-0000-2000-0000019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Results</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14</xdr:row>
          <xdr:rowOff>66675</xdr:rowOff>
        </xdr:from>
        <xdr:to>
          <xdr:col>8</xdr:col>
          <xdr:colOff>0</xdr:colOff>
          <xdr:row>16</xdr:row>
          <xdr:rowOff>28575</xdr:rowOff>
        </xdr:to>
        <xdr:sp macro="" textlink="">
          <xdr:nvSpPr>
            <xdr:cNvPr id="240641" name="Check Box 1" descr="Exclude From Results Summary" hidden="1">
              <a:extLst>
                <a:ext uri="{63B3BB69-23CF-44E3-9099-C40C66FF867C}">
                  <a14:compatExt spid="_x0000_s240641"/>
                </a:ext>
                <a:ext uri="{FF2B5EF4-FFF2-40B4-BE49-F238E27FC236}">
                  <a16:creationId xmlns:a16="http://schemas.microsoft.com/office/drawing/2014/main" id="{00000000-0008-0000-2100-000001A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28</xdr:row>
          <xdr:rowOff>38100</xdr:rowOff>
        </xdr:from>
        <xdr:to>
          <xdr:col>7</xdr:col>
          <xdr:colOff>28575</xdr:colOff>
          <xdr:row>30</xdr:row>
          <xdr:rowOff>9525</xdr:rowOff>
        </xdr:to>
        <xdr:sp macro="" textlink="">
          <xdr:nvSpPr>
            <xdr:cNvPr id="77826" name="Check Box 2" descr="Exclude From Results Summary" hidden="1">
              <a:extLst>
                <a:ext uri="{63B3BB69-23CF-44E3-9099-C40C66FF867C}">
                  <a14:compatExt spid="_x0000_s77826"/>
                </a:ext>
                <a:ext uri="{FF2B5EF4-FFF2-40B4-BE49-F238E27FC236}">
                  <a16:creationId xmlns:a16="http://schemas.microsoft.com/office/drawing/2014/main" id="{00000000-0008-0000-2200-0000023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36</xdr:row>
          <xdr:rowOff>0</xdr:rowOff>
        </xdr:from>
        <xdr:to>
          <xdr:col>6</xdr:col>
          <xdr:colOff>1247775</xdr:colOff>
          <xdr:row>37</xdr:row>
          <xdr:rowOff>28575</xdr:rowOff>
        </xdr:to>
        <xdr:sp macro="" textlink="">
          <xdr:nvSpPr>
            <xdr:cNvPr id="78851" name="Check Box 3" descr="Exclude From Results Summary" hidden="1">
              <a:extLst>
                <a:ext uri="{63B3BB69-23CF-44E3-9099-C40C66FF867C}">
                  <a14:compatExt spid="_x0000_s78851"/>
                </a:ext>
                <a:ext uri="{FF2B5EF4-FFF2-40B4-BE49-F238E27FC236}">
                  <a16:creationId xmlns:a16="http://schemas.microsoft.com/office/drawing/2014/main" id="{00000000-0008-0000-2300-0000033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28</xdr:col>
      <xdr:colOff>0</xdr:colOff>
      <xdr:row>3</xdr:row>
      <xdr:rowOff>2</xdr:rowOff>
    </xdr:from>
    <xdr:to>
      <xdr:col>33</xdr:col>
      <xdr:colOff>352425</xdr:colOff>
      <xdr:row>3</xdr:row>
      <xdr:rowOff>2232752</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6403300" y="571502"/>
          <a:ext cx="3400425" cy="2232750"/>
        </a:xfrm>
        <a:prstGeom prst="rect">
          <a:avLst/>
        </a:prstGeom>
      </xdr:spPr>
    </xdr:pic>
    <xdr:clientData/>
  </xdr:twoCellAnchor>
  <xdr:twoCellAnchor editAs="oneCell">
    <xdr:from>
      <xdr:col>37</xdr:col>
      <xdr:colOff>1</xdr:colOff>
      <xdr:row>3</xdr:row>
      <xdr:rowOff>0</xdr:rowOff>
    </xdr:from>
    <xdr:to>
      <xdr:col>42</xdr:col>
      <xdr:colOff>578821</xdr:colOff>
      <xdr:row>3</xdr:row>
      <xdr:rowOff>2247900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32823151" y="571500"/>
          <a:ext cx="3626820" cy="2247900"/>
        </a:xfrm>
        <a:prstGeom prst="rect">
          <a:avLst/>
        </a:prstGeom>
      </xdr:spPr>
    </xdr:pic>
    <xdr:clientData/>
  </xdr:twoCellAnchor>
  <xdr:twoCellAnchor editAs="oneCell">
    <xdr:from>
      <xdr:col>44</xdr:col>
      <xdr:colOff>0</xdr:colOff>
      <xdr:row>3</xdr:row>
      <xdr:rowOff>0</xdr:rowOff>
    </xdr:from>
    <xdr:to>
      <xdr:col>47</xdr:col>
      <xdr:colOff>1026</xdr:colOff>
      <xdr:row>3</xdr:row>
      <xdr:rowOff>1638300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39528750" y="571500"/>
          <a:ext cx="3752410" cy="1638300"/>
        </a:xfrm>
        <a:prstGeom prst="rect">
          <a:avLst/>
        </a:prstGeom>
      </xdr:spPr>
    </xdr:pic>
    <xdr:clientData/>
  </xdr:twoCellAnchor>
  <xdr:twoCellAnchor editAs="oneCell">
    <xdr:from>
      <xdr:col>1</xdr:col>
      <xdr:colOff>608670</xdr:colOff>
      <xdr:row>2</xdr:row>
      <xdr:rowOff>190499</xdr:rowOff>
    </xdr:from>
    <xdr:to>
      <xdr:col>4</xdr:col>
      <xdr:colOff>997502</xdr:colOff>
      <xdr:row>3</xdr:row>
      <xdr:rowOff>1621572</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1760963" y="571499"/>
          <a:ext cx="4900429" cy="1621573"/>
        </a:xfrm>
        <a:prstGeom prst="rect">
          <a:avLst/>
        </a:prstGeom>
      </xdr:spPr>
    </xdr:pic>
    <xdr:clientData/>
  </xdr:twoCellAnchor>
  <xdr:twoCellAnchor editAs="oneCell">
    <xdr:from>
      <xdr:col>6</xdr:col>
      <xdr:colOff>0</xdr:colOff>
      <xdr:row>3</xdr:row>
      <xdr:rowOff>0</xdr:rowOff>
    </xdr:from>
    <xdr:to>
      <xdr:col>9</xdr:col>
      <xdr:colOff>607602</xdr:colOff>
      <xdr:row>3</xdr:row>
      <xdr:rowOff>1847850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stretch>
          <a:fillRect/>
        </a:stretch>
      </xdr:blipFill>
      <xdr:spPr>
        <a:xfrm>
          <a:off x="5086350" y="571500"/>
          <a:ext cx="4503327" cy="1847850"/>
        </a:xfrm>
        <a:prstGeom prst="rect">
          <a:avLst/>
        </a:prstGeom>
      </xdr:spPr>
    </xdr:pic>
    <xdr:clientData/>
  </xdr:twoCellAnchor>
  <xdr:twoCellAnchor editAs="oneCell">
    <xdr:from>
      <xdr:col>10</xdr:col>
      <xdr:colOff>609599</xdr:colOff>
      <xdr:row>3</xdr:row>
      <xdr:rowOff>0</xdr:rowOff>
    </xdr:from>
    <xdr:to>
      <xdr:col>13</xdr:col>
      <xdr:colOff>999191</xdr:colOff>
      <xdr:row>3</xdr:row>
      <xdr:rowOff>1371600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10201274" y="571500"/>
          <a:ext cx="3885267" cy="1371600"/>
        </a:xfrm>
        <a:prstGeom prst="rect">
          <a:avLst/>
        </a:prstGeom>
      </xdr:spPr>
    </xdr:pic>
    <xdr:clientData/>
  </xdr:twoCellAnchor>
  <xdr:twoCellAnchor editAs="oneCell">
    <xdr:from>
      <xdr:col>15</xdr:col>
      <xdr:colOff>0</xdr:colOff>
      <xdr:row>2</xdr:row>
      <xdr:rowOff>190499</xdr:rowOff>
    </xdr:from>
    <xdr:to>
      <xdr:col>17</xdr:col>
      <xdr:colOff>582215</xdr:colOff>
      <xdr:row>3</xdr:row>
      <xdr:rowOff>942974</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13477875" y="571499"/>
          <a:ext cx="3468290" cy="942975"/>
        </a:xfrm>
        <a:prstGeom prst="rect">
          <a:avLst/>
        </a:prstGeom>
      </xdr:spPr>
    </xdr:pic>
    <xdr:clientData/>
  </xdr:twoCellAnchor>
  <xdr:twoCellAnchor editAs="oneCell">
    <xdr:from>
      <xdr:col>19</xdr:col>
      <xdr:colOff>0</xdr:colOff>
      <xdr:row>3</xdr:row>
      <xdr:rowOff>1</xdr:rowOff>
    </xdr:from>
    <xdr:to>
      <xdr:col>22</xdr:col>
      <xdr:colOff>571500</xdr:colOff>
      <xdr:row>3</xdr:row>
      <xdr:rowOff>1699541</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8"/>
        <a:stretch>
          <a:fillRect/>
        </a:stretch>
      </xdr:blipFill>
      <xdr:spPr>
        <a:xfrm>
          <a:off x="17583150" y="571501"/>
          <a:ext cx="4067175" cy="1699540"/>
        </a:xfrm>
        <a:prstGeom prst="rect">
          <a:avLst/>
        </a:prstGeom>
      </xdr:spPr>
    </xdr:pic>
    <xdr:clientData/>
  </xdr:twoCellAnchor>
  <xdr:twoCellAnchor editAs="oneCell">
    <xdr:from>
      <xdr:col>24</xdr:col>
      <xdr:colOff>0</xdr:colOff>
      <xdr:row>3</xdr:row>
      <xdr:rowOff>0</xdr:rowOff>
    </xdr:from>
    <xdr:to>
      <xdr:col>26</xdr:col>
      <xdr:colOff>579778</xdr:colOff>
      <xdr:row>3</xdr:row>
      <xdr:rowOff>1162050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9"/>
        <a:stretch>
          <a:fillRect/>
        </a:stretch>
      </xdr:blipFill>
      <xdr:spPr>
        <a:xfrm>
          <a:off x="21850350" y="571500"/>
          <a:ext cx="3465853" cy="1162050"/>
        </a:xfrm>
        <a:prstGeom prst="rect">
          <a:avLst/>
        </a:prstGeom>
      </xdr:spPr>
    </xdr:pic>
    <xdr:clientData/>
  </xdr:twoCellAnchor>
  <xdr:twoCellAnchor editAs="oneCell">
    <xdr:from>
      <xdr:col>52</xdr:col>
      <xdr:colOff>1</xdr:colOff>
      <xdr:row>3</xdr:row>
      <xdr:rowOff>1</xdr:rowOff>
    </xdr:from>
    <xdr:to>
      <xdr:col>54</xdr:col>
      <xdr:colOff>565138</xdr:colOff>
      <xdr:row>3</xdr:row>
      <xdr:rowOff>1257301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0"/>
        <a:stretch>
          <a:fillRect/>
        </a:stretch>
      </xdr:blipFill>
      <xdr:spPr>
        <a:xfrm>
          <a:off x="40519351" y="571501"/>
          <a:ext cx="3451212" cy="1257300"/>
        </a:xfrm>
        <a:prstGeom prst="rect">
          <a:avLst/>
        </a:prstGeom>
      </xdr:spPr>
    </xdr:pic>
    <xdr:clientData/>
  </xdr:twoCellAnchor>
  <xdr:twoCellAnchor editAs="oneCell">
    <xdr:from>
      <xdr:col>56</xdr:col>
      <xdr:colOff>0</xdr:colOff>
      <xdr:row>3</xdr:row>
      <xdr:rowOff>0</xdr:rowOff>
    </xdr:from>
    <xdr:to>
      <xdr:col>63</xdr:col>
      <xdr:colOff>19050</xdr:colOff>
      <xdr:row>3</xdr:row>
      <xdr:rowOff>1173892</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1"/>
        <a:stretch>
          <a:fillRect/>
        </a:stretch>
      </xdr:blipFill>
      <xdr:spPr>
        <a:xfrm>
          <a:off x="44624625" y="571500"/>
          <a:ext cx="4286250" cy="1173892"/>
        </a:xfrm>
        <a:prstGeom prst="rect">
          <a:avLst/>
        </a:prstGeom>
      </xdr:spPr>
    </xdr:pic>
    <xdr:clientData/>
  </xdr:twoCellAnchor>
  <xdr:twoCellAnchor editAs="oneCell">
    <xdr:from>
      <xdr:col>68</xdr:col>
      <xdr:colOff>0</xdr:colOff>
      <xdr:row>3</xdr:row>
      <xdr:rowOff>1</xdr:rowOff>
    </xdr:from>
    <xdr:to>
      <xdr:col>71</xdr:col>
      <xdr:colOff>572397</xdr:colOff>
      <xdr:row>3</xdr:row>
      <xdr:rowOff>1790701</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2"/>
        <a:stretch>
          <a:fillRect/>
        </a:stretch>
      </xdr:blipFill>
      <xdr:spPr>
        <a:xfrm>
          <a:off x="54378225" y="571501"/>
          <a:ext cx="4068072" cy="1790700"/>
        </a:xfrm>
        <a:prstGeom prst="rect">
          <a:avLst/>
        </a:prstGeom>
      </xdr:spPr>
    </xdr:pic>
    <xdr:clientData/>
  </xdr:twoCellAnchor>
  <xdr:twoCellAnchor editAs="oneCell">
    <xdr:from>
      <xdr:col>64</xdr:col>
      <xdr:colOff>1</xdr:colOff>
      <xdr:row>3</xdr:row>
      <xdr:rowOff>0</xdr:rowOff>
    </xdr:from>
    <xdr:to>
      <xdr:col>66</xdr:col>
      <xdr:colOff>552451</xdr:colOff>
      <xdr:row>3</xdr:row>
      <xdr:rowOff>1165860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3"/>
        <a:stretch>
          <a:fillRect/>
        </a:stretch>
      </xdr:blipFill>
      <xdr:spPr>
        <a:xfrm>
          <a:off x="49501426" y="571500"/>
          <a:ext cx="4629150" cy="11658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35</xdr:row>
          <xdr:rowOff>66675</xdr:rowOff>
        </xdr:from>
        <xdr:to>
          <xdr:col>6</xdr:col>
          <xdr:colOff>1343025</xdr:colOff>
          <xdr:row>37</xdr:row>
          <xdr:rowOff>28575</xdr:rowOff>
        </xdr:to>
        <xdr:sp macro="" textlink="">
          <xdr:nvSpPr>
            <xdr:cNvPr id="79876" name="Check Box 4" descr="Exclude From Results Summary" hidden="1">
              <a:extLst>
                <a:ext uri="{63B3BB69-23CF-44E3-9099-C40C66FF867C}">
                  <a14:compatExt spid="_x0000_s79876"/>
                </a:ext>
                <a:ext uri="{FF2B5EF4-FFF2-40B4-BE49-F238E27FC236}">
                  <a16:creationId xmlns:a16="http://schemas.microsoft.com/office/drawing/2014/main" id="{00000000-0008-0000-2400-0000043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36</xdr:row>
          <xdr:rowOff>66675</xdr:rowOff>
        </xdr:from>
        <xdr:to>
          <xdr:col>7</xdr:col>
          <xdr:colOff>28575</xdr:colOff>
          <xdr:row>38</xdr:row>
          <xdr:rowOff>47625</xdr:rowOff>
        </xdr:to>
        <xdr:sp macro="" textlink="">
          <xdr:nvSpPr>
            <xdr:cNvPr id="80898" name="Check Box 2" descr="Exclude From Results Summary" hidden="1">
              <a:extLst>
                <a:ext uri="{63B3BB69-23CF-44E3-9099-C40C66FF867C}">
                  <a14:compatExt spid="_x0000_s80898"/>
                </a:ext>
                <a:ext uri="{FF2B5EF4-FFF2-40B4-BE49-F238E27FC236}">
                  <a16:creationId xmlns:a16="http://schemas.microsoft.com/office/drawing/2014/main" id="{00000000-0008-0000-2500-0000023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38100</xdr:rowOff>
        </xdr:from>
        <xdr:to>
          <xdr:col>7</xdr:col>
          <xdr:colOff>28575</xdr:colOff>
          <xdr:row>34</xdr:row>
          <xdr:rowOff>28575</xdr:rowOff>
        </xdr:to>
        <xdr:sp macro="" textlink="">
          <xdr:nvSpPr>
            <xdr:cNvPr id="81928" name="Check Box 8" descr="Exclude From Results Summary" hidden="1">
              <a:extLst>
                <a:ext uri="{63B3BB69-23CF-44E3-9099-C40C66FF867C}">
                  <a14:compatExt spid="_x0000_s81928"/>
                </a:ext>
                <a:ext uri="{FF2B5EF4-FFF2-40B4-BE49-F238E27FC236}">
                  <a16:creationId xmlns:a16="http://schemas.microsoft.com/office/drawing/2014/main" id="{00000000-0008-0000-2600-0000084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352425</xdr:colOff>
          <xdr:row>20</xdr:row>
          <xdr:rowOff>76200</xdr:rowOff>
        </xdr:from>
        <xdr:to>
          <xdr:col>7</xdr:col>
          <xdr:colOff>1457325</xdr:colOff>
          <xdr:row>22</xdr:row>
          <xdr:rowOff>28575</xdr:rowOff>
        </xdr:to>
        <xdr:sp macro="" textlink="">
          <xdr:nvSpPr>
            <xdr:cNvPr id="112641" name="Check Box 1" descr="Exclude From Results Summary" hidden="1">
              <a:extLst>
                <a:ext uri="{63B3BB69-23CF-44E3-9099-C40C66FF867C}">
                  <a14:compatExt spid="_x0000_s112641"/>
                </a:ext>
                <a:ext uri="{FF2B5EF4-FFF2-40B4-BE49-F238E27FC236}">
                  <a16:creationId xmlns:a16="http://schemas.microsoft.com/office/drawing/2014/main" id="{00000000-0008-0000-0A00-000001B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23</xdr:row>
          <xdr:rowOff>0</xdr:rowOff>
        </xdr:from>
        <xdr:to>
          <xdr:col>7</xdr:col>
          <xdr:colOff>0</xdr:colOff>
          <xdr:row>24</xdr:row>
          <xdr:rowOff>9525</xdr:rowOff>
        </xdr:to>
        <xdr:sp macro="" textlink="">
          <xdr:nvSpPr>
            <xdr:cNvPr id="88065" name="Check Box 1" descr="Exclude From Results Summary" hidden="1">
              <a:extLst>
                <a:ext uri="{63B3BB69-23CF-44E3-9099-C40C66FF867C}">
                  <a14:compatExt spid="_x0000_s88065"/>
                </a:ext>
                <a:ext uri="{FF2B5EF4-FFF2-40B4-BE49-F238E27FC236}">
                  <a16:creationId xmlns:a16="http://schemas.microsoft.com/office/drawing/2014/main" id="{00000000-0008-0000-0B00-0000015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15</xdr:row>
          <xdr:rowOff>66675</xdr:rowOff>
        </xdr:from>
        <xdr:to>
          <xdr:col>8</xdr:col>
          <xdr:colOff>0</xdr:colOff>
          <xdr:row>17</xdr:row>
          <xdr:rowOff>28575</xdr:rowOff>
        </xdr:to>
        <xdr:sp macro="" textlink="">
          <xdr:nvSpPr>
            <xdr:cNvPr id="89089" name="Check Box 1" descr="Exclude From Results Summary" hidden="1">
              <a:extLst>
                <a:ext uri="{63B3BB69-23CF-44E3-9099-C40C66FF867C}">
                  <a14:compatExt spid="_x0000_s89089"/>
                </a:ext>
                <a:ext uri="{FF2B5EF4-FFF2-40B4-BE49-F238E27FC236}">
                  <a16:creationId xmlns:a16="http://schemas.microsoft.com/office/drawing/2014/main" id="{00000000-0008-0000-0C00-0000015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66675</xdr:rowOff>
        </xdr:from>
        <xdr:to>
          <xdr:col>7</xdr:col>
          <xdr:colOff>28575</xdr:colOff>
          <xdr:row>32</xdr:row>
          <xdr:rowOff>47625</xdr:rowOff>
        </xdr:to>
        <xdr:sp macro="" textlink="">
          <xdr:nvSpPr>
            <xdr:cNvPr id="237569" name="Check Box 1" descr="Exclude From Results Summary" hidden="1">
              <a:extLst>
                <a:ext uri="{63B3BB69-23CF-44E3-9099-C40C66FF867C}">
                  <a14:compatExt spid="_x0000_s237569"/>
                </a:ext>
                <a:ext uri="{FF2B5EF4-FFF2-40B4-BE49-F238E27FC236}">
                  <a16:creationId xmlns:a16="http://schemas.microsoft.com/office/drawing/2014/main" id="{00000000-0008-0000-0D00-000001A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66675</xdr:rowOff>
        </xdr:from>
        <xdr:to>
          <xdr:col>7</xdr:col>
          <xdr:colOff>28575</xdr:colOff>
          <xdr:row>34</xdr:row>
          <xdr:rowOff>47625</xdr:rowOff>
        </xdr:to>
        <xdr:sp macro="" textlink="">
          <xdr:nvSpPr>
            <xdr:cNvPr id="303105" name="Check Box 1" descr="Exclude From Results Summary" hidden="1">
              <a:extLst>
                <a:ext uri="{63B3BB69-23CF-44E3-9099-C40C66FF867C}">
                  <a14:compatExt spid="_x0000_s303105"/>
                </a:ext>
                <a:ext uri="{FF2B5EF4-FFF2-40B4-BE49-F238E27FC236}">
                  <a16:creationId xmlns:a16="http://schemas.microsoft.com/office/drawing/2014/main" id="{00000000-0008-0000-0E00-000001A004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33</xdr:row>
          <xdr:rowOff>76200</xdr:rowOff>
        </xdr:from>
        <xdr:to>
          <xdr:col>7</xdr:col>
          <xdr:colOff>9525</xdr:colOff>
          <xdr:row>35</xdr:row>
          <xdr:rowOff>28575</xdr:rowOff>
        </xdr:to>
        <xdr:sp macro="" textlink="">
          <xdr:nvSpPr>
            <xdr:cNvPr id="92161" name="Check Box 1" descr="Exclude From Results Summary" hidden="1">
              <a:extLst>
                <a:ext uri="{63B3BB69-23CF-44E3-9099-C40C66FF867C}">
                  <a14:compatExt spid="_x0000_s92161"/>
                </a:ext>
                <a:ext uri="{FF2B5EF4-FFF2-40B4-BE49-F238E27FC236}">
                  <a16:creationId xmlns:a16="http://schemas.microsoft.com/office/drawing/2014/main" id="{00000000-0008-0000-0F00-0000016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Michael Kao" id="{7DA4FD29-056F-471D-A40C-4369DF122931}" userId="S::m.kao@fehrandpeers.com::069dd0ac-6d6e-4357-8fc5-da6fed478389" providerId="AD"/>
  <person displayName="Drew Levitt" id="{BAF49CF5-955B-440F-892E-6D9708683909}" userId="S::D.Levitt@fehrandpeers.com::3b237d85-965a-4e4f-8914-fe7a43b3dd0a" providerId="AD"/>
  <person displayName="Drew Levitt" id="{472412C2-8907-4262-98FA-72B6369E64CD}" userId="S::d.levitt@fehrandpeers.com::3b237d85-965a-4e4f-8914-fe7a43b3dd0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17" dT="2021-03-11T22:01:21.74" personId="{00000000-0000-0000-0000-000000000000}" id="{D501B285-010E-4E10-9EE1-583CD1B1D438}">
    <text>Update SANDAG with sources for AC values.</text>
  </threadedComment>
  <threadedComment ref="AU31" dT="2021-03-15T18:38:29.53" personId="{00000000-0000-0000-0000-000000000000}" id="{3E5BA277-BDA4-4D23-A305-2A636B30020A}">
    <text>Calculated from ADT, facility length, jurisdiction pop, and university</text>
  </threadedComment>
  <threadedComment ref="AV31" dT="2021-03-12T19:33:39.74" personId="{00000000-0000-0000-0000-000000000000}" id="{C2B4D42E-4C58-4B7A-B3DF-35FEA65A85C3}">
    <text>Key destinations within 1/2 and 1/4 mile of facility</text>
  </threadedComment>
  <threadedComment ref="AW31" dT="2021-03-12T19:34:28.78" personId="{00000000-0000-0000-0000-000000000000}" id="{20FBA55F-3E26-4B2D-9BE6-5E7AB7C1D057}">
    <text>Input: bike facility type</text>
  </threadedComment>
  <threadedComment ref="D36" dT="2021-02-18T21:13:40.99" personId="{00000000-0000-0000-0000-000000000000}" id="{3144BBB6-AC38-461D-85E7-7F668521B641}">
    <text>T-9 has bike parking but other amenities as well</text>
  </threadedComment>
</ThreadedComments>
</file>

<file path=xl/threadedComments/threadedComment2.xml><?xml version="1.0" encoding="utf-8"?>
<ThreadedComments xmlns="http://schemas.microsoft.com/office/spreadsheetml/2018/threadedcomments" xmlns:x="http://schemas.openxmlformats.org/spreadsheetml/2006/main">
  <threadedComment ref="P1" dT="2021-03-25T23:32:47.52" personId="{472412C2-8907-4262-98FA-72B6369E64CD}" id="{D8B57686-9E12-4197-A7BB-34FB674D270C}">
    <text>COMPLETELY WRONG: I still need to extract auto commute trip length. Right now this is just copying overall average auto trip length.</text>
  </threadedComment>
  <threadedComment ref="P1" dT="2021-04-16T05:59:00.02" personId="{BAF49CF5-955B-440F-892E-6D9708683909}" id="{FF8D670B-D6F2-4D63-B075-F0476D72C09A}" parentId="{D8B57686-9E12-4197-A7BB-34FB674D270C}">
    <text>I've replaced this with actual auto commute trip lengths.</text>
  </threadedComment>
  <threadedComment ref="Q1" dT="2021-03-25T23:30:47.45" personId="{472412C2-8907-4262-98FA-72B6369E64CD}" id="{855E9636-3B0D-4247-A2D7-A81653F6B9AC}">
    <text>medium confidence</text>
  </threadedComment>
  <threadedComment ref="Q1" dT="2021-03-26T17:26:56.87" personId="{7DA4FD29-056F-471D-A40C-4369DF122931}" id="{36ED6573-8F26-449A-89EC-10EBE799A72A}" parentId="{855E9636-3B0D-4247-A2D7-A81653F6B9AC}">
    <text>Duplicate of col AB?</text>
  </threadedComment>
  <threadedComment ref="R1" dT="2021-03-25T23:31:02.52" personId="{472412C2-8907-4262-98FA-72B6369E64CD}" id="{393489B5-6983-4ED0-B031-A51A2327DA3C}">
    <text>low/medium confidence</text>
  </threadedComment>
  <threadedComment ref="S1" dT="2021-03-25T23:30:30.22" personId="{472412C2-8907-4262-98FA-72B6369E64CD}" id="{2857E843-5EEB-4050-BACE-A79946F11AD9}">
    <text>high confidence</text>
  </threadedComment>
  <threadedComment ref="T1" dT="2021-03-25T23:22:53.44" personId="{472412C2-8907-4262-98FA-72B6369E64CD}" id="{5640B8F9-F236-4B1C-B14B-CE33FA5B11C1}">
    <text>Low degree of confidence in some of these numbers</text>
  </threadedComment>
  <threadedComment ref="U1" dT="2021-03-25T23:23:05.94" personId="{472412C2-8907-4262-98FA-72B6369E64CD}" id="{472BDB42-6B34-4178-967B-88F28549DEEE}">
    <text>High confidence in all these numbers</text>
  </threadedComment>
  <threadedComment ref="V1" dT="2021-03-25T23:35:18.84" personId="{472412C2-8907-4262-98FA-72B6369E64CD}" id="{8D521F65-0F57-43F5-AC48-239B16B498C3}">
    <text>low/medium confidence</text>
  </threadedComment>
  <threadedComment ref="V1" dT="2021-04-14T00:43:20.67" personId="{BAF49CF5-955B-440F-892E-6D9708683909}" id="{3152E6C6-E98E-478E-B690-2E7A288F2FCE}" parentId="{8D521F65-0F57-43F5-AC48-239B16B498C3}">
    <text>change "work" to "commute"</text>
  </threadedComment>
  <threadedComment ref="X1" dT="2021-03-25T23:35:03.75" personId="{472412C2-8907-4262-98FA-72B6369E64CD}" id="{73434A22-77AB-4A99-92CF-F6B24A3D7B7D}">
    <text>good confidence but there are some divide-by-zero errors</text>
  </threadedComment>
  <threadedComment ref="X1" dT="2021-04-14T00:43:24.55" personId="{BAF49CF5-955B-440F-892E-6D9708683909}" id="{49DD13AB-4784-4759-8A29-B6553BF0CE01}" parentId="{73434A22-77AB-4A99-92CF-F6B24A3D7B7D}">
    <text>change "work" to "commute"</text>
  </threadedComment>
  <threadedComment ref="Z1" dT="2021-03-25T23:24:45.45" personId="{472412C2-8907-4262-98FA-72B6369E64CD}" id="{1DE9E66B-4347-4A0B-BB16-6D35894C6099}">
    <text>Calculated by IF, high confidence</text>
  </threadedComment>
  <threadedComment ref="Z1" dT="2021-03-25T23:25:28.11" personId="{472412C2-8907-4262-98FA-72B6369E64CD}" id="{1BC07B57-FABD-4607-8161-885B21F4E80C}" parentId="{1DE9E66B-4347-4A0B-BB16-6D35894C6099}">
    <text>Per this list, Berkeley is the only college town in Alameda County https://en.wikipedia.org/wiki/List_of_college_towns#California</text>
  </threadedComment>
  <threadedComment ref="AA1" dT="2021-03-25T23:24:34.87" personId="{472412C2-8907-4262-98FA-72B6369E64CD}" id="{0876D30D-DB84-46C5-918F-7DF442D0F257}">
    <text>Calculated by SUMIFS, high confidence</text>
  </threadedComment>
  <threadedComment ref="AB1" dT="2021-03-25T23:27:30.22" personId="{472412C2-8907-4262-98FA-72B6369E64CD}" id="{EE4F296D-1BD4-469A-A7CC-516B110DB310}">
    <text>calculated by SUMIFS</text>
  </threadedComment>
  <threadedComment ref="AB1" dT="2021-03-25T23:27:48.05" personId="{472412C2-8907-4262-98FA-72B6369E64CD}" id="{CD9AD73F-844F-41E9-B436-A922BF98804F}" parentId="{EE4F296D-1BD4-469A-A7CC-516B110DB310}">
    <text>Need to go back and make sure this should be jurisdiction level and not TAZ level</text>
  </threadedComment>
  <threadedComment ref="AC1" dT="2021-03-25T23:42:36.70" personId="{472412C2-8907-4262-98FA-72B6369E64CD}" id="{69B29FB3-B4E2-40EE-955A-D237D1117396}">
    <text>COMPLETE GARBAGE - still need to do GIS exercise to exclude BART-adjacent TAZs and aggregate to jurisdiction level. Currently just using TAZ-level transit mode share.</text>
  </threadedComment>
  <threadedComment ref="AC1" dT="2021-04-16T05:45:30.47" personId="{BAF49CF5-955B-440F-892E-6D9708683909}" id="{BCB44B1B-C1AF-4B34-8105-9A693CBC7676}" parentId="{69B29FB3-B4E2-40EE-955A-D237D1117396}">
    <text>Completed GIS exercise, these are now working as designed.</text>
  </threadedComment>
  <threadedComment ref="AD1" dT="2021-03-25T23:42:47.17" personId="{472412C2-8907-4262-98FA-72B6369E64CD}" id="{AB3761C1-01D9-4079-B0DA-EC979C0DF5F9}">
    <text>COMPLETE GARBAGE - still need to do GIS exercise to exclude BART-adjacent TAZs and aggregate to jurisdiction level. Currently just using TAZ-level auto mode share.</text>
  </threadedComment>
  <threadedComment ref="AD1" dT="2021-04-16T05:45:34.80" personId="{BAF49CF5-955B-440F-892E-6D9708683909}" id="{732545DF-B6CB-4065-997E-54D8D23B85DE}" parentId="{AB3761C1-01D9-4079-B0DA-EC979C0DF5F9}">
    <text>Completed GIS exercise, these are now working as designed.</text>
  </threadedComment>
  <threadedComment ref="AF9" dT="2021-04-16T06:21:03.37" personId="{BAF49CF5-955B-440F-892E-6D9708683909}" id="{70E551F4-AB91-4DFB-91F7-5D2106EBF70B}">
    <text>The issue is that some TAZ-level values are either 0 or errors. In either case, we want to replace the faulty TAZ-level value with the average value of TAZs in that jurisdiction that are NOT 0 or errors. Therefore, I copied the columns that contain errors to this side so that I could refer to them from the main columns in their original locations.</text>
  </threadedComment>
  <threadedComment ref="Z10" dT="2021-03-26T20:50:16.94" personId="{7DA4FD29-056F-471D-A40C-4369DF122931}" id="{596EEB1A-960C-410E-AB55-5FB9E1AA09D7}">
    <text>Only Berkeley is university town</text>
  </threadedComment>
  <threadedComment ref="AA10" dT="2021-03-26T20:50:38.08" personId="{7DA4FD29-056F-471D-A40C-4369DF122931}" id="{5E260CEE-232B-4C2A-9A1F-3A2BAE8980B4}">
    <text>Only Oakland is &gt; 250,000</text>
  </threadedComment>
</ThreadedComments>
</file>

<file path=xl/threadedComments/threadedComment3.xml><?xml version="1.0" encoding="utf-8"?>
<ThreadedComments xmlns="http://schemas.microsoft.com/office/spreadsheetml/2018/threadedcomments" xmlns:x="http://schemas.openxmlformats.org/spreadsheetml/2006/main">
  <threadedComment ref="I14" dT="2021-04-16T22:46:12.96" personId="{BAF49CF5-955B-440F-892E-6D9708683909}" id="{93EDF147-E512-4754-AE1E-7BAEE52E2DA1}">
    <text>Removed this and the transpose of this conflict because the two measures now refer explicitly to different target populations, therefore there is no conflict.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alamedactc.org/planning/sb743-vmt/" TargetMode="External"/><Relationship Id="rId1" Type="http://schemas.openxmlformats.org/officeDocument/2006/relationships/hyperlink" Target="https://www.arcgis.com/apps/webappviewer/index.html?id=759dbb0f471d4345986f4cec076a04c4"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ctrlProp" Target="../ctrlProps/ctrlProp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ctrlProp" Target="../ctrlProps/ctrlProp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ctrlProp" Target="../ctrlProps/ctrlProp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11.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openxmlformats.org/officeDocument/2006/relationships/comments" Target="../comments13.xml"/><Relationship Id="rId4" Type="http://schemas.openxmlformats.org/officeDocument/2006/relationships/ctrlProp" Target="../ctrlProps/ctrlProp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trlProp" Target="../ctrlProps/ctrlProp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comments" Target="../comments14.xml"/><Relationship Id="rId4" Type="http://schemas.openxmlformats.org/officeDocument/2006/relationships/ctrlProp" Target="../ctrlProps/ctrlProp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omments" Target="../comments15.xml"/><Relationship Id="rId4" Type="http://schemas.openxmlformats.org/officeDocument/2006/relationships/ctrlProp" Target="../ctrlProps/ctrlProp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omments" Target="../comments16.xml"/><Relationship Id="rId4" Type="http://schemas.openxmlformats.org/officeDocument/2006/relationships/ctrlProp" Target="../ctrlProps/ctrlProp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comments" Target="../comments17.xml"/><Relationship Id="rId4" Type="http://schemas.openxmlformats.org/officeDocument/2006/relationships/ctrlProp" Target="../ctrlProps/ctrlProp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comments" Target="../comments18.xml"/><Relationship Id="rId4" Type="http://schemas.openxmlformats.org/officeDocument/2006/relationships/ctrlProp" Target="../ctrlProps/ctrlProp19.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dot.ca.gov/-/media/dot-media/programs/design/documents/dod-bikeway-selection-memo_06302020_signed-a11y.pdf" TargetMode="External"/><Relationship Id="rId6" Type="http://schemas.openxmlformats.org/officeDocument/2006/relationships/comments" Target="../comments19.xml"/><Relationship Id="rId5" Type="http://schemas.openxmlformats.org/officeDocument/2006/relationships/ctrlProp" Target="../ctrlProps/ctrlProp20.xml"/><Relationship Id="rId4" Type="http://schemas.openxmlformats.org/officeDocument/2006/relationships/vmlDrawing" Target="../drawings/vmlDrawing2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dot.ca.gov/-/media/dot-media/programs/design/documents/dod-bikeway-selection-memo_06302020_signed-a11y.pdf" TargetMode="External"/><Relationship Id="rId6" Type="http://schemas.openxmlformats.org/officeDocument/2006/relationships/comments" Target="../comments20.xml"/><Relationship Id="rId5" Type="http://schemas.openxmlformats.org/officeDocument/2006/relationships/ctrlProp" Target="../ctrlProps/ctrlProp21.xml"/><Relationship Id="rId4"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comments" Target="../comments21.xml"/><Relationship Id="rId4" Type="http://schemas.openxmlformats.org/officeDocument/2006/relationships/ctrlProp" Target="../ctrlProps/ctrlProp2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comments" Target="../comments22.xml"/><Relationship Id="rId4" Type="http://schemas.openxmlformats.org/officeDocument/2006/relationships/ctrlProp" Target="../ctrlProps/ctrlProp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5.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5" Type="http://schemas.openxmlformats.org/officeDocument/2006/relationships/comments" Target="../comments23.xml"/><Relationship Id="rId4" Type="http://schemas.openxmlformats.org/officeDocument/2006/relationships/ctrlProp" Target="../ctrlProps/ctrlProp2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1.bin"/><Relationship Id="rId5" Type="http://schemas.openxmlformats.org/officeDocument/2006/relationships/comments" Target="../comments24.xml"/><Relationship Id="rId4" Type="http://schemas.openxmlformats.org/officeDocument/2006/relationships/ctrlProp" Target="../ctrlProps/ctrlProp2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5" Type="http://schemas.openxmlformats.org/officeDocument/2006/relationships/comments" Target="../comments25.xml"/><Relationship Id="rId4" Type="http://schemas.openxmlformats.org/officeDocument/2006/relationships/ctrlProp" Target="../ctrlProps/ctrlProp28.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3.bin"/><Relationship Id="rId5" Type="http://schemas.openxmlformats.org/officeDocument/2006/relationships/comments" Target="../comments26.xml"/><Relationship Id="rId4" Type="http://schemas.openxmlformats.org/officeDocument/2006/relationships/ctrlProp" Target="../ctrlProps/ctrlProp2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5" Type="http://schemas.openxmlformats.org/officeDocument/2006/relationships/comments" Target="../comments27.xml"/><Relationship Id="rId4" Type="http://schemas.openxmlformats.org/officeDocument/2006/relationships/ctrlProp" Target="../ctrlProps/ctrlProp3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autoPageBreaks="0"/>
  </sheetPr>
  <dimension ref="A1:Q101"/>
  <sheetViews>
    <sheetView showGridLines="0" showRowColHeaders="0" tabSelected="1" topLeftCell="A34" zoomScaleNormal="100" workbookViewId="0">
      <selection activeCell="F56" sqref="F56"/>
    </sheetView>
  </sheetViews>
  <sheetFormatPr defaultColWidth="0" defaultRowHeight="15" zeroHeight="1" x14ac:dyDescent="0.25"/>
  <cols>
    <col min="1" max="1" width="2.7109375" style="92" customWidth="1"/>
    <col min="2" max="2" width="4.42578125" style="92" customWidth="1"/>
    <col min="3" max="3" width="5.5703125" style="92" customWidth="1"/>
    <col min="4" max="4" width="21.5703125" style="92" customWidth="1"/>
    <col min="5" max="5" width="16" style="92" customWidth="1"/>
    <col min="6" max="6" width="41.85546875" style="92" customWidth="1"/>
    <col min="7" max="7" width="6.42578125" style="271" customWidth="1"/>
    <col min="8" max="8" width="1.5703125" style="271" customWidth="1"/>
    <col min="9" max="9" width="1.5703125" style="92" customWidth="1"/>
    <col min="10" max="10" width="5.5703125" style="271" customWidth="1"/>
    <col min="11" max="11" width="29" style="271" customWidth="1"/>
    <col min="12" max="12" width="19.85546875" style="92" customWidth="1"/>
    <col min="13" max="13" width="43.5703125" style="92" customWidth="1"/>
    <col min="14" max="14" width="4.42578125" style="92" customWidth="1"/>
    <col min="15" max="15" width="2.7109375" style="92" customWidth="1"/>
    <col min="16" max="17" width="8.85546875" style="92" hidden="1" customWidth="1"/>
    <col min="18" max="16384" width="8.85546875" style="92" hidden="1"/>
  </cols>
  <sheetData>
    <row r="1" spans="1:17" x14ac:dyDescent="0.25">
      <c r="A1" s="78"/>
      <c r="B1" s="78"/>
      <c r="C1" s="78"/>
      <c r="D1" s="78"/>
      <c r="E1" s="78"/>
      <c r="F1" s="78"/>
      <c r="G1" s="80"/>
      <c r="H1" s="80"/>
      <c r="I1" s="78"/>
      <c r="J1" s="80"/>
      <c r="K1" s="80"/>
      <c r="L1" s="78"/>
      <c r="M1" s="78"/>
      <c r="N1" s="78"/>
      <c r="O1" s="78"/>
    </row>
    <row r="2" spans="1:17" s="273" customFormat="1" ht="42.6" customHeight="1" x14ac:dyDescent="0.25">
      <c r="A2" s="78"/>
      <c r="B2" s="626" t="s">
        <v>850</v>
      </c>
      <c r="C2" s="627"/>
      <c r="D2" s="627"/>
      <c r="E2" s="627"/>
      <c r="F2" s="627"/>
      <c r="G2" s="627"/>
      <c r="H2" s="627"/>
      <c r="I2" s="627"/>
      <c r="J2" s="627"/>
      <c r="K2" s="627"/>
      <c r="L2" s="627"/>
      <c r="M2" s="627"/>
      <c r="N2" s="631" t="s">
        <v>963</v>
      </c>
      <c r="O2" s="78"/>
      <c r="P2" s="92"/>
      <c r="Q2" s="92"/>
    </row>
    <row r="3" spans="1:17" ht="15" customHeight="1" x14ac:dyDescent="0.35">
      <c r="A3" s="78"/>
      <c r="B3" s="78"/>
      <c r="C3" s="78"/>
      <c r="D3" s="274"/>
      <c r="E3" s="78"/>
      <c r="F3" s="78"/>
      <c r="G3" s="80"/>
      <c r="H3" s="80"/>
      <c r="I3" s="78"/>
      <c r="J3" s="80"/>
      <c r="K3" s="80"/>
      <c r="M3" s="78"/>
      <c r="N3" s="78"/>
      <c r="O3" s="78"/>
    </row>
    <row r="4" spans="1:17" ht="21" customHeight="1" x14ac:dyDescent="0.35">
      <c r="A4" s="78"/>
      <c r="B4" s="275"/>
      <c r="C4" s="276" t="s">
        <v>171</v>
      </c>
      <c r="D4" s="276"/>
      <c r="E4" s="277"/>
      <c r="F4" s="278"/>
      <c r="G4" s="278"/>
      <c r="H4" s="278"/>
      <c r="I4" s="279"/>
      <c r="J4" s="278"/>
      <c r="K4" s="277"/>
      <c r="L4" s="277"/>
      <c r="M4" s="277"/>
      <c r="N4" s="280"/>
      <c r="O4" s="78"/>
    </row>
    <row r="5" spans="1:17" ht="257.25" customHeight="1" x14ac:dyDescent="0.25">
      <c r="A5" s="78"/>
      <c r="B5" s="281"/>
      <c r="C5" s="654" t="s">
        <v>975</v>
      </c>
      <c r="D5" s="654"/>
      <c r="E5" s="654"/>
      <c r="F5" s="654"/>
      <c r="G5" s="654"/>
      <c r="H5" s="654"/>
      <c r="I5" s="654"/>
      <c r="J5" s="654"/>
      <c r="K5" s="654"/>
      <c r="L5" s="654"/>
      <c r="M5" s="654"/>
      <c r="N5" s="282"/>
      <c r="O5" s="78"/>
    </row>
    <row r="6" spans="1:17" ht="22.5" customHeight="1" x14ac:dyDescent="0.25">
      <c r="A6" s="78"/>
      <c r="B6" s="283"/>
      <c r="C6" s="665" t="s">
        <v>968</v>
      </c>
      <c r="D6" s="665"/>
      <c r="E6" s="665"/>
      <c r="F6" s="665"/>
      <c r="G6" s="665"/>
      <c r="H6" s="665"/>
      <c r="I6" s="665"/>
      <c r="J6" s="665"/>
      <c r="K6" s="665"/>
      <c r="L6" s="665"/>
      <c r="M6" s="665"/>
      <c r="N6" s="284"/>
      <c r="O6" s="78"/>
    </row>
    <row r="7" spans="1:17" ht="22.5" customHeight="1" x14ac:dyDescent="0.25">
      <c r="A7" s="78"/>
      <c r="B7" s="633"/>
      <c r="C7" s="634"/>
      <c r="D7" s="634"/>
      <c r="E7" s="634"/>
      <c r="F7" s="634"/>
      <c r="G7" s="634"/>
      <c r="H7" s="634"/>
      <c r="I7" s="634"/>
      <c r="J7" s="634"/>
      <c r="K7" s="634"/>
      <c r="L7" s="634"/>
      <c r="M7" s="634"/>
      <c r="N7" s="633"/>
      <c r="O7" s="78"/>
    </row>
    <row r="8" spans="1:17" ht="21" x14ac:dyDescent="0.25">
      <c r="A8" s="78"/>
      <c r="B8" s="632"/>
      <c r="C8" s="669" t="s">
        <v>969</v>
      </c>
      <c r="D8" s="669"/>
      <c r="E8" s="669"/>
      <c r="F8" s="669"/>
      <c r="G8" s="669"/>
      <c r="H8" s="669"/>
      <c r="I8" s="669"/>
      <c r="J8" s="669"/>
      <c r="K8" s="669"/>
      <c r="L8" s="669"/>
      <c r="M8" s="669"/>
      <c r="N8" s="669"/>
      <c r="O8" s="78"/>
    </row>
    <row r="9" spans="1:17" ht="255.6" customHeight="1" x14ac:dyDescent="0.25">
      <c r="A9" s="78"/>
      <c r="B9" s="638"/>
      <c r="C9" s="670" t="s">
        <v>976</v>
      </c>
      <c r="D9" s="671"/>
      <c r="E9" s="671"/>
      <c r="F9" s="671"/>
      <c r="G9" s="671"/>
      <c r="H9" s="671"/>
      <c r="I9" s="671"/>
      <c r="J9" s="671"/>
      <c r="K9" s="671"/>
      <c r="L9" s="671"/>
      <c r="M9" s="671"/>
      <c r="N9" s="672"/>
      <c r="O9" s="78"/>
    </row>
    <row r="10" spans="1:17" ht="22.15" customHeight="1" x14ac:dyDescent="0.25">
      <c r="A10" s="78"/>
      <c r="B10" s="635"/>
      <c r="C10" s="636"/>
      <c r="D10" s="637"/>
      <c r="E10" s="637"/>
      <c r="F10" s="637"/>
      <c r="G10" s="637"/>
      <c r="H10" s="637"/>
      <c r="I10" s="637"/>
      <c r="J10" s="637"/>
      <c r="K10" s="637"/>
      <c r="L10" s="637"/>
      <c r="M10" s="637"/>
      <c r="N10" s="637"/>
      <c r="O10" s="78"/>
    </row>
    <row r="11" spans="1:17" ht="21" x14ac:dyDescent="0.35">
      <c r="A11" s="78"/>
      <c r="B11" s="275"/>
      <c r="C11" s="276" t="s">
        <v>970</v>
      </c>
      <c r="D11" s="276"/>
      <c r="E11" s="277"/>
      <c r="F11" s="278"/>
      <c r="G11" s="285"/>
      <c r="H11" s="286"/>
      <c r="I11" s="275"/>
      <c r="J11" s="276" t="s">
        <v>971</v>
      </c>
      <c r="K11" s="277"/>
      <c r="L11" s="277"/>
      <c r="M11" s="277"/>
      <c r="N11" s="280"/>
      <c r="O11" s="78"/>
    </row>
    <row r="12" spans="1:17" ht="15.6" customHeight="1" x14ac:dyDescent="0.25">
      <c r="A12" s="78"/>
      <c r="B12" s="287"/>
      <c r="C12" s="288" t="s">
        <v>86</v>
      </c>
      <c r="D12" s="289"/>
      <c r="E12" s="289"/>
      <c r="F12" s="289"/>
      <c r="G12" s="290"/>
      <c r="H12" s="291"/>
      <c r="I12" s="287"/>
      <c r="J12" s="657" t="s">
        <v>71</v>
      </c>
      <c r="K12" s="657"/>
      <c r="L12" s="657"/>
      <c r="M12" s="657"/>
      <c r="N12" s="292"/>
      <c r="O12" s="78"/>
    </row>
    <row r="13" spans="1:17" ht="4.3499999999999996" customHeight="1" x14ac:dyDescent="0.25">
      <c r="A13" s="78"/>
      <c r="B13" s="293"/>
      <c r="C13" s="294"/>
      <c r="D13" s="294"/>
      <c r="E13" s="295"/>
      <c r="F13" s="295"/>
      <c r="G13" s="296"/>
      <c r="H13" s="291"/>
      <c r="I13" s="293"/>
      <c r="J13" s="658"/>
      <c r="K13" s="658"/>
      <c r="L13" s="658"/>
      <c r="M13" s="658"/>
      <c r="N13" s="297"/>
      <c r="O13" s="78"/>
    </row>
    <row r="14" spans="1:17" ht="14.45" customHeight="1" x14ac:dyDescent="0.25">
      <c r="A14" s="78"/>
      <c r="B14" s="293"/>
      <c r="C14" s="294" t="s">
        <v>786</v>
      </c>
      <c r="D14" s="294"/>
      <c r="E14" s="295"/>
      <c r="F14" s="295"/>
      <c r="G14" s="296"/>
      <c r="H14" s="291"/>
      <c r="I14" s="293"/>
      <c r="J14" s="658"/>
      <c r="K14" s="658"/>
      <c r="L14" s="658"/>
      <c r="M14" s="658"/>
      <c r="N14" s="297"/>
      <c r="O14" s="78"/>
    </row>
    <row r="15" spans="1:17" ht="4.3499999999999996" customHeight="1" x14ac:dyDescent="0.25">
      <c r="A15" s="78"/>
      <c r="B15" s="293"/>
      <c r="C15" s="294"/>
      <c r="D15" s="294"/>
      <c r="E15" s="295"/>
      <c r="F15" s="295"/>
      <c r="G15" s="296"/>
      <c r="H15" s="291"/>
      <c r="I15" s="293"/>
      <c r="J15" s="295"/>
      <c r="K15" s="295"/>
      <c r="L15" s="295"/>
      <c r="M15" s="295"/>
      <c r="N15" s="297"/>
      <c r="O15" s="78"/>
    </row>
    <row r="16" spans="1:17" ht="14.45" customHeight="1" x14ac:dyDescent="0.25">
      <c r="A16" s="78"/>
      <c r="B16" s="293"/>
      <c r="C16" s="294" t="s">
        <v>960</v>
      </c>
      <c r="D16" s="294"/>
      <c r="E16" s="294"/>
      <c r="F16" s="294"/>
      <c r="G16" s="296"/>
      <c r="H16" s="291"/>
      <c r="I16" s="293"/>
      <c r="J16" s="295"/>
      <c r="K16" s="295"/>
      <c r="L16" s="295"/>
      <c r="M16" s="295"/>
      <c r="N16" s="297"/>
      <c r="O16" s="78"/>
    </row>
    <row r="17" spans="1:15" ht="4.3499999999999996" customHeight="1" x14ac:dyDescent="0.25">
      <c r="A17" s="78"/>
      <c r="B17" s="293"/>
      <c r="C17" s="295"/>
      <c r="D17" s="295"/>
      <c r="E17" s="295"/>
      <c r="F17" s="295"/>
      <c r="G17" s="296"/>
      <c r="H17" s="291"/>
      <c r="I17" s="293"/>
      <c r="J17" s="295"/>
      <c r="K17" s="295"/>
      <c r="L17" s="298" t="s">
        <v>74</v>
      </c>
      <c r="M17" s="295"/>
      <c r="N17" s="297"/>
      <c r="O17" s="78"/>
    </row>
    <row r="18" spans="1:15" ht="14.45" customHeight="1" x14ac:dyDescent="0.25">
      <c r="A18" s="78"/>
      <c r="B18" s="293"/>
      <c r="C18" s="295" t="s">
        <v>961</v>
      </c>
      <c r="D18" s="295"/>
      <c r="E18" s="295"/>
      <c r="F18" s="295"/>
      <c r="G18" s="296"/>
      <c r="H18" s="291"/>
      <c r="I18" s="293"/>
      <c r="J18" s="295"/>
      <c r="K18" s="295"/>
      <c r="L18" s="298"/>
      <c r="M18" s="295"/>
      <c r="N18" s="297"/>
      <c r="O18" s="78"/>
    </row>
    <row r="19" spans="1:15" ht="4.3499999999999996" customHeight="1" x14ac:dyDescent="0.25">
      <c r="A19" s="78"/>
      <c r="B19" s="293"/>
      <c r="C19" s="295"/>
      <c r="D19" s="295"/>
      <c r="E19" s="295"/>
      <c r="F19" s="295"/>
      <c r="G19" s="296"/>
      <c r="H19" s="291"/>
      <c r="I19" s="293"/>
      <c r="J19" s="295"/>
      <c r="K19" s="295"/>
      <c r="L19" s="298"/>
      <c r="M19" s="295"/>
      <c r="N19" s="297"/>
      <c r="O19" s="78"/>
    </row>
    <row r="20" spans="1:15" ht="14.45" customHeight="1" x14ac:dyDescent="0.25">
      <c r="A20" s="78"/>
      <c r="B20" s="293"/>
      <c r="C20" s="294" t="s">
        <v>789</v>
      </c>
      <c r="D20" s="295"/>
      <c r="E20" s="295"/>
      <c r="F20" s="295"/>
      <c r="G20" s="296"/>
      <c r="H20" s="291"/>
      <c r="I20" s="293"/>
      <c r="J20" s="295"/>
      <c r="K20" s="299" t="s">
        <v>115</v>
      </c>
      <c r="L20" s="298" t="s">
        <v>94</v>
      </c>
      <c r="M20" s="295"/>
      <c r="N20" s="297"/>
      <c r="O20" s="78"/>
    </row>
    <row r="21" spans="1:15" ht="4.3499999999999996" customHeight="1" x14ac:dyDescent="0.25">
      <c r="A21" s="78"/>
      <c r="B21" s="293"/>
      <c r="C21" s="294"/>
      <c r="D21" s="295"/>
      <c r="E21" s="295"/>
      <c r="F21" s="295"/>
      <c r="G21" s="296"/>
      <c r="H21" s="291"/>
      <c r="I21" s="293"/>
      <c r="J21" s="295"/>
      <c r="K21" s="295"/>
      <c r="L21" s="298"/>
      <c r="M21" s="295"/>
      <c r="N21" s="297"/>
      <c r="O21" s="78"/>
    </row>
    <row r="22" spans="1:15" ht="14.45" customHeight="1" x14ac:dyDescent="0.25">
      <c r="A22" s="78"/>
      <c r="B22" s="300"/>
      <c r="C22" s="294" t="s">
        <v>788</v>
      </c>
      <c r="D22" s="295"/>
      <c r="E22" s="295"/>
      <c r="F22" s="295"/>
      <c r="G22" s="296"/>
      <c r="H22" s="301"/>
      <c r="I22" s="300"/>
      <c r="J22" s="302"/>
      <c r="K22" s="132" t="s">
        <v>0</v>
      </c>
      <c r="L22" s="298" t="s">
        <v>142</v>
      </c>
      <c r="M22" s="302"/>
      <c r="N22" s="303"/>
      <c r="O22" s="78"/>
    </row>
    <row r="23" spans="1:15" ht="4.3499999999999996" customHeight="1" x14ac:dyDescent="0.25">
      <c r="A23" s="78"/>
      <c r="B23" s="293"/>
      <c r="C23" s="294"/>
      <c r="D23" s="295"/>
      <c r="E23" s="295"/>
      <c r="F23" s="295"/>
      <c r="G23" s="296"/>
      <c r="H23" s="291"/>
      <c r="I23" s="293"/>
      <c r="J23" s="295"/>
      <c r="K23" s="295"/>
      <c r="L23" s="298"/>
      <c r="M23" s="295"/>
      <c r="N23" s="297"/>
      <c r="O23" s="78"/>
    </row>
    <row r="24" spans="1:15" ht="14.45" customHeight="1" x14ac:dyDescent="0.25">
      <c r="A24" s="78"/>
      <c r="B24" s="293"/>
      <c r="C24" s="294" t="s">
        <v>787</v>
      </c>
      <c r="D24" s="295"/>
      <c r="E24" s="295"/>
      <c r="F24" s="295"/>
      <c r="G24" s="296"/>
      <c r="H24" s="291"/>
      <c r="I24" s="293"/>
      <c r="J24" s="295"/>
      <c r="K24" s="133" t="s">
        <v>11</v>
      </c>
      <c r="L24" s="298" t="s">
        <v>75</v>
      </c>
      <c r="M24" s="295"/>
      <c r="N24" s="297"/>
      <c r="O24" s="78"/>
    </row>
    <row r="25" spans="1:15" ht="4.3499999999999996" customHeight="1" x14ac:dyDescent="0.25">
      <c r="A25" s="78"/>
      <c r="B25" s="293"/>
      <c r="C25" s="294"/>
      <c r="D25" s="295"/>
      <c r="E25" s="295"/>
      <c r="F25" s="295"/>
      <c r="G25" s="296"/>
      <c r="H25" s="291"/>
      <c r="I25" s="293"/>
      <c r="J25" s="295"/>
      <c r="K25" s="295"/>
      <c r="L25" s="298"/>
      <c r="M25" s="295"/>
      <c r="N25" s="297"/>
      <c r="O25" s="78"/>
    </row>
    <row r="26" spans="1:15" ht="14.45" customHeight="1" x14ac:dyDescent="0.25">
      <c r="A26" s="78"/>
      <c r="B26" s="293"/>
      <c r="C26" s="294" t="s">
        <v>790</v>
      </c>
      <c r="D26" s="295"/>
      <c r="E26" s="295"/>
      <c r="F26" s="295"/>
      <c r="G26" s="296"/>
      <c r="H26" s="291"/>
      <c r="I26" s="293"/>
      <c r="J26" s="295"/>
      <c r="K26" s="304"/>
      <c r="L26" s="298" t="s">
        <v>79</v>
      </c>
      <c r="M26" s="295"/>
      <c r="N26" s="297"/>
      <c r="O26" s="78"/>
    </row>
    <row r="27" spans="1:15" ht="4.3499999999999996" customHeight="1" x14ac:dyDescent="0.25">
      <c r="A27" s="78"/>
      <c r="B27" s="293"/>
      <c r="C27" s="294"/>
      <c r="D27" s="295"/>
      <c r="E27" s="295"/>
      <c r="F27" s="295"/>
      <c r="G27" s="296"/>
      <c r="H27" s="291"/>
      <c r="I27" s="293"/>
      <c r="J27" s="295"/>
      <c r="K27" s="295"/>
      <c r="L27" s="298"/>
      <c r="M27" s="295"/>
      <c r="N27" s="297"/>
      <c r="O27" s="78"/>
    </row>
    <row r="28" spans="1:15" ht="14.45" customHeight="1" x14ac:dyDescent="0.25">
      <c r="A28" s="78"/>
      <c r="B28" s="293"/>
      <c r="C28" s="294" t="s">
        <v>791</v>
      </c>
      <c r="D28" s="295"/>
      <c r="E28" s="295"/>
      <c r="F28" s="295"/>
      <c r="G28" s="296"/>
      <c r="H28" s="291"/>
      <c r="I28" s="293"/>
      <c r="J28" s="295"/>
      <c r="K28" s="305" t="s">
        <v>73</v>
      </c>
      <c r="L28" s="298" t="s">
        <v>76</v>
      </c>
      <c r="M28" s="295"/>
      <c r="N28" s="297"/>
      <c r="O28" s="78"/>
    </row>
    <row r="29" spans="1:15" ht="4.3499999999999996" customHeight="1" x14ac:dyDescent="0.25">
      <c r="A29" s="78"/>
      <c r="B29" s="293"/>
      <c r="C29" s="294"/>
      <c r="D29" s="295"/>
      <c r="E29" s="295"/>
      <c r="F29" s="295"/>
      <c r="G29" s="296"/>
      <c r="H29" s="291"/>
      <c r="I29" s="293"/>
      <c r="J29" s="295"/>
      <c r="K29" s="295"/>
      <c r="L29" s="298"/>
      <c r="M29" s="295"/>
      <c r="N29" s="297"/>
      <c r="O29" s="78"/>
    </row>
    <row r="30" spans="1:15" ht="14.45" customHeight="1" x14ac:dyDescent="0.25">
      <c r="A30" s="78"/>
      <c r="B30" s="293"/>
      <c r="C30" s="294" t="s">
        <v>792</v>
      </c>
      <c r="D30" s="295"/>
      <c r="E30" s="295"/>
      <c r="F30" s="295"/>
      <c r="G30" s="296"/>
      <c r="H30" s="291"/>
      <c r="I30" s="293"/>
      <c r="J30" s="295"/>
      <c r="K30" s="306" t="s">
        <v>72</v>
      </c>
      <c r="L30" s="298" t="s">
        <v>77</v>
      </c>
      <c r="M30" s="295"/>
      <c r="N30" s="297"/>
      <c r="O30" s="78"/>
    </row>
    <row r="31" spans="1:15" ht="4.3499999999999996" customHeight="1" x14ac:dyDescent="0.25">
      <c r="A31" s="78"/>
      <c r="B31" s="293"/>
      <c r="C31" s="294"/>
      <c r="D31" s="295"/>
      <c r="E31" s="295"/>
      <c r="F31" s="295"/>
      <c r="G31" s="296"/>
      <c r="H31" s="291"/>
      <c r="I31" s="293"/>
      <c r="J31" s="295"/>
      <c r="K31" s="295"/>
      <c r="L31" s="298"/>
      <c r="M31" s="295"/>
      <c r="N31" s="297"/>
      <c r="O31" s="78"/>
    </row>
    <row r="32" spans="1:15" ht="14.45" customHeight="1" x14ac:dyDescent="0.25">
      <c r="A32" s="78"/>
      <c r="B32" s="293"/>
      <c r="C32" s="294" t="s">
        <v>796</v>
      </c>
      <c r="D32" s="295"/>
      <c r="E32" s="295"/>
      <c r="F32" s="295"/>
      <c r="G32" s="296"/>
      <c r="H32" s="291"/>
      <c r="I32" s="293"/>
      <c r="J32" s="295"/>
      <c r="K32" s="307" t="s">
        <v>151</v>
      </c>
      <c r="L32" s="298" t="s">
        <v>80</v>
      </c>
      <c r="M32" s="295"/>
      <c r="N32" s="297"/>
      <c r="O32" s="78"/>
    </row>
    <row r="33" spans="1:15" ht="4.3499999999999996" customHeight="1" x14ac:dyDescent="0.25">
      <c r="A33" s="78"/>
      <c r="B33" s="293"/>
      <c r="C33" s="294"/>
      <c r="D33" s="295"/>
      <c r="E33" s="295"/>
      <c r="F33" s="295"/>
      <c r="G33" s="296"/>
      <c r="H33" s="291"/>
      <c r="I33" s="293"/>
      <c r="J33" s="295"/>
      <c r="K33" s="295"/>
      <c r="L33" s="298"/>
      <c r="M33" s="295"/>
      <c r="N33" s="297"/>
      <c r="O33" s="78"/>
    </row>
    <row r="34" spans="1:15" ht="14.45" customHeight="1" x14ac:dyDescent="0.25">
      <c r="A34" s="78"/>
      <c r="B34" s="293"/>
      <c r="C34" s="294" t="s">
        <v>797</v>
      </c>
      <c r="D34" s="295"/>
      <c r="E34" s="295"/>
      <c r="F34" s="295"/>
      <c r="G34" s="296"/>
      <c r="H34" s="291"/>
      <c r="I34" s="293"/>
      <c r="J34" s="295"/>
      <c r="K34" s="308" t="s">
        <v>150</v>
      </c>
      <c r="L34" s="298" t="s">
        <v>152</v>
      </c>
      <c r="M34" s="295"/>
      <c r="N34" s="297"/>
      <c r="O34" s="78"/>
    </row>
    <row r="35" spans="1:15" ht="4.3499999999999996" customHeight="1" x14ac:dyDescent="0.25">
      <c r="A35" s="78"/>
      <c r="B35" s="293"/>
      <c r="C35" s="294"/>
      <c r="D35" s="295"/>
      <c r="E35" s="295"/>
      <c r="F35" s="295"/>
      <c r="G35" s="296"/>
      <c r="H35" s="291"/>
      <c r="I35" s="293"/>
      <c r="J35" s="295"/>
      <c r="K35" s="295"/>
      <c r="L35" s="295"/>
      <c r="M35" s="295"/>
      <c r="N35" s="297"/>
      <c r="O35" s="78"/>
    </row>
    <row r="36" spans="1:15" ht="16.350000000000001" customHeight="1" x14ac:dyDescent="0.25">
      <c r="A36" s="78"/>
      <c r="B36" s="293"/>
      <c r="C36" s="294" t="s">
        <v>798</v>
      </c>
      <c r="D36" s="295"/>
      <c r="E36" s="295"/>
      <c r="F36" s="295"/>
      <c r="G36" s="296"/>
      <c r="H36" s="291"/>
      <c r="I36" s="293"/>
      <c r="J36" s="295"/>
      <c r="K36" s="295" t="b">
        <v>0</v>
      </c>
      <c r="L36" s="298" t="s">
        <v>179</v>
      </c>
      <c r="M36" s="295"/>
      <c r="N36" s="297"/>
      <c r="O36" s="78"/>
    </row>
    <row r="37" spans="1:15" ht="4.3499999999999996" customHeight="1" x14ac:dyDescent="0.25">
      <c r="A37" s="78"/>
      <c r="B37" s="293"/>
      <c r="C37" s="294"/>
      <c r="D37" s="295"/>
      <c r="E37" s="295"/>
      <c r="F37" s="295"/>
      <c r="G37" s="296"/>
      <c r="H37" s="291"/>
      <c r="I37" s="293"/>
      <c r="J37" s="295"/>
      <c r="K37" s="295"/>
      <c r="L37" s="295"/>
      <c r="M37" s="295"/>
      <c r="N37" s="297"/>
      <c r="O37" s="78"/>
    </row>
    <row r="38" spans="1:15" ht="16.350000000000001" customHeight="1" x14ac:dyDescent="0.25">
      <c r="A38" s="78"/>
      <c r="B38" s="293"/>
      <c r="C38" s="294" t="s">
        <v>793</v>
      </c>
      <c r="D38" s="295"/>
      <c r="E38" s="295"/>
      <c r="F38" s="295"/>
      <c r="G38" s="296"/>
      <c r="H38" s="291"/>
      <c r="I38" s="293"/>
      <c r="J38" s="295"/>
      <c r="K38" s="295"/>
      <c r="L38" s="295"/>
      <c r="M38" s="295"/>
      <c r="N38" s="297"/>
      <c r="O38" s="78"/>
    </row>
    <row r="39" spans="1:15" ht="4.3499999999999996" customHeight="1" x14ac:dyDescent="0.25">
      <c r="A39" s="78"/>
      <c r="B39" s="293"/>
      <c r="C39" s="294"/>
      <c r="D39" s="295"/>
      <c r="E39" s="295"/>
      <c r="F39" s="295"/>
      <c r="G39" s="296"/>
      <c r="H39" s="291"/>
      <c r="I39" s="293"/>
      <c r="J39" s="295"/>
      <c r="K39" s="295"/>
      <c r="L39" s="295"/>
      <c r="M39" s="295"/>
      <c r="N39" s="297"/>
      <c r="O39" s="78"/>
    </row>
    <row r="40" spans="1:15" ht="16.350000000000001" customHeight="1" x14ac:dyDescent="0.25">
      <c r="A40" s="78"/>
      <c r="B40" s="293"/>
      <c r="C40" s="294" t="s">
        <v>794</v>
      </c>
      <c r="D40" s="295"/>
      <c r="E40" s="295"/>
      <c r="F40" s="295"/>
      <c r="G40" s="296"/>
      <c r="H40" s="291"/>
      <c r="I40" s="293"/>
      <c r="J40" s="295"/>
      <c r="K40" s="295"/>
      <c r="L40" s="295"/>
      <c r="M40" s="295"/>
      <c r="N40" s="297"/>
      <c r="O40" s="78"/>
    </row>
    <row r="41" spans="1:15" ht="4.3499999999999996" customHeight="1" x14ac:dyDescent="0.25">
      <c r="A41" s="78"/>
      <c r="B41" s="293"/>
      <c r="C41" s="294"/>
      <c r="D41" s="295"/>
      <c r="E41" s="295"/>
      <c r="F41" s="295"/>
      <c r="G41" s="296"/>
      <c r="H41" s="291"/>
      <c r="I41" s="293"/>
      <c r="J41" s="295"/>
      <c r="K41" s="295"/>
      <c r="L41" s="295"/>
      <c r="M41" s="295"/>
      <c r="N41" s="297"/>
      <c r="O41" s="78"/>
    </row>
    <row r="42" spans="1:15" ht="16.350000000000001" customHeight="1" x14ac:dyDescent="0.25">
      <c r="A42" s="78"/>
      <c r="B42" s="293"/>
      <c r="C42" s="294" t="s">
        <v>795</v>
      </c>
      <c r="D42" s="295"/>
      <c r="E42" s="295"/>
      <c r="F42" s="295"/>
      <c r="G42" s="296"/>
      <c r="H42" s="291"/>
      <c r="I42" s="293"/>
      <c r="J42" s="295"/>
      <c r="K42" s="295"/>
      <c r="L42" s="298"/>
      <c r="M42" s="295"/>
      <c r="N42" s="297"/>
      <c r="O42" s="78"/>
    </row>
    <row r="43" spans="1:15" ht="4.3499999999999996" customHeight="1" x14ac:dyDescent="0.25">
      <c r="A43" s="78"/>
      <c r="B43" s="309"/>
      <c r="C43" s="310"/>
      <c r="D43" s="310"/>
      <c r="E43" s="311"/>
      <c r="F43" s="311"/>
      <c r="G43" s="312"/>
      <c r="H43" s="291"/>
      <c r="I43" s="309"/>
      <c r="J43" s="311"/>
      <c r="K43" s="311"/>
      <c r="L43" s="311"/>
      <c r="M43" s="311"/>
      <c r="N43" s="313"/>
      <c r="O43" s="78"/>
    </row>
    <row r="44" spans="1:15" x14ac:dyDescent="0.25">
      <c r="A44" s="78"/>
      <c r="B44" s="78"/>
      <c r="C44" s="78"/>
      <c r="D44" s="78"/>
      <c r="E44" s="78"/>
      <c r="F44" s="78"/>
      <c r="G44" s="80"/>
      <c r="H44" s="80"/>
      <c r="I44" s="78"/>
      <c r="J44" s="80"/>
      <c r="K44" s="80"/>
      <c r="L44" s="78"/>
      <c r="M44" s="78"/>
      <c r="N44" s="78"/>
      <c r="O44" s="78"/>
    </row>
    <row r="45" spans="1:15" ht="21" x14ac:dyDescent="0.35">
      <c r="A45" s="78"/>
      <c r="B45" s="314"/>
      <c r="C45" s="315" t="s">
        <v>972</v>
      </c>
      <c r="D45" s="315"/>
      <c r="E45" s="316"/>
      <c r="F45" s="317"/>
      <c r="G45" s="317"/>
      <c r="H45" s="317"/>
      <c r="I45" s="318"/>
      <c r="J45" s="317"/>
      <c r="K45" s="316"/>
      <c r="L45" s="316"/>
      <c r="M45" s="316"/>
      <c r="N45" s="319"/>
      <c r="O45" s="78"/>
    </row>
    <row r="46" spans="1:15" x14ac:dyDescent="0.25">
      <c r="A46" s="78"/>
      <c r="B46" s="287"/>
      <c r="C46" s="320"/>
      <c r="D46" s="321"/>
      <c r="E46" s="321"/>
      <c r="F46" s="321"/>
      <c r="G46" s="322"/>
      <c r="H46" s="322"/>
      <c r="I46" s="321"/>
      <c r="J46" s="322"/>
      <c r="K46" s="322"/>
      <c r="L46" s="321"/>
      <c r="M46" s="321"/>
      <c r="N46" s="292"/>
      <c r="O46" s="78"/>
    </row>
    <row r="47" spans="1:15" ht="18.75" x14ac:dyDescent="0.3">
      <c r="A47" s="78"/>
      <c r="B47" s="293"/>
      <c r="C47" s="323" t="s">
        <v>110</v>
      </c>
      <c r="D47" s="324"/>
      <c r="E47" s="324"/>
      <c r="F47" s="362"/>
      <c r="G47" s="325"/>
      <c r="H47" s="325"/>
      <c r="I47" s="326"/>
      <c r="J47" s="326"/>
      <c r="K47" s="326"/>
      <c r="L47" s="324"/>
      <c r="M47" s="324"/>
      <c r="N47" s="297"/>
      <c r="O47" s="78"/>
    </row>
    <row r="48" spans="1:15" ht="8.85" customHeight="1" x14ac:dyDescent="0.25">
      <c r="A48" s="78"/>
      <c r="B48" s="293"/>
      <c r="C48" s="294"/>
      <c r="D48" s="294"/>
      <c r="E48" s="295"/>
      <c r="F48" s="295"/>
      <c r="G48" s="325"/>
      <c r="H48" s="325"/>
      <c r="I48" s="326"/>
      <c r="J48" s="326"/>
      <c r="K48" s="326"/>
      <c r="L48" s="295"/>
      <c r="M48" s="295"/>
      <c r="N48" s="297"/>
      <c r="O48" s="78"/>
    </row>
    <row r="49" spans="1:15" ht="18.75" x14ac:dyDescent="0.3">
      <c r="A49" s="78"/>
      <c r="B49" s="293"/>
      <c r="C49" s="323" t="s">
        <v>111</v>
      </c>
      <c r="D49" s="324"/>
      <c r="E49" s="324"/>
      <c r="F49" s="362"/>
      <c r="G49" s="325"/>
      <c r="H49" s="325"/>
      <c r="I49" s="326"/>
      <c r="J49" s="327"/>
      <c r="K49" s="326"/>
      <c r="L49" s="324"/>
      <c r="M49" s="324"/>
      <c r="N49" s="297"/>
      <c r="O49" s="78"/>
    </row>
    <row r="50" spans="1:15" ht="8.85" customHeight="1" x14ac:dyDescent="0.25">
      <c r="A50" s="78"/>
      <c r="B50" s="293"/>
      <c r="C50" s="294"/>
      <c r="D50" s="294"/>
      <c r="E50" s="295"/>
      <c r="F50" s="295"/>
      <c r="G50" s="325"/>
      <c r="H50" s="325"/>
      <c r="I50" s="326"/>
      <c r="J50" s="326"/>
      <c r="K50" s="326"/>
      <c r="L50" s="295"/>
      <c r="M50" s="295"/>
      <c r="N50" s="297"/>
      <c r="O50" s="78"/>
    </row>
    <row r="51" spans="1:15" ht="18.75" x14ac:dyDescent="0.3">
      <c r="A51" s="78"/>
      <c r="B51" s="293"/>
      <c r="C51" s="323" t="s">
        <v>112</v>
      </c>
      <c r="D51" s="324"/>
      <c r="E51" s="324"/>
      <c r="F51" s="362"/>
      <c r="G51" s="325"/>
      <c r="H51" s="325"/>
      <c r="I51" s="326"/>
      <c r="J51" s="327" t="s">
        <v>116</v>
      </c>
      <c r="K51" s="326"/>
      <c r="L51" s="324"/>
      <c r="M51" s="324"/>
      <c r="N51" s="297"/>
      <c r="O51" s="78"/>
    </row>
    <row r="52" spans="1:15" ht="8.85" customHeight="1" x14ac:dyDescent="0.25">
      <c r="A52" s="78"/>
      <c r="B52" s="293"/>
      <c r="C52" s="294"/>
      <c r="D52" s="294"/>
      <c r="E52" s="295"/>
      <c r="F52" s="295"/>
      <c r="G52" s="325"/>
      <c r="H52" s="325"/>
      <c r="I52" s="326"/>
      <c r="J52" s="326"/>
      <c r="K52" s="326"/>
      <c r="L52" s="295"/>
      <c r="M52" s="295"/>
      <c r="N52" s="297"/>
      <c r="O52" s="78"/>
    </row>
    <row r="53" spans="1:15" ht="18" customHeight="1" x14ac:dyDescent="0.3">
      <c r="A53" s="78"/>
      <c r="B53" s="293"/>
      <c r="C53" s="328" t="str">
        <f>IF(F51="Other","If Other, please describe:","")</f>
        <v/>
      </c>
      <c r="D53" s="324"/>
      <c r="E53" s="324"/>
      <c r="F53" s="628" t="s">
        <v>974</v>
      </c>
      <c r="G53" s="325"/>
      <c r="H53" s="325"/>
      <c r="I53" s="326"/>
      <c r="J53" s="327"/>
      <c r="K53" s="326"/>
      <c r="L53" s="324"/>
      <c r="M53" s="324"/>
      <c r="N53" s="297"/>
      <c r="O53" s="78"/>
    </row>
    <row r="54" spans="1:15" ht="8.85" customHeight="1" x14ac:dyDescent="0.25">
      <c r="A54" s="78"/>
      <c r="B54" s="293"/>
      <c r="C54" s="294"/>
      <c r="D54" s="294"/>
      <c r="E54" s="295"/>
      <c r="F54" s="295"/>
      <c r="G54" s="325"/>
      <c r="H54" s="325"/>
      <c r="I54" s="326"/>
      <c r="J54" s="326"/>
      <c r="K54" s="326"/>
      <c r="L54" s="295"/>
      <c r="M54" s="295"/>
      <c r="N54" s="297"/>
      <c r="O54" s="78"/>
    </row>
    <row r="55" spans="1:15" ht="30" customHeight="1" x14ac:dyDescent="0.25">
      <c r="A55" s="78"/>
      <c r="B55" s="293"/>
      <c r="C55" s="667" t="str">
        <f>IF(ISBLANK(Location),"",IF(INDEX(VL_TAZ!O:O,MATCH(Location,VL_TAZ!A:A,0))="Land use intensity too low for application of VMT tool","STOP! This TAZ's land use intensity is too low for this tool to apply. Please see FAQ #12 for more information.",""))</f>
        <v/>
      </c>
      <c r="D55" s="668"/>
      <c r="E55" s="668"/>
      <c r="F55" s="668"/>
      <c r="G55" s="325"/>
      <c r="H55" s="325"/>
      <c r="I55" s="324"/>
      <c r="J55" s="329"/>
      <c r="K55" s="329"/>
      <c r="L55" s="329"/>
      <c r="M55" s="329"/>
      <c r="N55" s="297"/>
      <c r="O55" s="78"/>
    </row>
    <row r="56" spans="1:15" ht="18" customHeight="1" x14ac:dyDescent="0.3">
      <c r="A56" s="78"/>
      <c r="B56" s="293"/>
      <c r="C56" s="323" t="s">
        <v>783</v>
      </c>
      <c r="D56" s="323"/>
      <c r="E56" s="323"/>
      <c r="F56" s="237"/>
      <c r="G56" s="325"/>
      <c r="H56" s="325"/>
      <c r="I56" s="324"/>
      <c r="J56" s="655" t="s">
        <v>964</v>
      </c>
      <c r="K56" s="656"/>
      <c r="L56" s="656"/>
      <c r="M56" s="656"/>
      <c r="N56" s="297"/>
      <c r="O56" s="191"/>
    </row>
    <row r="57" spans="1:15" ht="30" customHeight="1" x14ac:dyDescent="0.25">
      <c r="A57" s="78"/>
      <c r="B57" s="293"/>
      <c r="C57" s="324"/>
      <c r="D57" s="324"/>
      <c r="E57" s="324"/>
      <c r="F57" s="324"/>
      <c r="G57" s="325"/>
      <c r="H57" s="325"/>
      <c r="I57" s="324"/>
      <c r="J57" s="656"/>
      <c r="K57" s="656"/>
      <c r="L57" s="656"/>
      <c r="M57" s="656"/>
      <c r="N57" s="297"/>
      <c r="O57" s="191"/>
    </row>
    <row r="58" spans="1:15" ht="18" customHeight="1" x14ac:dyDescent="0.25">
      <c r="A58" s="78"/>
      <c r="B58" s="293"/>
      <c r="C58" s="323" t="s">
        <v>784</v>
      </c>
      <c r="D58" s="330"/>
      <c r="E58" s="330"/>
      <c r="F58" s="305" t="str">
        <f>IF(ISBLANK(Location),"",INDEX(VL_TAZ!B:B,MATCH(Location,VL_TAZ!A:A,0)))</f>
        <v/>
      </c>
      <c r="G58" s="325"/>
      <c r="H58" s="325"/>
      <c r="I58" s="324"/>
      <c r="J58" s="666"/>
      <c r="K58" s="666"/>
      <c r="L58" s="666"/>
      <c r="M58" s="666"/>
      <c r="N58" s="297"/>
      <c r="O58" s="78"/>
    </row>
    <row r="59" spans="1:15" ht="18" customHeight="1" x14ac:dyDescent="0.25">
      <c r="A59" s="78"/>
      <c r="B59" s="331"/>
      <c r="C59" s="332"/>
      <c r="D59" s="332"/>
      <c r="E59" s="332"/>
      <c r="F59" s="332"/>
      <c r="G59" s="332"/>
      <c r="H59" s="332"/>
      <c r="I59" s="332"/>
      <c r="J59" s="333"/>
      <c r="K59" s="333"/>
      <c r="L59" s="333"/>
      <c r="M59" s="333"/>
      <c r="N59" s="334"/>
      <c r="O59" s="78"/>
    </row>
    <row r="60" spans="1:15" x14ac:dyDescent="0.25">
      <c r="A60" s="78"/>
      <c r="B60" s="78"/>
      <c r="C60" s="78"/>
      <c r="D60" s="78"/>
      <c r="E60" s="78"/>
      <c r="F60" s="78"/>
      <c r="G60" s="335"/>
      <c r="H60" s="335"/>
      <c r="I60" s="78"/>
      <c r="J60" s="335"/>
      <c r="K60" s="335"/>
      <c r="L60" s="78"/>
      <c r="M60" s="78"/>
      <c r="N60" s="78"/>
      <c r="O60" s="78"/>
    </row>
    <row r="61" spans="1:15" ht="21" x14ac:dyDescent="0.35">
      <c r="A61" s="78"/>
      <c r="B61" s="275"/>
      <c r="C61" s="276" t="s">
        <v>973</v>
      </c>
      <c r="D61" s="276"/>
      <c r="E61" s="277"/>
      <c r="F61" s="278"/>
      <c r="G61" s="278"/>
      <c r="H61" s="278"/>
      <c r="I61" s="279"/>
      <c r="J61" s="278"/>
      <c r="K61" s="277"/>
      <c r="L61" s="277"/>
      <c r="M61" s="277"/>
      <c r="N61" s="280"/>
      <c r="O61" s="78"/>
    </row>
    <row r="62" spans="1:15" x14ac:dyDescent="0.25">
      <c r="A62" s="78"/>
      <c r="B62" s="336"/>
      <c r="C62" s="337"/>
      <c r="D62" s="337"/>
      <c r="E62" s="324"/>
      <c r="F62" s="324"/>
      <c r="G62" s="326"/>
      <c r="H62" s="326"/>
      <c r="I62" s="337"/>
      <c r="J62" s="326"/>
      <c r="K62" s="326"/>
      <c r="L62" s="324"/>
      <c r="M62" s="324"/>
      <c r="N62" s="338"/>
      <c r="O62" s="78"/>
    </row>
    <row r="63" spans="1:15" s="115" customFormat="1" ht="24.95" customHeight="1" x14ac:dyDescent="0.25">
      <c r="A63" s="78"/>
      <c r="B63" s="336"/>
      <c r="C63" s="659" t="s">
        <v>144</v>
      </c>
      <c r="D63" s="660"/>
      <c r="E63" s="660"/>
      <c r="F63" s="661"/>
      <c r="G63" s="339"/>
      <c r="H63" s="339"/>
      <c r="I63" s="337"/>
      <c r="J63" s="689" t="s">
        <v>41</v>
      </c>
      <c r="K63" s="690"/>
      <c r="L63" s="690"/>
      <c r="M63" s="691"/>
      <c r="N63" s="338"/>
      <c r="O63" s="77"/>
    </row>
    <row r="64" spans="1:15" s="115" customFormat="1" ht="35.1" customHeight="1" x14ac:dyDescent="0.25">
      <c r="A64" s="78"/>
      <c r="B64" s="336"/>
      <c r="C64" s="662" t="s">
        <v>166</v>
      </c>
      <c r="D64" s="663"/>
      <c r="E64" s="663"/>
      <c r="F64" s="664"/>
      <c r="G64" s="339"/>
      <c r="H64" s="339"/>
      <c r="I64" s="337"/>
      <c r="J64" s="692" t="s">
        <v>81</v>
      </c>
      <c r="K64" s="693"/>
      <c r="L64" s="693"/>
      <c r="M64" s="694"/>
      <c r="N64" s="338"/>
      <c r="O64" s="77"/>
    </row>
    <row r="65" spans="1:15" s="115" customFormat="1" ht="24.95" customHeight="1" x14ac:dyDescent="0.25">
      <c r="A65" s="77"/>
      <c r="B65" s="336"/>
      <c r="C65" s="340" t="s">
        <v>21</v>
      </c>
      <c r="D65" s="640">
        <v>511</v>
      </c>
      <c r="E65" s="641"/>
      <c r="F65" s="642"/>
      <c r="G65" s="339"/>
      <c r="H65" s="339"/>
      <c r="I65" s="337"/>
      <c r="J65" s="341" t="s">
        <v>29</v>
      </c>
      <c r="K65" s="680" t="s">
        <v>125</v>
      </c>
      <c r="L65" s="695"/>
      <c r="M65" s="696"/>
      <c r="N65" s="338"/>
      <c r="O65" s="77"/>
    </row>
    <row r="66" spans="1:15" s="115" customFormat="1" ht="24.95" customHeight="1" x14ac:dyDescent="0.25">
      <c r="A66" s="77"/>
      <c r="B66" s="336"/>
      <c r="C66" s="342" t="s">
        <v>22</v>
      </c>
      <c r="D66" s="640" t="s">
        <v>118</v>
      </c>
      <c r="E66" s="641"/>
      <c r="F66" s="642"/>
      <c r="G66" s="339"/>
      <c r="H66" s="339"/>
      <c r="I66" s="337"/>
      <c r="J66" s="343" t="s">
        <v>30</v>
      </c>
      <c r="K66" s="640" t="s">
        <v>126</v>
      </c>
      <c r="L66" s="643"/>
      <c r="M66" s="644"/>
      <c r="N66" s="338"/>
      <c r="O66" s="77"/>
    </row>
    <row r="67" spans="1:15" s="115" customFormat="1" ht="24.95" customHeight="1" x14ac:dyDescent="0.25">
      <c r="A67" s="77"/>
      <c r="B67" s="336"/>
      <c r="C67" s="342" t="s">
        <v>23</v>
      </c>
      <c r="D67" s="640" t="s">
        <v>119</v>
      </c>
      <c r="E67" s="641"/>
      <c r="F67" s="642"/>
      <c r="G67" s="344"/>
      <c r="H67" s="344"/>
      <c r="I67" s="337"/>
      <c r="J67" s="343" t="s">
        <v>31</v>
      </c>
      <c r="K67" s="640" t="s">
        <v>127</v>
      </c>
      <c r="L67" s="643"/>
      <c r="M67" s="644"/>
      <c r="N67" s="338"/>
      <c r="O67" s="77"/>
    </row>
    <row r="68" spans="1:15" s="115" customFormat="1" ht="24.95" customHeight="1" x14ac:dyDescent="0.25">
      <c r="A68" s="77"/>
      <c r="B68" s="336"/>
      <c r="C68" s="342" t="s">
        <v>760</v>
      </c>
      <c r="D68" s="640" t="s">
        <v>777</v>
      </c>
      <c r="E68" s="641"/>
      <c r="F68" s="642"/>
      <c r="G68" s="344"/>
      <c r="H68" s="344"/>
      <c r="I68" s="337"/>
      <c r="J68" s="343" t="s">
        <v>32</v>
      </c>
      <c r="K68" s="640" t="s">
        <v>128</v>
      </c>
      <c r="L68" s="643"/>
      <c r="M68" s="644"/>
      <c r="N68" s="338"/>
      <c r="O68" s="77"/>
    </row>
    <row r="69" spans="1:15" s="115" customFormat="1" ht="24.95" customHeight="1" x14ac:dyDescent="0.25">
      <c r="A69" s="77"/>
      <c r="B69" s="336"/>
      <c r="C69" s="342" t="s">
        <v>761</v>
      </c>
      <c r="D69" s="640" t="s">
        <v>778</v>
      </c>
      <c r="E69" s="641"/>
      <c r="F69" s="642"/>
      <c r="G69" s="344"/>
      <c r="H69" s="344"/>
      <c r="I69" s="337"/>
      <c r="J69" s="343" t="s">
        <v>43</v>
      </c>
      <c r="K69" s="640" t="s">
        <v>129</v>
      </c>
      <c r="L69" s="643"/>
      <c r="M69" s="644"/>
      <c r="N69" s="338"/>
      <c r="O69" s="77"/>
    </row>
    <row r="70" spans="1:15" s="115" customFormat="1" ht="24.95" customHeight="1" x14ac:dyDescent="0.25">
      <c r="A70" s="77"/>
      <c r="B70" s="336"/>
      <c r="C70" s="342" t="s">
        <v>25</v>
      </c>
      <c r="D70" s="640" t="s">
        <v>120</v>
      </c>
      <c r="E70" s="641"/>
      <c r="F70" s="642"/>
      <c r="G70" s="344"/>
      <c r="H70" s="344"/>
      <c r="I70" s="337"/>
      <c r="J70" s="343" t="s">
        <v>44</v>
      </c>
      <c r="K70" s="640" t="s">
        <v>130</v>
      </c>
      <c r="L70" s="643"/>
      <c r="M70" s="644"/>
      <c r="N70" s="338"/>
      <c r="O70" s="77"/>
    </row>
    <row r="71" spans="1:15" ht="24.95" customHeight="1" x14ac:dyDescent="0.25">
      <c r="A71" s="77"/>
      <c r="B71" s="293"/>
      <c r="C71" s="345" t="s">
        <v>53</v>
      </c>
      <c r="D71" s="651" t="s">
        <v>122</v>
      </c>
      <c r="E71" s="652"/>
      <c r="F71" s="653"/>
      <c r="G71" s="326"/>
      <c r="H71" s="326"/>
      <c r="I71" s="324"/>
      <c r="J71" s="343" t="s">
        <v>45</v>
      </c>
      <c r="K71" s="640" t="s">
        <v>131</v>
      </c>
      <c r="L71" s="643"/>
      <c r="M71" s="644"/>
      <c r="N71" s="297"/>
      <c r="O71" s="78"/>
    </row>
    <row r="72" spans="1:15" ht="24.95" customHeight="1" x14ac:dyDescent="0.25">
      <c r="A72" s="77"/>
      <c r="B72" s="293"/>
      <c r="C72" s="324"/>
      <c r="D72" s="324"/>
      <c r="E72" s="323"/>
      <c r="F72" s="324"/>
      <c r="G72" s="326"/>
      <c r="H72" s="326"/>
      <c r="I72" s="324"/>
      <c r="J72" s="346" t="s">
        <v>576</v>
      </c>
      <c r="K72" s="651" t="s">
        <v>475</v>
      </c>
      <c r="L72" s="673"/>
      <c r="M72" s="674"/>
      <c r="N72" s="297"/>
      <c r="O72" s="78"/>
    </row>
    <row r="73" spans="1:15" ht="24.95" customHeight="1" x14ac:dyDescent="0.25">
      <c r="A73" s="78"/>
      <c r="B73" s="293"/>
      <c r="C73" s="645" t="s">
        <v>46</v>
      </c>
      <c r="D73" s="646"/>
      <c r="E73" s="646"/>
      <c r="F73" s="647"/>
      <c r="G73" s="326"/>
      <c r="H73" s="326"/>
      <c r="I73" s="324"/>
      <c r="J73" s="326"/>
      <c r="K73" s="326"/>
      <c r="L73" s="326"/>
      <c r="M73" s="326"/>
      <c r="N73" s="297"/>
      <c r="O73" s="78"/>
    </row>
    <row r="74" spans="1:15" s="115" customFormat="1" ht="35.1" customHeight="1" x14ac:dyDescent="0.25">
      <c r="A74" s="78"/>
      <c r="B74" s="336"/>
      <c r="C74" s="648" t="s">
        <v>145</v>
      </c>
      <c r="D74" s="649"/>
      <c r="E74" s="649"/>
      <c r="F74" s="650"/>
      <c r="G74" s="344"/>
      <c r="H74" s="344"/>
      <c r="I74" s="337"/>
      <c r="J74" s="326"/>
      <c r="K74" s="326"/>
      <c r="L74" s="326"/>
      <c r="M74" s="326"/>
      <c r="N74" s="338"/>
      <c r="O74" s="77"/>
    </row>
    <row r="75" spans="1:15" s="115" customFormat="1" ht="24.95" customHeight="1" x14ac:dyDescent="0.25">
      <c r="A75" s="78"/>
      <c r="B75" s="336"/>
      <c r="C75" s="347" t="s">
        <v>26</v>
      </c>
      <c r="D75" s="680" t="s">
        <v>88</v>
      </c>
      <c r="E75" s="681"/>
      <c r="F75" s="682"/>
      <c r="G75" s="344"/>
      <c r="H75" s="344"/>
      <c r="I75" s="337"/>
      <c r="J75" s="678" t="s">
        <v>42</v>
      </c>
      <c r="K75" s="678"/>
      <c r="L75" s="678"/>
      <c r="M75" s="678"/>
      <c r="N75" s="338"/>
      <c r="O75" s="77"/>
    </row>
    <row r="76" spans="1:15" s="115" customFormat="1" ht="24.95" customHeight="1" x14ac:dyDescent="0.25">
      <c r="A76" s="77"/>
      <c r="B76" s="336"/>
      <c r="C76" s="348" t="s">
        <v>539</v>
      </c>
      <c r="D76" s="640" t="s">
        <v>449</v>
      </c>
      <c r="E76" s="641"/>
      <c r="F76" s="642"/>
      <c r="G76" s="344"/>
      <c r="H76" s="344"/>
      <c r="I76" s="337"/>
      <c r="J76" s="679" t="s">
        <v>146</v>
      </c>
      <c r="K76" s="679"/>
      <c r="L76" s="679"/>
      <c r="M76" s="679"/>
      <c r="N76" s="338"/>
      <c r="O76" s="77"/>
    </row>
    <row r="77" spans="1:15" ht="24.95" customHeight="1" x14ac:dyDescent="0.25">
      <c r="A77" s="77"/>
      <c r="B77" s="293"/>
      <c r="C77" s="348" t="s">
        <v>540</v>
      </c>
      <c r="D77" s="640" t="s">
        <v>458</v>
      </c>
      <c r="E77" s="641"/>
      <c r="F77" s="642"/>
      <c r="G77" s="326"/>
      <c r="H77" s="326"/>
      <c r="I77" s="324"/>
      <c r="J77" s="349" t="s">
        <v>33</v>
      </c>
      <c r="K77" s="640" t="s">
        <v>133</v>
      </c>
      <c r="L77" s="643"/>
      <c r="M77" s="644"/>
      <c r="N77" s="297"/>
      <c r="O77" s="78"/>
    </row>
    <row r="78" spans="1:15" ht="24.95" customHeight="1" x14ac:dyDescent="0.25">
      <c r="A78" s="77"/>
      <c r="B78" s="293"/>
      <c r="C78" s="350" t="s">
        <v>815</v>
      </c>
      <c r="D78" s="651" t="s">
        <v>415</v>
      </c>
      <c r="E78" s="652"/>
      <c r="F78" s="653"/>
      <c r="G78" s="326"/>
      <c r="H78" s="326"/>
      <c r="I78" s="324"/>
      <c r="J78" s="351" t="s">
        <v>34</v>
      </c>
      <c r="K78" s="640" t="s">
        <v>134</v>
      </c>
      <c r="L78" s="643"/>
      <c r="M78" s="644"/>
      <c r="N78" s="297"/>
      <c r="O78" s="78"/>
    </row>
    <row r="79" spans="1:15" s="115" customFormat="1" ht="24.95" customHeight="1" x14ac:dyDescent="0.25">
      <c r="A79" s="78"/>
      <c r="B79" s="336"/>
      <c r="C79" s="324"/>
      <c r="D79" s="324"/>
      <c r="E79" s="324"/>
      <c r="F79" s="324"/>
      <c r="G79" s="344"/>
      <c r="H79" s="344"/>
      <c r="I79" s="337"/>
      <c r="J79" s="351" t="s">
        <v>35</v>
      </c>
      <c r="K79" s="640" t="s">
        <v>135</v>
      </c>
      <c r="L79" s="643"/>
      <c r="M79" s="644"/>
      <c r="N79" s="338"/>
      <c r="O79" s="77"/>
    </row>
    <row r="80" spans="1:15" s="115" customFormat="1" ht="24.95" customHeight="1" x14ac:dyDescent="0.25">
      <c r="A80" s="78"/>
      <c r="B80" s="336"/>
      <c r="C80" s="683" t="s">
        <v>40</v>
      </c>
      <c r="D80" s="684"/>
      <c r="E80" s="684"/>
      <c r="F80" s="685"/>
      <c r="G80" s="344"/>
      <c r="H80" s="344"/>
      <c r="I80" s="337"/>
      <c r="J80" s="351" t="s">
        <v>36</v>
      </c>
      <c r="K80" s="640" t="s">
        <v>136</v>
      </c>
      <c r="L80" s="643"/>
      <c r="M80" s="644"/>
      <c r="N80" s="338"/>
      <c r="O80" s="77"/>
    </row>
    <row r="81" spans="1:15" ht="24.95" customHeight="1" x14ac:dyDescent="0.25">
      <c r="A81" s="77"/>
      <c r="B81" s="293"/>
      <c r="C81" s="686" t="s">
        <v>887</v>
      </c>
      <c r="D81" s="687"/>
      <c r="E81" s="687"/>
      <c r="F81" s="688"/>
      <c r="G81" s="344"/>
      <c r="H81" s="344"/>
      <c r="I81" s="337"/>
      <c r="J81" s="352" t="s">
        <v>37</v>
      </c>
      <c r="K81" s="651" t="s">
        <v>132</v>
      </c>
      <c r="L81" s="673"/>
      <c r="M81" s="674"/>
      <c r="N81" s="338"/>
      <c r="O81" s="78"/>
    </row>
    <row r="82" spans="1:15" ht="24.95" customHeight="1" x14ac:dyDescent="0.25">
      <c r="A82" s="77"/>
      <c r="B82" s="293"/>
      <c r="C82" s="353" t="s">
        <v>933</v>
      </c>
      <c r="D82" s="640" t="s">
        <v>932</v>
      </c>
      <c r="E82" s="641"/>
      <c r="F82" s="642"/>
      <c r="G82" s="344"/>
      <c r="H82" s="344"/>
      <c r="I82" s="337"/>
      <c r="J82" s="354"/>
      <c r="K82" s="354"/>
      <c r="L82" s="355"/>
      <c r="M82" s="329"/>
      <c r="N82" s="338"/>
      <c r="O82" s="78"/>
    </row>
    <row r="83" spans="1:15" ht="24.95" customHeight="1" x14ac:dyDescent="0.25">
      <c r="A83" s="78"/>
      <c r="B83" s="336"/>
      <c r="C83" s="356" t="s">
        <v>931</v>
      </c>
      <c r="D83" s="640" t="s">
        <v>934</v>
      </c>
      <c r="E83" s="643"/>
      <c r="F83" s="644"/>
      <c r="G83" s="344"/>
      <c r="H83" s="344"/>
      <c r="I83" s="337"/>
      <c r="J83" s="675" t="s">
        <v>962</v>
      </c>
      <c r="K83" s="676"/>
      <c r="L83" s="676"/>
      <c r="M83" s="677"/>
      <c r="N83" s="338"/>
      <c r="O83" s="78"/>
    </row>
    <row r="84" spans="1:15" ht="24.95" customHeight="1" x14ac:dyDescent="0.25">
      <c r="A84" s="78"/>
      <c r="B84" s="336"/>
      <c r="C84" s="356" t="s">
        <v>28</v>
      </c>
      <c r="D84" s="640" t="s">
        <v>124</v>
      </c>
      <c r="E84" s="641"/>
      <c r="F84" s="642"/>
      <c r="G84" s="344"/>
      <c r="H84" s="344"/>
      <c r="I84" s="337"/>
      <c r="J84" s="354"/>
      <c r="K84" s="354"/>
      <c r="L84" s="355"/>
      <c r="M84" s="329"/>
      <c r="N84" s="338"/>
      <c r="O84" s="78"/>
    </row>
    <row r="85" spans="1:15" ht="24.95" customHeight="1" x14ac:dyDescent="0.25">
      <c r="A85" s="78"/>
      <c r="B85" s="336"/>
      <c r="C85" s="356" t="s">
        <v>572</v>
      </c>
      <c r="D85" s="618" t="s">
        <v>438</v>
      </c>
      <c r="E85" s="622"/>
      <c r="F85" s="623"/>
      <c r="G85" s="344"/>
      <c r="H85" s="344"/>
      <c r="I85" s="337"/>
      <c r="J85" s="354"/>
      <c r="K85" s="354"/>
      <c r="L85" s="355"/>
      <c r="M85" s="329"/>
      <c r="N85" s="338"/>
      <c r="O85" s="78"/>
    </row>
    <row r="86" spans="1:15" ht="24.95" customHeight="1" x14ac:dyDescent="0.25">
      <c r="A86" s="78"/>
      <c r="B86" s="336"/>
      <c r="C86" s="357" t="s">
        <v>886</v>
      </c>
      <c r="D86" s="619" t="s">
        <v>464</v>
      </c>
      <c r="E86" s="624"/>
      <c r="F86" s="625"/>
      <c r="G86" s="344"/>
      <c r="H86" s="344"/>
      <c r="I86" s="337"/>
      <c r="J86" s="354"/>
      <c r="K86" s="354"/>
      <c r="L86" s="355"/>
      <c r="M86" s="329"/>
      <c r="N86" s="338"/>
      <c r="O86" s="78"/>
    </row>
    <row r="87" spans="1:15" ht="15" customHeight="1" x14ac:dyDescent="0.25">
      <c r="A87" s="78"/>
      <c r="B87" s="358"/>
      <c r="C87" s="359"/>
      <c r="D87" s="359"/>
      <c r="E87" s="360"/>
      <c r="F87" s="360"/>
      <c r="G87" s="332"/>
      <c r="H87" s="332"/>
      <c r="I87" s="359"/>
      <c r="J87" s="332"/>
      <c r="K87" s="332"/>
      <c r="L87" s="360"/>
      <c r="M87" s="360"/>
      <c r="N87" s="361"/>
      <c r="O87" s="78"/>
    </row>
    <row r="88" spans="1:15" x14ac:dyDescent="0.25">
      <c r="A88" s="78"/>
      <c r="B88" s="78"/>
      <c r="C88" s="78"/>
      <c r="D88" s="78"/>
      <c r="E88" s="78"/>
      <c r="F88" s="78"/>
      <c r="G88" s="78"/>
      <c r="H88" s="78"/>
      <c r="I88" s="78"/>
      <c r="J88" s="78"/>
      <c r="K88" s="78"/>
      <c r="L88" s="78"/>
      <c r="M88" s="78"/>
      <c r="N88" s="78"/>
      <c r="O88" s="78"/>
    </row>
    <row r="89" spans="1:15" hidden="1" x14ac:dyDescent="0.25">
      <c r="A89" s="78"/>
      <c r="B89" s="78"/>
      <c r="C89" s="78"/>
      <c r="D89" s="78"/>
      <c r="E89" s="78"/>
      <c r="F89" s="78"/>
      <c r="G89" s="78"/>
      <c r="H89" s="78"/>
      <c r="I89" s="78"/>
      <c r="J89" s="78"/>
      <c r="K89" s="78"/>
      <c r="L89" s="78"/>
      <c r="M89" s="78"/>
      <c r="N89" s="78"/>
      <c r="O89" s="78"/>
    </row>
    <row r="90" spans="1:15" hidden="1" x14ac:dyDescent="0.25">
      <c r="A90" s="78"/>
      <c r="B90" s="78"/>
      <c r="C90" s="78"/>
      <c r="D90" s="78"/>
      <c r="E90" s="78"/>
      <c r="F90" s="78"/>
      <c r="G90" s="78"/>
      <c r="H90" s="78"/>
      <c r="I90" s="78"/>
      <c r="J90" s="78"/>
      <c r="K90" s="78"/>
      <c r="L90" s="78"/>
      <c r="M90" s="78"/>
      <c r="N90" s="78"/>
      <c r="O90" s="78"/>
    </row>
    <row r="91" spans="1:15" hidden="1" x14ac:dyDescent="0.25">
      <c r="A91" s="78"/>
      <c r="B91" s="78"/>
      <c r="C91" s="78"/>
      <c r="D91" s="78"/>
      <c r="E91" s="78"/>
      <c r="F91" s="78"/>
      <c r="G91" s="78"/>
      <c r="H91" s="78"/>
      <c r="I91" s="78"/>
      <c r="J91" s="78"/>
      <c r="K91" s="78"/>
      <c r="L91" s="78"/>
      <c r="M91" s="78"/>
      <c r="N91" s="78"/>
      <c r="O91" s="78"/>
    </row>
    <row r="92" spans="1:15" hidden="1" x14ac:dyDescent="0.25">
      <c r="A92" s="78"/>
      <c r="B92" s="78"/>
      <c r="C92" s="78"/>
      <c r="D92" s="78"/>
      <c r="E92" s="78"/>
      <c r="F92" s="78"/>
      <c r="G92" s="78"/>
      <c r="H92" s="78"/>
      <c r="I92" s="78"/>
      <c r="J92" s="78"/>
      <c r="K92" s="78"/>
      <c r="L92" s="78"/>
      <c r="M92" s="78"/>
      <c r="N92" s="78"/>
      <c r="O92" s="78"/>
    </row>
    <row r="93" spans="1:15" hidden="1" x14ac:dyDescent="0.25">
      <c r="A93" s="78"/>
      <c r="B93" s="78"/>
      <c r="C93" s="78"/>
      <c r="D93" s="78"/>
      <c r="E93" s="78"/>
      <c r="F93" s="78"/>
      <c r="G93" s="78"/>
      <c r="H93" s="78"/>
      <c r="I93" s="78"/>
      <c r="J93" s="78"/>
      <c r="K93" s="78"/>
      <c r="L93" s="78"/>
      <c r="M93" s="78"/>
      <c r="N93" s="78"/>
      <c r="O93" s="78"/>
    </row>
    <row r="94" spans="1:15" hidden="1" x14ac:dyDescent="0.25">
      <c r="A94" s="78"/>
      <c r="B94" s="78"/>
      <c r="C94" s="78"/>
      <c r="D94" s="78"/>
      <c r="E94" s="78"/>
      <c r="F94" s="78"/>
      <c r="G94" s="78"/>
      <c r="H94" s="78"/>
      <c r="I94" s="78"/>
      <c r="J94" s="78"/>
      <c r="K94" s="78"/>
      <c r="L94" s="78"/>
      <c r="M94" s="78"/>
      <c r="N94" s="78"/>
      <c r="O94" s="78"/>
    </row>
    <row r="95" spans="1:15" hidden="1" x14ac:dyDescent="0.25">
      <c r="A95" s="78"/>
      <c r="B95" s="78"/>
      <c r="C95" s="78"/>
      <c r="D95" s="78"/>
      <c r="E95" s="78"/>
      <c r="F95" s="78"/>
      <c r="G95" s="78"/>
      <c r="H95" s="78"/>
      <c r="I95" s="78"/>
      <c r="J95" s="78"/>
      <c r="K95" s="78"/>
      <c r="L95" s="78"/>
      <c r="M95" s="78"/>
      <c r="N95" s="78"/>
      <c r="O95" s="78"/>
    </row>
    <row r="96" spans="1:15" hidden="1" x14ac:dyDescent="0.25">
      <c r="A96" s="78"/>
      <c r="B96" s="78"/>
      <c r="C96" s="78"/>
      <c r="D96" s="78"/>
      <c r="E96" s="78"/>
      <c r="F96" s="78"/>
      <c r="G96" s="78"/>
      <c r="H96" s="78"/>
      <c r="I96" s="78"/>
      <c r="J96" s="78"/>
      <c r="K96" s="78"/>
      <c r="L96" s="78"/>
      <c r="M96" s="78"/>
      <c r="N96" s="78"/>
      <c r="O96" s="78"/>
    </row>
    <row r="97" spans="1:14" hidden="1" x14ac:dyDescent="0.25">
      <c r="A97" s="78"/>
      <c r="B97" s="78"/>
      <c r="C97" s="78"/>
      <c r="D97" s="78"/>
      <c r="E97" s="78"/>
      <c r="F97" s="78"/>
      <c r="G97" s="78"/>
      <c r="H97" s="78"/>
      <c r="I97" s="78"/>
      <c r="J97" s="78"/>
      <c r="K97" s="78"/>
      <c r="N97" s="78"/>
    </row>
    <row r="98" spans="1:14" x14ac:dyDescent="0.25">
      <c r="A98" s="78"/>
    </row>
    <row r="99" spans="1:14" x14ac:dyDescent="0.25">
      <c r="A99" s="78"/>
    </row>
    <row r="100" spans="1:14" hidden="1" x14ac:dyDescent="0.25"/>
    <row r="101" spans="1:14" hidden="1" x14ac:dyDescent="0.25"/>
  </sheetData>
  <sheetProtection algorithmName="SHA-512" hashValue="k1AIjm3xRnFGQZ3PGs7UsmvYdwroTgcsmM9Eqmni67cWgH8Jy8ujMS7sEdW/ysDsAFxThnpaH5TItCJP8j8Ypg==" saltValue="mDY42Okg3R0W0a3PkI7+0g==" spinCount="100000" sheet="1" objects="1" scenarios="1" selectLockedCells="1"/>
  <sortState ref="F53">
    <sortCondition descending="1" ref="F53"/>
  </sortState>
  <dataConsolidate/>
  <mergeCells count="46">
    <mergeCell ref="D66:F66"/>
    <mergeCell ref="J63:M63"/>
    <mergeCell ref="J64:M64"/>
    <mergeCell ref="K72:M72"/>
    <mergeCell ref="K65:M65"/>
    <mergeCell ref="K66:M66"/>
    <mergeCell ref="K67:M67"/>
    <mergeCell ref="K68:M68"/>
    <mergeCell ref="K69:M69"/>
    <mergeCell ref="K70:M70"/>
    <mergeCell ref="K71:M71"/>
    <mergeCell ref="D65:F65"/>
    <mergeCell ref="K81:M81"/>
    <mergeCell ref="J83:M83"/>
    <mergeCell ref="J75:M75"/>
    <mergeCell ref="J76:M76"/>
    <mergeCell ref="D75:F75"/>
    <mergeCell ref="D76:F76"/>
    <mergeCell ref="D77:F77"/>
    <mergeCell ref="K77:M77"/>
    <mergeCell ref="C80:F80"/>
    <mergeCell ref="C81:F81"/>
    <mergeCell ref="D78:F78"/>
    <mergeCell ref="D82:F82"/>
    <mergeCell ref="K78:M78"/>
    <mergeCell ref="K79:M79"/>
    <mergeCell ref="K80:M80"/>
    <mergeCell ref="C5:M5"/>
    <mergeCell ref="J56:M57"/>
    <mergeCell ref="J12:M14"/>
    <mergeCell ref="C63:F63"/>
    <mergeCell ref="C64:F64"/>
    <mergeCell ref="C6:M6"/>
    <mergeCell ref="J58:M58"/>
    <mergeCell ref="C55:F55"/>
    <mergeCell ref="C8:N8"/>
    <mergeCell ref="C9:N9"/>
    <mergeCell ref="D84:F84"/>
    <mergeCell ref="D83:F83"/>
    <mergeCell ref="C73:F73"/>
    <mergeCell ref="C74:F74"/>
    <mergeCell ref="D67:F67"/>
    <mergeCell ref="D68:F68"/>
    <mergeCell ref="D70:F70"/>
    <mergeCell ref="D69:F69"/>
    <mergeCell ref="D71:F71"/>
  </mergeCells>
  <conditionalFormatting sqref="K65:M65 K75:M75 D86:F86">
    <cfRule type="expression" dxfId="111" priority="80">
      <formula>ScaleOfAnalysisIsProject</formula>
    </cfRule>
  </conditionalFormatting>
  <conditionalFormatting sqref="D75 D82 D84">
    <cfRule type="expression" dxfId="110" priority="77">
      <formula>ScaleOfAnalysisIsCommunity</formula>
    </cfRule>
  </conditionalFormatting>
  <conditionalFormatting sqref="J63:M64 J74:M74">
    <cfRule type="expression" dxfId="109" priority="76">
      <formula>ScaleOfAnalysisIsProject</formula>
    </cfRule>
  </conditionalFormatting>
  <conditionalFormatting sqref="C75:C76 C65:C68 C70:C71 C82 C84 C86">
    <cfRule type="expression" dxfId="108" priority="75">
      <formula>ScaleOfAnalysisIsCommunity</formula>
    </cfRule>
  </conditionalFormatting>
  <conditionalFormatting sqref="J65:J70 J75:J81">
    <cfRule type="expression" dxfId="107" priority="74">
      <formula>ScaleOfAnalysisIsProject</formula>
    </cfRule>
  </conditionalFormatting>
  <conditionalFormatting sqref="C63:F64 C73:C74 C80:C81">
    <cfRule type="expression" dxfId="106" priority="73">
      <formula>ScaleOfAnalysisIsCommunity</formula>
    </cfRule>
  </conditionalFormatting>
  <conditionalFormatting sqref="F53">
    <cfRule type="expression" dxfId="105" priority="48">
      <formula>$F$51&lt;&gt;"Other"</formula>
    </cfRule>
  </conditionalFormatting>
  <conditionalFormatting sqref="C69">
    <cfRule type="expression" dxfId="104" priority="45">
      <formula>ScaleOfAnalysisIsCommunity</formula>
    </cfRule>
  </conditionalFormatting>
  <conditionalFormatting sqref="C77">
    <cfRule type="expression" dxfId="103" priority="42">
      <formula>ScaleOfAnalysisIsCommunity</formula>
    </cfRule>
  </conditionalFormatting>
  <conditionalFormatting sqref="C78">
    <cfRule type="expression" dxfId="102" priority="40">
      <formula>ScaleOfAnalysisIsCommunity</formula>
    </cfRule>
  </conditionalFormatting>
  <conditionalFormatting sqref="J75:M75 J76">
    <cfRule type="expression" dxfId="101" priority="37">
      <formula>ScaleOfAnalysisIsProject</formula>
    </cfRule>
  </conditionalFormatting>
  <conditionalFormatting sqref="J71">
    <cfRule type="expression" dxfId="100" priority="31">
      <formula>ScaleOfAnalysisIsProject</formula>
    </cfRule>
  </conditionalFormatting>
  <conditionalFormatting sqref="D76:D78">
    <cfRule type="expression" dxfId="99" priority="25">
      <formula>ScaleOfAnalysisIsCommunity</formula>
    </cfRule>
  </conditionalFormatting>
  <conditionalFormatting sqref="D69:D71">
    <cfRule type="expression" dxfId="98" priority="24">
      <formula>ScaleOfAnalysisIsCommunity</formula>
    </cfRule>
  </conditionalFormatting>
  <conditionalFormatting sqref="D65:D68">
    <cfRule type="expression" dxfId="97" priority="22">
      <formula>ScaleOfAnalysisIsCommunity</formula>
    </cfRule>
  </conditionalFormatting>
  <conditionalFormatting sqref="K66:M71">
    <cfRule type="expression" dxfId="96" priority="21">
      <formula>ScaleOfAnalysisIsProject</formula>
    </cfRule>
  </conditionalFormatting>
  <conditionalFormatting sqref="K77:M80">
    <cfRule type="expression" dxfId="95" priority="17">
      <formula>ScaleOfAnalysisIsProject</formula>
    </cfRule>
  </conditionalFormatting>
  <conditionalFormatting sqref="K81:M81">
    <cfRule type="expression" dxfId="94" priority="16">
      <formula>ScaleOfAnalysisIsProject</formula>
    </cfRule>
  </conditionalFormatting>
  <conditionalFormatting sqref="C85">
    <cfRule type="expression" dxfId="93" priority="13">
      <formula>ScaleOfAnalysisIsCommunity</formula>
    </cfRule>
  </conditionalFormatting>
  <conditionalFormatting sqref="D85">
    <cfRule type="expression" dxfId="92" priority="12">
      <formula>ScaleOfAnalysisIsCommunity</formula>
    </cfRule>
  </conditionalFormatting>
  <conditionalFormatting sqref="J72">
    <cfRule type="expression" dxfId="91" priority="10">
      <formula>ScaleOfAnalysisIsProject</formula>
    </cfRule>
  </conditionalFormatting>
  <conditionalFormatting sqref="J73:M73">
    <cfRule type="expression" dxfId="90" priority="8">
      <formula>ScaleOfAnalysisIsProject</formula>
    </cfRule>
  </conditionalFormatting>
  <conditionalFormatting sqref="D83">
    <cfRule type="expression" dxfId="89" priority="7">
      <formula>ScaleOfAnalysisIsCommunity</formula>
    </cfRule>
  </conditionalFormatting>
  <conditionalFormatting sqref="C83">
    <cfRule type="expression" dxfId="88" priority="5">
      <formula>ScaleOfAnalysisIsCommunity</formula>
    </cfRule>
  </conditionalFormatting>
  <conditionalFormatting sqref="K72:M72">
    <cfRule type="expression" dxfId="87" priority="3">
      <formula>ScaleOfAnalysisIsProject</formula>
    </cfRule>
  </conditionalFormatting>
  <conditionalFormatting sqref="J83">
    <cfRule type="expression" dxfId="86" priority="1">
      <formula>ScaleOfAnalysisIsProject</formula>
    </cfRule>
  </conditionalFormatting>
  <hyperlinks>
    <hyperlink ref="D67" location="Change_in_VMT_1C_Carpool" display="Employer carpool program" xr:uid="{00000000-0004-0000-0000-000002000000}"/>
    <hyperlink ref="D68" location="Change_in_VMT_1D_Transit_Subsidy" display="Employer transit subsidy" xr:uid="{00000000-0004-0000-0000-000003000000}"/>
    <hyperlink ref="D71" location="Change_in_VMT_1F_Telecommute" display="Employer telecommute program" xr:uid="{00000000-0004-0000-0000-000004000000}"/>
    <hyperlink ref="D70" location="Change_in_VMT_1E_Vanpool" display="Employer vanpool program" xr:uid="{00000000-0004-0000-0000-000005000000}"/>
    <hyperlink ref="D65" location="Change_In_VMT_1A_VCTR_Program" display="Employer voluntary commute trip reduction program" xr:uid="{00000000-0004-0000-0000-000006000000}"/>
    <hyperlink ref="D66" location="Change_In_VMT_1B_CTR_Program" display="Employer mandatory commute trip reduction program" xr:uid="{00000000-0004-0000-0000-000007000000}"/>
    <hyperlink ref="K65" location="Change_in_VMT_4A_Street_Connect" display="Street connectivity" xr:uid="{00000000-0004-0000-0000-000008000000}"/>
    <hyperlink ref="K69" location="Change_in_VMT_4E_Bikeshare" display="Bikeshare program expansion" xr:uid="{00000000-0004-0000-0000-000009000000}"/>
    <hyperlink ref="K70" location="Change_in_VMT_4F_Carshare" display="Carshare program expansion" xr:uid="{00000000-0004-0000-0000-00000A000000}"/>
    <hyperlink ref="K71" location="Change_in_VMT_4G_CBTP" display="Community-based travel planning" xr:uid="{00000000-0004-0000-0000-00000B000000}"/>
    <hyperlink ref="K66" location="Change_in_VMT_4B_Sidewalks" display="Sidewalk coverage improvement" xr:uid="{00000000-0004-0000-0000-00000C000000}"/>
    <hyperlink ref="K67" location="Change_in_VMT_4C_Bike_Networks" display="Bikeway network expansion" xr:uid="{00000000-0004-0000-0000-00000D000000}"/>
    <hyperlink ref="K68" location="Change_in_VMT_4D_Bike_Project" display="Bike lane addition" xr:uid="{00000000-0004-0000-0000-00000E000000}"/>
    <hyperlink ref="D82" location="Change_in_VMT_3A_Parking_Price" display="Parking pricing" xr:uid="{00000000-0004-0000-0000-000010000000}"/>
    <hyperlink ref="D84" location="Change_in_VMT_3B_Parking_Cashout" display="Parking cash-out program" xr:uid="{00000000-0004-0000-0000-000011000000}"/>
    <hyperlink ref="D75" location="Change_in_VMT_2A_TOD" display="Transit-oriented development" xr:uid="{00000000-0004-0000-0000-000018000000}"/>
    <hyperlink ref="D65:F65" location="'1A VCTR program'!A1" display="Voluntary Employer Commute Program" xr:uid="{00000000-0004-0000-0000-00001E000000}"/>
    <hyperlink ref="D66:F66" location="'1B CTR program'!A1" display="Mandatory Employer Commute Program" xr:uid="{00000000-0004-0000-0000-00001F000000}"/>
    <hyperlink ref="D67:F67" location="'1C carpool'!A1" display="Employer Carpool Program" xr:uid="{00000000-0004-0000-0000-000020000000}"/>
    <hyperlink ref="D68:F68" location="'1D1 transit subsidy (employees)'!A1" display="Implement Subsidized or Discounted Transit Program (for Employees)" xr:uid="{00000000-0004-0000-0000-000021000000}"/>
    <hyperlink ref="D70:F70" location="'1E vanpool'!A1" display="Employer Vanpool Program" xr:uid="{00000000-0004-0000-0000-000022000000}"/>
    <hyperlink ref="D71:F71" location="'1F telecommute'!A1" display="Employer Telework Program" xr:uid="{00000000-0004-0000-0000-000023000000}"/>
    <hyperlink ref="K65:M65" location="'4A street connect'!A1" display="Street Connectivity Improvement" xr:uid="{00000000-0004-0000-0000-000026000000}"/>
    <hyperlink ref="K66:M66" location="'4B sidewalks'!A1" display="Pedestrian Facility Improvement" xr:uid="{00000000-0004-0000-0000-000027000000}"/>
    <hyperlink ref="K67:M67" location="'4C bike network'!A1" display="Bikeway Network Expansion" xr:uid="{00000000-0004-0000-0000-000028000000}"/>
    <hyperlink ref="K68:M68" location="'4D bike project'!A1" display="Bike Facility Improvement" xr:uid="{00000000-0004-0000-0000-000029000000}"/>
    <hyperlink ref="K69:M69" location="'4E bikeshare'!A1" display="Bikeshare" xr:uid="{00000000-0004-0000-0000-00002A000000}"/>
    <hyperlink ref="K70:M70" location="'4F carshare'!A1" display="Carshare" xr:uid="{00000000-0004-0000-0000-00002B000000}"/>
    <hyperlink ref="K71:M71" location="'4G CBTP'!A1" display="Community-Based Travel Planning" xr:uid="{00000000-0004-0000-0000-00002C000000}"/>
    <hyperlink ref="D69" location="Change_in_VMT_1D_Transit_Subsidy" display="Employer transit subsidy" xr:uid="{28660894-5576-4414-BFD6-AF35AB155EE6}"/>
    <hyperlink ref="D69:F69" location="'1D2 transit subsidy (residents)'!A1" display="Implement Subsidized or Discounted Transit Program (for Residents)" xr:uid="{CD19A2A6-AE42-4473-B016-D297F5448748}"/>
    <hyperlink ref="D85" location="'3C limit parking'!A1" display="Limit Parking Supply" xr:uid="{55EB7C2A-9FED-4A05-8D99-990DE98B2A22}"/>
    <hyperlink ref="D76" location="'2B1 Inc Res Dens'!A1" display="Increase Residential Density" xr:uid="{3C3E4CF3-C3CE-4701-95C4-C675A0835DB2}"/>
    <hyperlink ref="D77" location="'2B2 Inc Emp Dens'!A1" display="Increase Employment Density" xr:uid="{8100458C-10B9-4D5D-90CB-B2A3B240F524}"/>
    <hyperlink ref="D78" location="'2C affordable housing'!A1" display="Integrate Affordable and Below Market Rate Housing" xr:uid="{8B588856-99D5-4911-A045-FF16DD1A7A72}"/>
    <hyperlink ref="K77:M77" location="Change_in_VMT_5A_T_Network_Exp" display="Transit Service Expansion" xr:uid="{0BC35CA4-E7E6-456D-8145-BF4E3F322FB9}"/>
    <hyperlink ref="K78:M78" location="Change_in_VMT_5B_T_Freq" display="Transit Frequency Improvements" xr:uid="{FA4A0C36-2965-4592-B3DA-10FC3B15543B}"/>
    <hyperlink ref="K79:M79" location="Change_in_VMT_5C_T_treatments" display="Transit-Supportive Treatments" xr:uid="{93FAF79C-BF46-4FF7-8782-EED1283A1994}"/>
    <hyperlink ref="K80:M80" location="Change_in_VMT_5D_Fare_Reduction" display="Transit Fare Reduction" xr:uid="{BE14A180-7B19-4C02-938C-A22E26E7657D}"/>
    <hyperlink ref="K81:M81" location="Change_in_VMT_5E_Microtransit" display="Microtransit NEV Shuttle" xr:uid="{7ECD5411-2516-434E-9AF9-FDD023BF65D8}"/>
    <hyperlink ref="D86" location="Change_in_VMT_4G_CBTP" display="Community-based travel planning" xr:uid="{23A424FA-2E6A-47D5-82D7-6EFF028EF8AB}"/>
    <hyperlink ref="D86:F86" location="'3D bike parking'!A1" display="Provide Bike Parking" xr:uid="{922C6312-9B65-4BCB-A206-A6C19120BD2C}"/>
    <hyperlink ref="D83" location="Change_in_VMT_3A_Parking_Price" display="Parking pricing" xr:uid="{49960576-0BD1-4EB9-819B-B21390D52109}"/>
    <hyperlink ref="D83:F83" location="'3A2 price res parking'!A1" display="Unbundle Parking Costs from Property Cost" xr:uid="{56A40167-4087-4D71-8B9A-8825DE7A935C}"/>
    <hyperlink ref="K72:M72" location="'4H traffic calming'!A1" display="Provide Neighborhood Traffic Calming Measures" xr:uid="{040AF833-A868-4559-A2BE-4F33692EA8C9}"/>
    <hyperlink ref="J56:M57" r:id="rId1" display="Determine analysis location TAZ # (between 1 and 1580) using Alameda County's online VMT Mapping Tool. (The above screenshot shows the link to click.) If the parcels layer is enabled, be sure to go to the second page to see the TAZ number." xr:uid="{00000000-0004-0000-0000-000016000000}"/>
    <hyperlink ref="J83:M83" location="Results!A1" display="Go to Results" xr:uid="{2EF1789A-F454-423E-87DE-13B7272F2A98}"/>
    <hyperlink ref="C6:M6" r:id="rId2" display="https://www.alamedactc.org/planning/sb743-vmt/" xr:uid="{096F05B7-C5B2-4D1E-B61E-AC8CBC0FFDA9}"/>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40" r:id="rId6" name="Check Box 16">
              <controlPr defaultSize="0" autoFill="0" autoLine="0" autoPict="0" altText="Exclude From Results Summary">
                <anchor moveWithCells="1">
                  <from>
                    <xdr:col>10</xdr:col>
                    <xdr:colOff>0</xdr:colOff>
                    <xdr:row>35</xdr:row>
                    <xdr:rowOff>0</xdr:rowOff>
                  </from>
                  <to>
                    <xdr:col>11</xdr:col>
                    <xdr:colOff>9525</xdr:colOff>
                    <xdr:row>36</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_x000a_" xr:uid="{00000000-0002-0000-0000-000001000000}">
          <x14:formula1>
            <xm:f>VL_REF!$BV$11:$BV$17</xm:f>
          </x14:formula1>
          <xm:sqref>F51</xm:sqref>
        </x14:dataValidation>
        <x14:dataValidation type="list" allowBlank="1" showDropDown="1" showErrorMessage="1" error="Please enter a TAZ number between 1 and 1580." xr:uid="{00000000-0002-0000-0000-000002000000}">
          <x14:formula1>
            <xm:f>VL_TAZ!$A$11:$A$1590</xm:f>
          </x14:formula1>
          <xm:sqref>F56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4E7E-15AF-406D-8746-DED9E938D655}">
  <sheetPr codeName="Sheet38">
    <tabColor rgb="FFFFFF00"/>
  </sheetPr>
  <dimension ref="C1:BP39"/>
  <sheetViews>
    <sheetView topLeftCell="A7" zoomScaleNormal="100" workbookViewId="0">
      <selection activeCell="D22" sqref="D22"/>
    </sheetView>
  </sheetViews>
  <sheetFormatPr defaultRowHeight="15" outlineLevelRow="1" x14ac:dyDescent="0.25"/>
  <cols>
    <col min="1" max="2" width="2.5703125" customWidth="1"/>
    <col min="3" max="3" width="57.85546875" bestFit="1" customWidth="1"/>
    <col min="5" max="8" width="3.5703125" customWidth="1"/>
    <col min="9" max="16" width="3.5703125" style="43" customWidth="1"/>
    <col min="17" max="17" width="3.5703125" style="230" customWidth="1"/>
    <col min="18" max="29" width="3.5703125" style="43" customWidth="1"/>
    <col min="30" max="30" width="3.5703125" customWidth="1"/>
    <col min="31" max="33" width="3.5703125" style="43" customWidth="1"/>
    <col min="34" max="34" width="12" customWidth="1"/>
    <col min="35" max="35" width="2.5703125" customWidth="1"/>
    <col min="36" max="36" width="3.5703125" style="43" customWidth="1"/>
    <col min="37" max="37" width="3.5703125" customWidth="1"/>
    <col min="38" max="38" width="3.5703125" style="43" customWidth="1"/>
    <col min="39" max="40" width="3.5703125" customWidth="1"/>
    <col min="41" max="47" width="3.5703125" style="43" customWidth="1"/>
    <col min="48" max="48" width="3.5703125" style="230" customWidth="1"/>
    <col min="49" max="50" width="3.5703125" style="43" customWidth="1"/>
    <col min="51" max="64" width="3.5703125" customWidth="1"/>
    <col min="65" max="65" width="5.42578125" bestFit="1" customWidth="1"/>
    <col min="66" max="66" width="2.5703125" customWidth="1"/>
    <col min="67" max="67" width="92.85546875" customWidth="1"/>
  </cols>
  <sheetData>
    <row r="1" spans="3:68" hidden="1" outlineLevel="1" x14ac:dyDescent="0.25"/>
    <row r="2" spans="3:68" hidden="1" outlineLevel="1" x14ac:dyDescent="0.25"/>
    <row r="3" spans="3:68" hidden="1" outlineLevel="1" x14ac:dyDescent="0.25"/>
    <row r="4" spans="3:68" hidden="1" outlineLevel="1" x14ac:dyDescent="0.25"/>
    <row r="5" spans="3:68" hidden="1" outlineLevel="1" x14ac:dyDescent="0.25"/>
    <row r="6" spans="3:68" hidden="1" outlineLevel="1" x14ac:dyDescent="0.25"/>
    <row r="7" spans="3:68" collapsed="1" x14ac:dyDescent="0.25"/>
    <row r="8" spans="3:68" x14ac:dyDescent="0.25">
      <c r="AJ8" t="s">
        <v>117</v>
      </c>
      <c r="AK8" t="s">
        <v>118</v>
      </c>
      <c r="AL8" t="s">
        <v>119</v>
      </c>
      <c r="AM8" t="s">
        <v>762</v>
      </c>
      <c r="AN8" s="43" t="s">
        <v>763</v>
      </c>
      <c r="AO8" s="43" t="s">
        <v>120</v>
      </c>
      <c r="AP8" s="43" t="s">
        <v>122</v>
      </c>
      <c r="AQ8" s="43" t="s">
        <v>88</v>
      </c>
      <c r="AR8" s="43" t="s">
        <v>449</v>
      </c>
      <c r="AS8" s="43" t="s">
        <v>458</v>
      </c>
      <c r="AT8" s="43" t="s">
        <v>415</v>
      </c>
      <c r="AU8" s="43" t="s">
        <v>932</v>
      </c>
      <c r="AV8" s="230" t="s">
        <v>934</v>
      </c>
      <c r="AW8" s="43" t="s">
        <v>124</v>
      </c>
      <c r="AX8" s="43" t="s">
        <v>438</v>
      </c>
      <c r="AY8" s="43" t="s">
        <v>125</v>
      </c>
      <c r="AZ8" s="43" t="s">
        <v>126</v>
      </c>
      <c r="BA8" s="43" t="s">
        <v>127</v>
      </c>
      <c r="BB8" s="43" t="s">
        <v>128</v>
      </c>
      <c r="BC8" s="43" t="s">
        <v>129</v>
      </c>
      <c r="BD8" s="43" t="s">
        <v>130</v>
      </c>
      <c r="BE8" s="43" t="s">
        <v>131</v>
      </c>
      <c r="BF8" s="43" t="s">
        <v>475</v>
      </c>
      <c r="BG8" s="43" t="s">
        <v>464</v>
      </c>
      <c r="BH8" s="43" t="s">
        <v>133</v>
      </c>
      <c r="BI8" t="s">
        <v>134</v>
      </c>
      <c r="BJ8" s="43" t="s">
        <v>135</v>
      </c>
      <c r="BK8" s="43" t="s">
        <v>136</v>
      </c>
      <c r="BL8" s="43" t="s">
        <v>132</v>
      </c>
      <c r="BN8" t="s">
        <v>769</v>
      </c>
      <c r="BO8" s="171" t="s">
        <v>768</v>
      </c>
    </row>
    <row r="9" spans="3:68" x14ac:dyDescent="0.25">
      <c r="E9" t="s">
        <v>745</v>
      </c>
      <c r="AJ9" s="186" t="s">
        <v>765</v>
      </c>
      <c r="BO9" s="213" t="str">
        <f>_xlfn.CONCAT(BO11:BO39)</f>
        <v/>
      </c>
    </row>
    <row r="10" spans="3:68" ht="30" x14ac:dyDescent="0.25">
      <c r="D10" s="171" t="s">
        <v>748</v>
      </c>
      <c r="E10" s="172" t="s">
        <v>21</v>
      </c>
      <c r="F10" s="172" t="s">
        <v>22</v>
      </c>
      <c r="G10" s="172" t="s">
        <v>23</v>
      </c>
      <c r="H10" s="172" t="s">
        <v>760</v>
      </c>
      <c r="I10" s="172" t="s">
        <v>761</v>
      </c>
      <c r="J10" s="172" t="s">
        <v>25</v>
      </c>
      <c r="K10" s="172" t="s">
        <v>53</v>
      </c>
      <c r="L10" s="172" t="s">
        <v>26</v>
      </c>
      <c r="M10" s="172" t="s">
        <v>539</v>
      </c>
      <c r="N10" s="172" t="s">
        <v>540</v>
      </c>
      <c r="O10" s="172" t="s">
        <v>815</v>
      </c>
      <c r="P10" s="172" t="s">
        <v>933</v>
      </c>
      <c r="Q10" s="172" t="s">
        <v>931</v>
      </c>
      <c r="R10" s="172" t="s">
        <v>28</v>
      </c>
      <c r="S10" s="172" t="s">
        <v>572</v>
      </c>
      <c r="T10" s="172" t="s">
        <v>29</v>
      </c>
      <c r="U10" s="172" t="s">
        <v>30</v>
      </c>
      <c r="V10" s="172" t="s">
        <v>31</v>
      </c>
      <c r="W10" s="172" t="s">
        <v>32</v>
      </c>
      <c r="X10" s="172" t="s">
        <v>43</v>
      </c>
      <c r="Y10" s="172" t="s">
        <v>44</v>
      </c>
      <c r="Z10" s="172" t="s">
        <v>45</v>
      </c>
      <c r="AA10" s="172" t="s">
        <v>576</v>
      </c>
      <c r="AB10" s="172" t="s">
        <v>886</v>
      </c>
      <c r="AC10" s="172" t="s">
        <v>33</v>
      </c>
      <c r="AD10" s="172" t="s">
        <v>34</v>
      </c>
      <c r="AE10" s="172" t="s">
        <v>35</v>
      </c>
      <c r="AF10" s="172" t="s">
        <v>36</v>
      </c>
      <c r="AG10" s="172" t="s">
        <v>37</v>
      </c>
      <c r="AH10" s="172" t="s">
        <v>591</v>
      </c>
      <c r="AJ10" s="172" t="s">
        <v>21</v>
      </c>
      <c r="AK10" s="171" t="s">
        <v>22</v>
      </c>
      <c r="AL10" s="171" t="s">
        <v>23</v>
      </c>
      <c r="AM10" s="171" t="s">
        <v>760</v>
      </c>
      <c r="AN10" s="171" t="s">
        <v>761</v>
      </c>
      <c r="AO10" s="171" t="s">
        <v>25</v>
      </c>
      <c r="AP10" s="171" t="s">
        <v>53</v>
      </c>
      <c r="AQ10" s="171" t="s">
        <v>26</v>
      </c>
      <c r="AR10" s="171" t="s">
        <v>539</v>
      </c>
      <c r="AS10" s="171" t="s">
        <v>540</v>
      </c>
      <c r="AT10" s="171" t="s">
        <v>815</v>
      </c>
      <c r="AU10" s="172" t="s">
        <v>933</v>
      </c>
      <c r="AV10" s="172" t="s">
        <v>931</v>
      </c>
      <c r="AW10" s="171" t="s">
        <v>28</v>
      </c>
      <c r="AX10" s="171" t="s">
        <v>572</v>
      </c>
      <c r="AY10" s="171" t="s">
        <v>29</v>
      </c>
      <c r="AZ10" s="171" t="s">
        <v>30</v>
      </c>
      <c r="BA10" s="171" t="s">
        <v>31</v>
      </c>
      <c r="BB10" s="171" t="s">
        <v>32</v>
      </c>
      <c r="BC10" s="171" t="s">
        <v>43</v>
      </c>
      <c r="BD10" s="171" t="s">
        <v>44</v>
      </c>
      <c r="BE10" s="171" t="s">
        <v>45</v>
      </c>
      <c r="BF10" s="171" t="s">
        <v>576</v>
      </c>
      <c r="BG10" s="171" t="s">
        <v>886</v>
      </c>
      <c r="BH10" s="171" t="s">
        <v>33</v>
      </c>
      <c r="BI10" s="171" t="s">
        <v>34</v>
      </c>
      <c r="BJ10" s="171" t="s">
        <v>35</v>
      </c>
      <c r="BK10" s="171" t="s">
        <v>36</v>
      </c>
      <c r="BL10" s="171" t="s">
        <v>37</v>
      </c>
      <c r="BM10" s="171" t="s">
        <v>766</v>
      </c>
      <c r="BO10" s="171" t="s">
        <v>767</v>
      </c>
    </row>
    <row r="11" spans="3:68" x14ac:dyDescent="0.25">
      <c r="C11" s="217" t="s">
        <v>117</v>
      </c>
      <c r="D11" s="208" t="s">
        <v>21</v>
      </c>
      <c r="E11" s="218"/>
      <c r="F11" s="217">
        <v>1</v>
      </c>
      <c r="G11" s="217">
        <v>1</v>
      </c>
      <c r="H11" s="217">
        <v>1</v>
      </c>
      <c r="I11" s="217"/>
      <c r="J11" s="217">
        <v>1</v>
      </c>
      <c r="K11" s="217">
        <v>1</v>
      </c>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t="str">
        <f>Calc!D11</f>
        <v>Not Active</v>
      </c>
      <c r="AJ11" s="43" t="str">
        <f t="shared" ref="AJ11:AJ39" si="0">IF($AH11="Not Active","",IF($D11=AJ$10,"",IF(INDEX($AH$11:$AH$39,MATCH(AJ$10,$D$11:$D$39,0),1)="Not Active","",IF(E11="","",$D11&amp;"|"&amp;$C11 &amp; " conflicts with "&amp;AJ$10&amp;"|"&amp;AJ$8&amp;CHAR(10)))))</f>
        <v/>
      </c>
      <c r="AK11" s="43" t="str">
        <f>IF($AH11="Not Active","",IF($D11=AK$10,"",IF(INDEX($AH$11:$AH$39,MATCH(AK$10,$D$11:$D$39,0),1)="Not Active","",IF(F11="","",$D11&amp;"|"&amp;$C11 &amp; " conflicts with "&amp;AK$10&amp;"|"&amp;AK$8&amp;CHAR(10)))))</f>
        <v/>
      </c>
      <c r="AL11" s="43" t="str">
        <f t="shared" ref="AL11:AL39" si="1">IF($AH11="Not Active","",IF($D11=AL$10,"",IF(INDEX($AH$11:$AH$39,MATCH(AL$10,$D$11:$D$39,0),1)="Not Active","",IF(G11="","",$D11&amp;"|"&amp;$C11 &amp; " conflicts with "&amp;AL$10&amp;"|"&amp;AL$8&amp;CHAR(10)))))</f>
        <v/>
      </c>
      <c r="AM11" s="43" t="str">
        <f t="shared" ref="AM11:AM39" si="2">IF($AH11="Not Active","",IF($D11=AM$10,"",IF(INDEX($AH$11:$AH$39,MATCH(AM$10,$D$11:$D$39,0),1)="Not Active","",IF(H11="","",$D11&amp;"|"&amp;$C11 &amp; " conflicts with "&amp;AM$10&amp;"|"&amp;AM$8&amp;CHAR(10)))))</f>
        <v/>
      </c>
      <c r="AN11" s="43" t="str">
        <f t="shared" ref="AN11:AN39" si="3">IF($AH11="Not Active","",IF($D11=AN$10,"",IF(INDEX($AH$11:$AH$39,MATCH(AN$10,$D$11:$D$39,0),1)="Not Active","",IF(I11="","",$D11&amp;"|"&amp;$C11 &amp; " conflicts with "&amp;AN$10&amp;"|"&amp;AN$8&amp;CHAR(10)))))</f>
        <v/>
      </c>
      <c r="AO11" s="43" t="str">
        <f t="shared" ref="AO11:AO39" si="4">IF($AH11="Not Active","",IF($D11=AO$10,"",IF(INDEX($AH$11:$AH$39,MATCH(AO$10,$D$11:$D$39,0),1)="Not Active","",IF(J11="","",$D11&amp;"|"&amp;$C11 &amp; " conflicts with "&amp;AO$10&amp;"|"&amp;AO$8&amp;CHAR(10)))))</f>
        <v/>
      </c>
      <c r="AP11" s="43" t="str">
        <f t="shared" ref="AP11:AP39" si="5">IF($AH11="Not Active","",IF($D11=AP$10,"",IF(INDEX($AH$11:$AH$39,MATCH(AP$10,$D$11:$D$39,0),1)="Not Active","",IF(K11="","",$D11&amp;"|"&amp;$C11 &amp; " conflicts with "&amp;AP$10&amp;"|"&amp;AP$8&amp;CHAR(10)))))</f>
        <v/>
      </c>
      <c r="AQ11" s="43" t="str">
        <f t="shared" ref="AQ11:AQ39" si="6">IF($AH11="Not Active","",IF($D11=AQ$10,"",IF(INDEX($AH$11:$AH$39,MATCH(AQ$10,$D$11:$D$39,0),1)="Not Active","",IF(L11="","",$D11&amp;"|"&amp;$C11 &amp; " conflicts with "&amp;AQ$10&amp;"|"&amp;AQ$8&amp;CHAR(10)))))</f>
        <v/>
      </c>
      <c r="AR11" s="43" t="str">
        <f t="shared" ref="AR11:AR39" si="7">IF($AH11="Not Active","",IF($D11=AR$10,"",IF(INDEX($AH$11:$AH$39,MATCH(AR$10,$D$11:$D$39,0),1)="Not Active","",IF(M11="","",$D11&amp;"|"&amp;$C11 &amp; " conflicts with "&amp;AR$10&amp;"|"&amp;AR$8&amp;CHAR(10)))))</f>
        <v/>
      </c>
      <c r="AS11" s="43" t="str">
        <f t="shared" ref="AS11:AS39" si="8">IF($AH11="Not Active","",IF($D11=AS$10,"",IF(INDEX($AH$11:$AH$39,MATCH(AS$10,$D$11:$D$39,0),1)="Not Active","",IF(N11="","",$D11&amp;"|"&amp;$C11 &amp; " conflicts with "&amp;AS$10&amp;"|"&amp;AS$8&amp;CHAR(10)))))</f>
        <v/>
      </c>
      <c r="AT11" s="43" t="str">
        <f t="shared" ref="AT11:AT39" si="9">IF($AH11="Not Active","",IF($D11=AT$10,"",IF(INDEX($AH$11:$AH$39,MATCH(AT$10,$D$11:$D$39,0),1)="Not Active","",IF(O11="","",$D11&amp;"|"&amp;$C11 &amp; " conflicts with "&amp;AT$10&amp;"|"&amp;AT$8&amp;CHAR(10)))))</f>
        <v/>
      </c>
      <c r="AU11" s="43" t="str">
        <f t="shared" ref="AU11:AV39" si="10">IF($AH11="Not Active","",IF($D11=AU$10,"",IF(INDEX($AH$11:$AH$39,MATCH(AU$10,$D$11:$D$39,0),1)="Not Active","",IF(P11="","",$D11&amp;"|"&amp;$C11 &amp; " conflicts with "&amp;AU$10&amp;"|"&amp;AU$8&amp;CHAR(10)))))</f>
        <v/>
      </c>
      <c r="AV11" s="230" t="str">
        <f t="shared" si="10"/>
        <v/>
      </c>
      <c r="AW11" s="43" t="str">
        <f t="shared" ref="AW11:AW39" si="11">IF($AH11="Not Active","",IF($D11=AW$10,"",IF(INDEX($AH$11:$AH$39,MATCH(AW$10,$D$11:$D$39,0),1)="Not Active","",IF(R11="","",$D11&amp;"|"&amp;$C11 &amp; " conflicts with "&amp;AW$10&amp;"|"&amp;AW$8&amp;CHAR(10)))))</f>
        <v/>
      </c>
      <c r="AX11" s="43" t="str">
        <f t="shared" ref="AX11:AX39" si="12">IF($AH11="Not Active","",IF($D11=AX$10,"",IF(INDEX($AH$11:$AH$39,MATCH(AX$10,$D$11:$D$39,0),1)="Not Active","",IF(S11="","",$D11&amp;"|"&amp;$C11 &amp; " conflicts with "&amp;AX$10&amp;"|"&amp;AX$8&amp;CHAR(10)))))</f>
        <v/>
      </c>
      <c r="AY11" s="43" t="str">
        <f t="shared" ref="AY11:AY39" si="13">IF($AH11="Not Active","",IF($D11=AY$10,"",IF(INDEX($AH$11:$AH$39,MATCH(AY$10,$D$11:$D$39,0),1)="Not Active","",IF(T11="","",$D11&amp;"|"&amp;$C11 &amp; " conflicts with "&amp;AY$10&amp;"|"&amp;AY$8&amp;CHAR(10)))))</f>
        <v/>
      </c>
      <c r="AZ11" s="43" t="str">
        <f t="shared" ref="AZ11:AZ39" si="14">IF($AH11="Not Active","",IF($D11=AZ$10,"",IF(INDEX($AH$11:$AH$39,MATCH(AZ$10,$D$11:$D$39,0),1)="Not Active","",IF(U11="","",$D11&amp;"|"&amp;$C11 &amp; " conflicts with "&amp;AZ$10&amp;"|"&amp;AZ$8&amp;CHAR(10)))))</f>
        <v/>
      </c>
      <c r="BA11" s="43" t="str">
        <f t="shared" ref="BA11:BA39" si="15">IF($AH11="Not Active","",IF($D11=BA$10,"",IF(INDEX($AH$11:$AH$39,MATCH(BA$10,$D$11:$D$39,0),1)="Not Active","",IF(V11="","",$D11&amp;"|"&amp;$C11 &amp; " conflicts with "&amp;BA$10&amp;"|"&amp;BA$8&amp;CHAR(10)))))</f>
        <v/>
      </c>
      <c r="BB11" s="43" t="str">
        <f t="shared" ref="BB11:BB39" si="16">IF($AH11="Not Active","",IF($D11=BB$10,"",IF(INDEX($AH$11:$AH$39,MATCH(BB$10,$D$11:$D$39,0),1)="Not Active","",IF(W11="","",$D11&amp;"|"&amp;$C11 &amp; " conflicts with "&amp;BB$10&amp;"|"&amp;BB$8&amp;CHAR(10)))))</f>
        <v/>
      </c>
      <c r="BC11" s="43" t="str">
        <f t="shared" ref="BC11:BC39" si="17">IF($AH11="Not Active","",IF($D11=BC$10,"",IF(INDEX($AH$11:$AH$39,MATCH(BC$10,$D$11:$D$39,0),1)="Not Active","",IF(X11="","",$D11&amp;"|"&amp;$C11 &amp; " conflicts with "&amp;BC$10&amp;"|"&amp;BC$8&amp;CHAR(10)))))</f>
        <v/>
      </c>
      <c r="BD11" s="43" t="str">
        <f t="shared" ref="BD11:BD39" si="18">IF($AH11="Not Active","",IF($D11=BD$10,"",IF(INDEX($AH$11:$AH$39,MATCH(BD$10,$D$11:$D$39,0),1)="Not Active","",IF(Y11="","",$D11&amp;"|"&amp;$C11 &amp; " conflicts with "&amp;BD$10&amp;"|"&amp;BD$8&amp;CHAR(10)))))</f>
        <v/>
      </c>
      <c r="BE11" s="43" t="str">
        <f t="shared" ref="BE11:BE39" si="19">IF($AH11="Not Active","",IF($D11=BE$10,"",IF(INDEX($AH$11:$AH$39,MATCH(BE$10,$D$11:$D$39,0),1)="Not Active","",IF(Z11="","",$D11&amp;"|"&amp;$C11 &amp; " conflicts with "&amp;BE$10&amp;"|"&amp;BE$8&amp;CHAR(10)))))</f>
        <v/>
      </c>
      <c r="BF11" s="43" t="str">
        <f t="shared" ref="BF11:BF39" si="20">IF($AH11="Not Active","",IF($D11=BF$10,"",IF(INDEX($AH$11:$AH$39,MATCH(BF$10,$D$11:$D$39,0),1)="Not Active","",IF(AA11="","",$D11&amp;"|"&amp;$C11 &amp; " conflicts with "&amp;BF$10&amp;"|"&amp;BF$8&amp;CHAR(10)))))</f>
        <v/>
      </c>
      <c r="BG11" s="43" t="str">
        <f t="shared" ref="BG11:BG39" si="21">IF($AH11="Not Active","",IF($D11=BG$10,"",IF(INDEX($AH$11:$AH$39,MATCH(BG$10,$D$11:$D$39,0),1)="Not Active","",IF(AB11="","",$D11&amp;"|"&amp;$C11 &amp; " conflicts with "&amp;BG$10&amp;"|"&amp;BG$8&amp;CHAR(10)))))</f>
        <v/>
      </c>
      <c r="BH11" s="43" t="str">
        <f t="shared" ref="BH11:BH39" si="22">IF($AH11="Not Active","",IF($D11=BH$10,"",IF(INDEX($AH$11:$AH$39,MATCH(BH$10,$D$11:$D$39,0),1)="Not Active","",IF(AC11="","",$D11&amp;"|"&amp;$C11 &amp; " conflicts with "&amp;BH$10&amp;"|"&amp;BH$8&amp;CHAR(10)))))</f>
        <v/>
      </c>
      <c r="BI11" s="43" t="str">
        <f t="shared" ref="BI11:BI39" si="23">IF($AH11="Not Active","",IF($D11=BI$10,"",IF(INDEX($AH$11:$AH$39,MATCH(BI$10,$D$11:$D$39,0),1)="Not Active","",IF(AD11="","",$D11&amp;"|"&amp;$C11 &amp; " conflicts with "&amp;BI$10&amp;"|"&amp;BI$8&amp;CHAR(10)))))</f>
        <v/>
      </c>
      <c r="BJ11" s="43" t="str">
        <f t="shared" ref="BJ11:BJ39" si="24">IF($AH11="Not Active","",IF($D11=BJ$10,"",IF(INDEX($AH$11:$AH$39,MATCH(BJ$10,$D$11:$D$39,0),1)="Not Active","",IF(AE11="","",$D11&amp;"|"&amp;$C11 &amp; " conflicts with "&amp;BJ$10&amp;"|"&amp;BJ$8&amp;CHAR(10)))))</f>
        <v/>
      </c>
      <c r="BK11" s="43" t="str">
        <f t="shared" ref="BK11:BK39" si="25">IF($AH11="Not Active","",IF($D11=BK$10,"",IF(INDEX($AH$11:$AH$39,MATCH(BK$10,$D$11:$D$39,0),1)="Not Active","",IF(AF11="","",$D11&amp;"|"&amp;$C11 &amp; " conflicts with "&amp;BK$10&amp;"|"&amp;BK$8&amp;CHAR(10)))))</f>
        <v/>
      </c>
      <c r="BL11" s="43" t="str">
        <f t="shared" ref="BL11:BL39" si="26">IF($AH11="Not Active","",IF($D11=BL$10,"",IF(INDEX($AH$11:$AH$39,MATCH(BL$10,$D$11:$D$39,0),1)="Not Active","",IF(AG11="","",$D11&amp;"|"&amp;$C11 &amp; " conflicts with "&amp;BL$10&amp;"|"&amp;BL$8&amp;CHAR(10)))))</f>
        <v/>
      </c>
      <c r="BM11">
        <f>COUNTA(AJ11:BL11)-COUNTIFS(AJ11:BL11,"")</f>
        <v>0</v>
      </c>
      <c r="BO11" s="213" t="str">
        <f>IF(BM11=0,"",_xlfn.CONCAT(AJ11:BL11))</f>
        <v/>
      </c>
    </row>
    <row r="12" spans="3:68" x14ac:dyDescent="0.25">
      <c r="C12" s="217" t="s">
        <v>118</v>
      </c>
      <c r="D12" s="208" t="s">
        <v>22</v>
      </c>
      <c r="E12" s="217">
        <v>1</v>
      </c>
      <c r="F12" s="218"/>
      <c r="G12" s="217">
        <v>1</v>
      </c>
      <c r="H12" s="219">
        <v>1</v>
      </c>
      <c r="I12" s="217"/>
      <c r="J12" s="217">
        <v>1</v>
      </c>
      <c r="K12" s="219">
        <v>1</v>
      </c>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43" t="str">
        <f>Calc!D12</f>
        <v>Not Active</v>
      </c>
      <c r="AJ12" s="43" t="str">
        <f t="shared" si="0"/>
        <v/>
      </c>
      <c r="AK12" s="43" t="str">
        <f t="shared" ref="AK12:AK39" si="27">IF($AH12="Not Active","",IF($D12=AK$10,"",IF(INDEX($AH$11:$AH$39,MATCH(AK$10,$D$11:$D$39,0),1)="Not Active","",IF(F12="","",$D12&amp;"|"&amp;$C12 &amp; " conflicts with "&amp;AK$10&amp;"|"&amp;AK$8&amp;CHAR(10)))))</f>
        <v/>
      </c>
      <c r="AL12" s="43" t="str">
        <f t="shared" si="1"/>
        <v/>
      </c>
      <c r="AM12" s="43" t="str">
        <f t="shared" si="2"/>
        <v/>
      </c>
      <c r="AN12" s="43" t="str">
        <f t="shared" si="3"/>
        <v/>
      </c>
      <c r="AO12" s="43" t="str">
        <f t="shared" si="4"/>
        <v/>
      </c>
      <c r="AP12" s="43" t="str">
        <f t="shared" si="5"/>
        <v/>
      </c>
      <c r="AQ12" s="43" t="str">
        <f t="shared" si="6"/>
        <v/>
      </c>
      <c r="AR12" s="43" t="str">
        <f t="shared" si="7"/>
        <v/>
      </c>
      <c r="AS12" s="43" t="str">
        <f t="shared" si="8"/>
        <v/>
      </c>
      <c r="AT12" s="43" t="str">
        <f t="shared" si="9"/>
        <v/>
      </c>
      <c r="AU12" s="43" t="str">
        <f t="shared" si="10"/>
        <v/>
      </c>
      <c r="AV12" s="230" t="str">
        <f t="shared" si="10"/>
        <v/>
      </c>
      <c r="AW12" s="43" t="str">
        <f t="shared" si="11"/>
        <v/>
      </c>
      <c r="AX12" s="43" t="str">
        <f t="shared" si="12"/>
        <v/>
      </c>
      <c r="AY12" s="43" t="str">
        <f t="shared" si="13"/>
        <v/>
      </c>
      <c r="AZ12" s="43" t="str">
        <f t="shared" si="14"/>
        <v/>
      </c>
      <c r="BA12" s="43" t="str">
        <f t="shared" si="15"/>
        <v/>
      </c>
      <c r="BB12" s="43" t="str">
        <f t="shared" si="16"/>
        <v/>
      </c>
      <c r="BC12" s="43" t="str">
        <f t="shared" si="17"/>
        <v/>
      </c>
      <c r="BD12" s="43" t="str">
        <f t="shared" si="18"/>
        <v/>
      </c>
      <c r="BE12" s="43" t="str">
        <f t="shared" si="19"/>
        <v/>
      </c>
      <c r="BF12" s="43" t="str">
        <f t="shared" si="20"/>
        <v/>
      </c>
      <c r="BG12" s="43" t="str">
        <f t="shared" si="21"/>
        <v/>
      </c>
      <c r="BH12" s="43" t="str">
        <f t="shared" si="22"/>
        <v/>
      </c>
      <c r="BI12" s="43" t="str">
        <f t="shared" si="23"/>
        <v/>
      </c>
      <c r="BJ12" s="43" t="str">
        <f t="shared" si="24"/>
        <v/>
      </c>
      <c r="BK12" s="43" t="str">
        <f t="shared" si="25"/>
        <v/>
      </c>
      <c r="BL12" s="43" t="str">
        <f t="shared" si="26"/>
        <v/>
      </c>
      <c r="BM12" s="43">
        <f t="shared" ref="BM12:BM39" si="28">COUNTA(AJ12:BL12)-COUNTIFS(AJ12:BL12,"")</f>
        <v>0</v>
      </c>
      <c r="BO12" s="213" t="str">
        <f t="shared" ref="BO12:BO39" si="29">IF(BM12=0,"",_xlfn.CONCAT(AJ12:BL12))</f>
        <v/>
      </c>
      <c r="BP12" s="43"/>
    </row>
    <row r="13" spans="3:68" x14ac:dyDescent="0.25">
      <c r="C13" s="217" t="s">
        <v>119</v>
      </c>
      <c r="D13" s="208" t="s">
        <v>23</v>
      </c>
      <c r="E13" s="217">
        <v>1</v>
      </c>
      <c r="F13" s="217">
        <v>1</v>
      </c>
      <c r="G13" s="218"/>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43" t="str">
        <f>Calc!D13</f>
        <v>Not Active</v>
      </c>
      <c r="AJ13" s="43" t="str">
        <f t="shared" si="0"/>
        <v/>
      </c>
      <c r="AK13" s="43" t="str">
        <f t="shared" si="27"/>
        <v/>
      </c>
      <c r="AL13" s="43" t="str">
        <f t="shared" si="1"/>
        <v/>
      </c>
      <c r="AM13" s="43" t="str">
        <f t="shared" si="2"/>
        <v/>
      </c>
      <c r="AN13" s="43" t="str">
        <f t="shared" si="3"/>
        <v/>
      </c>
      <c r="AO13" s="43" t="str">
        <f t="shared" si="4"/>
        <v/>
      </c>
      <c r="AP13" s="43" t="str">
        <f t="shared" si="5"/>
        <v/>
      </c>
      <c r="AQ13" s="43" t="str">
        <f t="shared" si="6"/>
        <v/>
      </c>
      <c r="AR13" s="43" t="str">
        <f t="shared" si="7"/>
        <v/>
      </c>
      <c r="AS13" s="43" t="str">
        <f t="shared" si="8"/>
        <v/>
      </c>
      <c r="AT13" s="43" t="str">
        <f t="shared" si="9"/>
        <v/>
      </c>
      <c r="AU13" s="43" t="str">
        <f t="shared" si="10"/>
        <v/>
      </c>
      <c r="AV13" s="230" t="str">
        <f t="shared" si="10"/>
        <v/>
      </c>
      <c r="AW13" s="43" t="str">
        <f t="shared" si="11"/>
        <v/>
      </c>
      <c r="AX13" s="43" t="str">
        <f t="shared" si="12"/>
        <v/>
      </c>
      <c r="AY13" s="43" t="str">
        <f t="shared" si="13"/>
        <v/>
      </c>
      <c r="AZ13" s="43" t="str">
        <f t="shared" si="14"/>
        <v/>
      </c>
      <c r="BA13" s="43" t="str">
        <f t="shared" si="15"/>
        <v/>
      </c>
      <c r="BB13" s="43" t="str">
        <f t="shared" si="16"/>
        <v/>
      </c>
      <c r="BC13" s="43" t="str">
        <f t="shared" si="17"/>
        <v/>
      </c>
      <c r="BD13" s="43" t="str">
        <f t="shared" si="18"/>
        <v/>
      </c>
      <c r="BE13" s="43" t="str">
        <f t="shared" si="19"/>
        <v/>
      </c>
      <c r="BF13" s="43" t="str">
        <f t="shared" si="20"/>
        <v/>
      </c>
      <c r="BG13" s="43" t="str">
        <f t="shared" si="21"/>
        <v/>
      </c>
      <c r="BH13" s="43" t="str">
        <f t="shared" si="22"/>
        <v/>
      </c>
      <c r="BI13" s="43" t="str">
        <f t="shared" si="23"/>
        <v/>
      </c>
      <c r="BJ13" s="43" t="str">
        <f t="shared" si="24"/>
        <v/>
      </c>
      <c r="BK13" s="43" t="str">
        <f t="shared" si="25"/>
        <v/>
      </c>
      <c r="BL13" s="43" t="str">
        <f t="shared" si="26"/>
        <v/>
      </c>
      <c r="BM13" s="43">
        <f t="shared" si="28"/>
        <v>0</v>
      </c>
      <c r="BO13" s="213" t="str">
        <f t="shared" si="29"/>
        <v/>
      </c>
      <c r="BP13" s="43"/>
    </row>
    <row r="14" spans="3:68" ht="30" x14ac:dyDescent="0.25">
      <c r="C14" s="217" t="s">
        <v>777</v>
      </c>
      <c r="D14" s="208" t="s">
        <v>760</v>
      </c>
      <c r="E14" s="217">
        <v>1</v>
      </c>
      <c r="F14" s="217">
        <v>1</v>
      </c>
      <c r="G14" s="217"/>
      <c r="H14" s="218"/>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43" t="str">
        <f>Calc!D14</f>
        <v>Not Active</v>
      </c>
      <c r="AJ14" s="43" t="str">
        <f t="shared" si="0"/>
        <v/>
      </c>
      <c r="AK14" s="43" t="str">
        <f t="shared" si="27"/>
        <v/>
      </c>
      <c r="AL14" s="43" t="str">
        <f t="shared" si="1"/>
        <v/>
      </c>
      <c r="AM14" s="43" t="str">
        <f t="shared" si="2"/>
        <v/>
      </c>
      <c r="AN14" s="43" t="str">
        <f t="shared" si="3"/>
        <v/>
      </c>
      <c r="AO14" s="43" t="str">
        <f t="shared" si="4"/>
        <v/>
      </c>
      <c r="AP14" s="43" t="str">
        <f t="shared" si="5"/>
        <v/>
      </c>
      <c r="AQ14" s="43" t="str">
        <f t="shared" si="6"/>
        <v/>
      </c>
      <c r="AR14" s="43" t="str">
        <f t="shared" si="7"/>
        <v/>
      </c>
      <c r="AS14" s="43" t="str">
        <f t="shared" si="8"/>
        <v/>
      </c>
      <c r="AT14" s="43" t="str">
        <f t="shared" si="9"/>
        <v/>
      </c>
      <c r="AU14" s="43" t="str">
        <f t="shared" si="10"/>
        <v/>
      </c>
      <c r="AV14" s="230" t="str">
        <f t="shared" si="10"/>
        <v/>
      </c>
      <c r="AW14" s="43" t="str">
        <f t="shared" si="11"/>
        <v/>
      </c>
      <c r="AX14" s="43" t="str">
        <f t="shared" si="12"/>
        <v/>
      </c>
      <c r="AY14" s="43" t="str">
        <f t="shared" si="13"/>
        <v/>
      </c>
      <c r="AZ14" s="43" t="str">
        <f t="shared" si="14"/>
        <v/>
      </c>
      <c r="BA14" s="43" t="str">
        <f t="shared" si="15"/>
        <v/>
      </c>
      <c r="BB14" s="43" t="str">
        <f t="shared" si="16"/>
        <v/>
      </c>
      <c r="BC14" s="43" t="str">
        <f t="shared" si="17"/>
        <v/>
      </c>
      <c r="BD14" s="43" t="str">
        <f t="shared" si="18"/>
        <v/>
      </c>
      <c r="BE14" s="43" t="str">
        <f t="shared" si="19"/>
        <v/>
      </c>
      <c r="BF14" s="43" t="str">
        <f t="shared" si="20"/>
        <v/>
      </c>
      <c r="BG14" s="43" t="str">
        <f t="shared" si="21"/>
        <v/>
      </c>
      <c r="BH14" s="43" t="str">
        <f t="shared" si="22"/>
        <v/>
      </c>
      <c r="BI14" s="43" t="str">
        <f t="shared" si="23"/>
        <v/>
      </c>
      <c r="BJ14" s="43" t="str">
        <f t="shared" si="24"/>
        <v/>
      </c>
      <c r="BK14" s="43" t="str">
        <f t="shared" si="25"/>
        <v/>
      </c>
      <c r="BL14" s="43" t="str">
        <f t="shared" si="26"/>
        <v/>
      </c>
      <c r="BM14" s="43">
        <f t="shared" si="28"/>
        <v>0</v>
      </c>
      <c r="BO14" s="213" t="str">
        <f>IF(BM14=0,"",_xlfn.CONCAT(AJ14:BL14))</f>
        <v/>
      </c>
      <c r="BP14" s="43"/>
    </row>
    <row r="15" spans="3:68" ht="30" x14ac:dyDescent="0.25">
      <c r="C15" s="217" t="s">
        <v>778</v>
      </c>
      <c r="D15" s="208" t="s">
        <v>761</v>
      </c>
      <c r="E15" s="217"/>
      <c r="F15" s="217"/>
      <c r="G15" s="217"/>
      <c r="H15" s="217"/>
      <c r="I15" s="218"/>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43" t="str">
        <f>Calc!D14</f>
        <v>Not Active</v>
      </c>
      <c r="AJ15" s="43" t="str">
        <f t="shared" si="0"/>
        <v/>
      </c>
      <c r="AK15" s="43" t="str">
        <f t="shared" si="27"/>
        <v/>
      </c>
      <c r="AL15" s="43" t="str">
        <f t="shared" si="1"/>
        <v/>
      </c>
      <c r="AM15" s="43" t="str">
        <f t="shared" si="2"/>
        <v/>
      </c>
      <c r="AN15" s="43" t="str">
        <f t="shared" si="3"/>
        <v/>
      </c>
      <c r="AO15" s="43" t="str">
        <f t="shared" si="4"/>
        <v/>
      </c>
      <c r="AP15" s="43" t="str">
        <f t="shared" si="5"/>
        <v/>
      </c>
      <c r="AQ15" s="43" t="str">
        <f t="shared" si="6"/>
        <v/>
      </c>
      <c r="AR15" s="43" t="str">
        <f t="shared" si="7"/>
        <v/>
      </c>
      <c r="AS15" s="43" t="str">
        <f t="shared" si="8"/>
        <v/>
      </c>
      <c r="AT15" s="43" t="str">
        <f t="shared" si="9"/>
        <v/>
      </c>
      <c r="AU15" s="43" t="str">
        <f t="shared" si="10"/>
        <v/>
      </c>
      <c r="AV15" s="230" t="str">
        <f t="shared" si="10"/>
        <v/>
      </c>
      <c r="AW15" s="43" t="str">
        <f t="shared" si="11"/>
        <v/>
      </c>
      <c r="AX15" s="43" t="str">
        <f t="shared" si="12"/>
        <v/>
      </c>
      <c r="AY15" s="43" t="str">
        <f t="shared" si="13"/>
        <v/>
      </c>
      <c r="AZ15" s="43" t="str">
        <f t="shared" si="14"/>
        <v/>
      </c>
      <c r="BA15" s="43" t="str">
        <f t="shared" si="15"/>
        <v/>
      </c>
      <c r="BB15" s="43" t="str">
        <f t="shared" si="16"/>
        <v/>
      </c>
      <c r="BC15" s="43" t="str">
        <f t="shared" si="17"/>
        <v/>
      </c>
      <c r="BD15" s="43" t="str">
        <f t="shared" si="18"/>
        <v/>
      </c>
      <c r="BE15" s="43" t="str">
        <f t="shared" si="19"/>
        <v/>
      </c>
      <c r="BF15" s="43" t="str">
        <f t="shared" si="20"/>
        <v/>
      </c>
      <c r="BG15" s="43" t="str">
        <f t="shared" si="21"/>
        <v/>
      </c>
      <c r="BH15" s="43" t="str">
        <f t="shared" si="22"/>
        <v/>
      </c>
      <c r="BI15" s="43" t="str">
        <f t="shared" si="23"/>
        <v/>
      </c>
      <c r="BJ15" s="43" t="str">
        <f t="shared" si="24"/>
        <v/>
      </c>
      <c r="BK15" s="43" t="str">
        <f t="shared" si="25"/>
        <v/>
      </c>
      <c r="BL15" s="43" t="str">
        <f t="shared" si="26"/>
        <v/>
      </c>
      <c r="BM15" s="43">
        <f t="shared" si="28"/>
        <v>0</v>
      </c>
      <c r="BO15" s="213" t="str">
        <f t="shared" si="29"/>
        <v/>
      </c>
      <c r="BP15" s="43"/>
    </row>
    <row r="16" spans="3:68" x14ac:dyDescent="0.25">
      <c r="C16" s="217" t="s">
        <v>120</v>
      </c>
      <c r="D16" s="208" t="s">
        <v>25</v>
      </c>
      <c r="E16" s="217">
        <v>1</v>
      </c>
      <c r="F16" s="217">
        <v>1</v>
      </c>
      <c r="G16" s="217"/>
      <c r="H16" s="217"/>
      <c r="I16" s="217"/>
      <c r="J16" s="218"/>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43" t="str">
        <f>Calc!D16</f>
        <v>Not Active</v>
      </c>
      <c r="AJ16" s="43" t="str">
        <f t="shared" si="0"/>
        <v/>
      </c>
      <c r="AK16" s="43" t="str">
        <f t="shared" si="27"/>
        <v/>
      </c>
      <c r="AL16" s="43" t="str">
        <f t="shared" si="1"/>
        <v/>
      </c>
      <c r="AM16" s="43" t="str">
        <f t="shared" si="2"/>
        <v/>
      </c>
      <c r="AN16" s="43" t="str">
        <f t="shared" si="3"/>
        <v/>
      </c>
      <c r="AO16" s="43" t="str">
        <f t="shared" si="4"/>
        <v/>
      </c>
      <c r="AP16" s="43" t="str">
        <f t="shared" si="5"/>
        <v/>
      </c>
      <c r="AQ16" s="43" t="str">
        <f t="shared" si="6"/>
        <v/>
      </c>
      <c r="AR16" s="43" t="str">
        <f t="shared" si="7"/>
        <v/>
      </c>
      <c r="AS16" s="43" t="str">
        <f t="shared" si="8"/>
        <v/>
      </c>
      <c r="AT16" s="43" t="str">
        <f t="shared" si="9"/>
        <v/>
      </c>
      <c r="AU16" s="43" t="str">
        <f t="shared" si="10"/>
        <v/>
      </c>
      <c r="AV16" s="230" t="str">
        <f t="shared" si="10"/>
        <v/>
      </c>
      <c r="AW16" s="43" t="str">
        <f t="shared" si="11"/>
        <v/>
      </c>
      <c r="AX16" s="43" t="str">
        <f t="shared" si="12"/>
        <v/>
      </c>
      <c r="AY16" s="43" t="str">
        <f t="shared" si="13"/>
        <v/>
      </c>
      <c r="AZ16" s="43" t="str">
        <f t="shared" si="14"/>
        <v/>
      </c>
      <c r="BA16" s="43" t="str">
        <f t="shared" si="15"/>
        <v/>
      </c>
      <c r="BB16" s="43" t="str">
        <f t="shared" si="16"/>
        <v/>
      </c>
      <c r="BC16" s="43" t="str">
        <f t="shared" si="17"/>
        <v/>
      </c>
      <c r="BD16" s="43" t="str">
        <f t="shared" si="18"/>
        <v/>
      </c>
      <c r="BE16" s="43" t="str">
        <f t="shared" si="19"/>
        <v/>
      </c>
      <c r="BF16" s="43" t="str">
        <f t="shared" si="20"/>
        <v/>
      </c>
      <c r="BG16" s="43" t="str">
        <f t="shared" si="21"/>
        <v/>
      </c>
      <c r="BH16" s="43" t="str">
        <f t="shared" si="22"/>
        <v/>
      </c>
      <c r="BI16" s="43" t="str">
        <f t="shared" si="23"/>
        <v/>
      </c>
      <c r="BJ16" s="43" t="str">
        <f t="shared" si="24"/>
        <v/>
      </c>
      <c r="BK16" s="43" t="str">
        <f t="shared" si="25"/>
        <v/>
      </c>
      <c r="BL16" s="43" t="str">
        <f t="shared" si="26"/>
        <v/>
      </c>
      <c r="BM16" s="43">
        <f t="shared" si="28"/>
        <v>0</v>
      </c>
      <c r="BO16" s="213" t="str">
        <f t="shared" si="29"/>
        <v/>
      </c>
      <c r="BP16" s="43"/>
    </row>
    <row r="17" spans="3:68" x14ac:dyDescent="0.25">
      <c r="C17" s="217" t="s">
        <v>122</v>
      </c>
      <c r="D17" s="208" t="s">
        <v>53</v>
      </c>
      <c r="E17" s="217">
        <v>1</v>
      </c>
      <c r="F17" s="217">
        <v>1</v>
      </c>
      <c r="G17" s="217"/>
      <c r="H17" s="217"/>
      <c r="I17" s="217"/>
      <c r="J17" s="217"/>
      <c r="K17" s="218"/>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43" t="str">
        <f>Calc!D17</f>
        <v>Not Active</v>
      </c>
      <c r="AJ17" s="43" t="str">
        <f t="shared" si="0"/>
        <v/>
      </c>
      <c r="AK17" s="43" t="str">
        <f t="shared" si="27"/>
        <v/>
      </c>
      <c r="AL17" s="43" t="str">
        <f t="shared" si="1"/>
        <v/>
      </c>
      <c r="AM17" s="43" t="str">
        <f t="shared" si="2"/>
        <v/>
      </c>
      <c r="AN17" s="43" t="str">
        <f t="shared" si="3"/>
        <v/>
      </c>
      <c r="AO17" s="43" t="str">
        <f t="shared" si="4"/>
        <v/>
      </c>
      <c r="AP17" s="43" t="str">
        <f t="shared" si="5"/>
        <v/>
      </c>
      <c r="AQ17" s="43" t="str">
        <f t="shared" si="6"/>
        <v/>
      </c>
      <c r="AR17" s="43" t="str">
        <f t="shared" si="7"/>
        <v/>
      </c>
      <c r="AS17" s="43" t="str">
        <f t="shared" si="8"/>
        <v/>
      </c>
      <c r="AT17" s="43" t="str">
        <f t="shared" si="9"/>
        <v/>
      </c>
      <c r="AU17" s="43" t="str">
        <f t="shared" si="10"/>
        <v/>
      </c>
      <c r="AV17" s="230" t="str">
        <f t="shared" si="10"/>
        <v/>
      </c>
      <c r="AW17" s="43" t="str">
        <f t="shared" si="11"/>
        <v/>
      </c>
      <c r="AX17" s="43" t="str">
        <f t="shared" si="12"/>
        <v/>
      </c>
      <c r="AY17" s="43" t="str">
        <f t="shared" si="13"/>
        <v/>
      </c>
      <c r="AZ17" s="43" t="str">
        <f t="shared" si="14"/>
        <v/>
      </c>
      <c r="BA17" s="43" t="str">
        <f t="shared" si="15"/>
        <v/>
      </c>
      <c r="BB17" s="43" t="str">
        <f t="shared" si="16"/>
        <v/>
      </c>
      <c r="BC17" s="43" t="str">
        <f t="shared" si="17"/>
        <v/>
      </c>
      <c r="BD17" s="43" t="str">
        <f t="shared" si="18"/>
        <v/>
      </c>
      <c r="BE17" s="43" t="str">
        <f t="shared" si="19"/>
        <v/>
      </c>
      <c r="BF17" s="43" t="str">
        <f t="shared" si="20"/>
        <v/>
      </c>
      <c r="BG17" s="43" t="str">
        <f t="shared" si="21"/>
        <v/>
      </c>
      <c r="BH17" s="43" t="str">
        <f t="shared" si="22"/>
        <v/>
      </c>
      <c r="BI17" s="43" t="str">
        <f t="shared" si="23"/>
        <v/>
      </c>
      <c r="BJ17" s="43" t="str">
        <f t="shared" si="24"/>
        <v/>
      </c>
      <c r="BK17" s="43" t="str">
        <f t="shared" si="25"/>
        <v/>
      </c>
      <c r="BL17" s="43" t="str">
        <f t="shared" si="26"/>
        <v/>
      </c>
      <c r="BM17" s="43">
        <f t="shared" si="28"/>
        <v>0</v>
      </c>
      <c r="BO17" s="213" t="str">
        <f t="shared" si="29"/>
        <v/>
      </c>
      <c r="BP17" s="43"/>
    </row>
    <row r="18" spans="3:68" x14ac:dyDescent="0.25">
      <c r="C18" s="217" t="s">
        <v>88</v>
      </c>
      <c r="D18" s="208" t="s">
        <v>26</v>
      </c>
      <c r="E18" s="217"/>
      <c r="F18" s="217"/>
      <c r="G18" s="217"/>
      <c r="H18" s="217"/>
      <c r="I18" s="217"/>
      <c r="J18" s="217"/>
      <c r="K18" s="217"/>
      <c r="L18" s="218"/>
      <c r="M18" s="217"/>
      <c r="N18" s="217"/>
      <c r="O18" s="217"/>
      <c r="P18" s="217"/>
      <c r="Q18" s="217"/>
      <c r="R18" s="217"/>
      <c r="S18" s="217"/>
      <c r="T18" s="217"/>
      <c r="U18" s="217"/>
      <c r="V18" s="217"/>
      <c r="W18" s="217"/>
      <c r="X18" s="217"/>
      <c r="Y18" s="217"/>
      <c r="Z18" s="217"/>
      <c r="AA18" s="217"/>
      <c r="AB18" s="217"/>
      <c r="AC18" s="217"/>
      <c r="AD18" s="217"/>
      <c r="AE18" s="217"/>
      <c r="AF18" s="217"/>
      <c r="AG18" s="217"/>
      <c r="AH18" s="43" t="str">
        <f>Calc!D18</f>
        <v>Not Active</v>
      </c>
      <c r="AJ18" s="43" t="str">
        <f t="shared" si="0"/>
        <v/>
      </c>
      <c r="AK18" s="43" t="str">
        <f t="shared" si="27"/>
        <v/>
      </c>
      <c r="AL18" s="43" t="str">
        <f t="shared" si="1"/>
        <v/>
      </c>
      <c r="AM18" s="43" t="str">
        <f t="shared" si="2"/>
        <v/>
      </c>
      <c r="AN18" s="43" t="str">
        <f t="shared" si="3"/>
        <v/>
      </c>
      <c r="AO18" s="43" t="str">
        <f t="shared" si="4"/>
        <v/>
      </c>
      <c r="AP18" s="43" t="str">
        <f t="shared" si="5"/>
        <v/>
      </c>
      <c r="AQ18" s="43" t="str">
        <f t="shared" si="6"/>
        <v/>
      </c>
      <c r="AR18" s="43" t="str">
        <f t="shared" si="7"/>
        <v/>
      </c>
      <c r="AS18" s="43" t="str">
        <f t="shared" si="8"/>
        <v/>
      </c>
      <c r="AT18" s="43" t="str">
        <f t="shared" si="9"/>
        <v/>
      </c>
      <c r="AU18" s="43" t="str">
        <f t="shared" si="10"/>
        <v/>
      </c>
      <c r="AV18" s="230" t="str">
        <f t="shared" si="10"/>
        <v/>
      </c>
      <c r="AW18" s="43" t="str">
        <f t="shared" si="11"/>
        <v/>
      </c>
      <c r="AX18" s="43" t="str">
        <f t="shared" si="12"/>
        <v/>
      </c>
      <c r="AY18" s="43" t="str">
        <f t="shared" si="13"/>
        <v/>
      </c>
      <c r="AZ18" s="43" t="str">
        <f t="shared" si="14"/>
        <v/>
      </c>
      <c r="BA18" s="43" t="str">
        <f t="shared" si="15"/>
        <v/>
      </c>
      <c r="BB18" s="43" t="str">
        <f t="shared" si="16"/>
        <v/>
      </c>
      <c r="BC18" s="43" t="str">
        <f t="shared" si="17"/>
        <v/>
      </c>
      <c r="BD18" s="43" t="str">
        <f t="shared" si="18"/>
        <v/>
      </c>
      <c r="BE18" s="43" t="str">
        <f t="shared" si="19"/>
        <v/>
      </c>
      <c r="BF18" s="43" t="str">
        <f t="shared" si="20"/>
        <v/>
      </c>
      <c r="BG18" s="43" t="str">
        <f t="shared" si="21"/>
        <v/>
      </c>
      <c r="BH18" s="43" t="str">
        <f t="shared" si="22"/>
        <v/>
      </c>
      <c r="BI18" s="43" t="str">
        <f t="shared" si="23"/>
        <v/>
      </c>
      <c r="BJ18" s="43" t="str">
        <f t="shared" si="24"/>
        <v/>
      </c>
      <c r="BK18" s="43" t="str">
        <f t="shared" si="25"/>
        <v/>
      </c>
      <c r="BL18" s="43" t="str">
        <f t="shared" si="26"/>
        <v/>
      </c>
      <c r="BM18" s="43">
        <f t="shared" si="28"/>
        <v>0</v>
      </c>
      <c r="BO18" s="213" t="str">
        <f t="shared" si="29"/>
        <v/>
      </c>
      <c r="BP18" s="43"/>
    </row>
    <row r="19" spans="3:68" x14ac:dyDescent="0.25">
      <c r="C19" s="217" t="s">
        <v>449</v>
      </c>
      <c r="D19" s="208" t="s">
        <v>539</v>
      </c>
      <c r="E19" s="217"/>
      <c r="F19" s="217"/>
      <c r="G19" s="217"/>
      <c r="H19" s="217"/>
      <c r="I19" s="217"/>
      <c r="J19" s="217"/>
      <c r="K19" s="217"/>
      <c r="L19" s="217"/>
      <c r="M19" s="218"/>
      <c r="N19" s="217"/>
      <c r="O19" s="217"/>
      <c r="P19" s="217"/>
      <c r="Q19" s="217"/>
      <c r="R19" s="217"/>
      <c r="S19" s="217"/>
      <c r="T19" s="217"/>
      <c r="U19" s="217"/>
      <c r="V19" s="217"/>
      <c r="W19" s="217"/>
      <c r="X19" s="217"/>
      <c r="Y19" s="217"/>
      <c r="Z19" s="217"/>
      <c r="AA19" s="217"/>
      <c r="AB19" s="217"/>
      <c r="AC19" s="217"/>
      <c r="AD19" s="217"/>
      <c r="AE19" s="217"/>
      <c r="AF19" s="217"/>
      <c r="AG19" s="217"/>
      <c r="AH19" s="43" t="str">
        <f>Calc!D19</f>
        <v>Not Active</v>
      </c>
      <c r="AJ19" s="43" t="str">
        <f t="shared" si="0"/>
        <v/>
      </c>
      <c r="AK19" s="43" t="str">
        <f t="shared" si="27"/>
        <v/>
      </c>
      <c r="AL19" s="43" t="str">
        <f t="shared" si="1"/>
        <v/>
      </c>
      <c r="AM19" s="43" t="str">
        <f t="shared" si="2"/>
        <v/>
      </c>
      <c r="AN19" s="43" t="str">
        <f t="shared" si="3"/>
        <v/>
      </c>
      <c r="AO19" s="43" t="str">
        <f t="shared" si="4"/>
        <v/>
      </c>
      <c r="AP19" s="43" t="str">
        <f t="shared" si="5"/>
        <v/>
      </c>
      <c r="AQ19" s="43" t="str">
        <f t="shared" si="6"/>
        <v/>
      </c>
      <c r="AR19" s="43" t="str">
        <f t="shared" si="7"/>
        <v/>
      </c>
      <c r="AS19" s="43" t="str">
        <f t="shared" si="8"/>
        <v/>
      </c>
      <c r="AT19" s="43" t="str">
        <f t="shared" si="9"/>
        <v/>
      </c>
      <c r="AU19" s="43" t="str">
        <f t="shared" si="10"/>
        <v/>
      </c>
      <c r="AV19" s="230" t="str">
        <f t="shared" si="10"/>
        <v/>
      </c>
      <c r="AW19" s="43" t="str">
        <f t="shared" si="11"/>
        <v/>
      </c>
      <c r="AX19" s="43" t="str">
        <f t="shared" si="12"/>
        <v/>
      </c>
      <c r="AY19" s="43" t="str">
        <f t="shared" si="13"/>
        <v/>
      </c>
      <c r="AZ19" s="43" t="str">
        <f t="shared" si="14"/>
        <v/>
      </c>
      <c r="BA19" s="43" t="str">
        <f t="shared" si="15"/>
        <v/>
      </c>
      <c r="BB19" s="43" t="str">
        <f t="shared" si="16"/>
        <v/>
      </c>
      <c r="BC19" s="43" t="str">
        <f t="shared" si="17"/>
        <v/>
      </c>
      <c r="BD19" s="43" t="str">
        <f t="shared" si="18"/>
        <v/>
      </c>
      <c r="BE19" s="43" t="str">
        <f t="shared" si="19"/>
        <v/>
      </c>
      <c r="BF19" s="43" t="str">
        <f t="shared" si="20"/>
        <v/>
      </c>
      <c r="BG19" s="43" t="str">
        <f t="shared" si="21"/>
        <v/>
      </c>
      <c r="BH19" s="43" t="str">
        <f t="shared" si="22"/>
        <v/>
      </c>
      <c r="BI19" s="43" t="str">
        <f t="shared" si="23"/>
        <v/>
      </c>
      <c r="BJ19" s="43" t="str">
        <f t="shared" si="24"/>
        <v/>
      </c>
      <c r="BK19" s="43" t="str">
        <f t="shared" si="25"/>
        <v/>
      </c>
      <c r="BL19" s="43" t="str">
        <f t="shared" si="26"/>
        <v/>
      </c>
      <c r="BM19" s="43">
        <f t="shared" si="28"/>
        <v>0</v>
      </c>
      <c r="BO19" s="213" t="str">
        <f t="shared" si="29"/>
        <v/>
      </c>
      <c r="BP19" s="43"/>
    </row>
    <row r="20" spans="3:68" x14ac:dyDescent="0.25">
      <c r="C20" s="217" t="s">
        <v>458</v>
      </c>
      <c r="D20" s="208" t="s">
        <v>540</v>
      </c>
      <c r="E20" s="217"/>
      <c r="F20" s="217"/>
      <c r="G20" s="217"/>
      <c r="H20" s="217"/>
      <c r="I20" s="217"/>
      <c r="J20" s="217"/>
      <c r="K20" s="217"/>
      <c r="L20" s="217"/>
      <c r="M20" s="217"/>
      <c r="N20" s="218"/>
      <c r="O20" s="217"/>
      <c r="P20" s="217"/>
      <c r="Q20" s="217"/>
      <c r="R20" s="217"/>
      <c r="S20" s="217"/>
      <c r="T20" s="217"/>
      <c r="U20" s="217"/>
      <c r="V20" s="217"/>
      <c r="W20" s="217"/>
      <c r="X20" s="217"/>
      <c r="Y20" s="217"/>
      <c r="Z20" s="217"/>
      <c r="AA20" s="217"/>
      <c r="AB20" s="217"/>
      <c r="AC20" s="217"/>
      <c r="AD20" s="217"/>
      <c r="AE20" s="217"/>
      <c r="AF20" s="217"/>
      <c r="AG20" s="217"/>
      <c r="AH20" s="43" t="str">
        <f>Calc!D20</f>
        <v>Not Active</v>
      </c>
      <c r="AJ20" s="43" t="str">
        <f t="shared" si="0"/>
        <v/>
      </c>
      <c r="AK20" s="43" t="str">
        <f t="shared" si="27"/>
        <v/>
      </c>
      <c r="AL20" s="43" t="str">
        <f t="shared" si="1"/>
        <v/>
      </c>
      <c r="AM20" s="43" t="str">
        <f t="shared" si="2"/>
        <v/>
      </c>
      <c r="AN20" s="43" t="str">
        <f t="shared" si="3"/>
        <v/>
      </c>
      <c r="AO20" s="43" t="str">
        <f t="shared" si="4"/>
        <v/>
      </c>
      <c r="AP20" s="43" t="str">
        <f t="shared" si="5"/>
        <v/>
      </c>
      <c r="AQ20" s="43" t="str">
        <f t="shared" si="6"/>
        <v/>
      </c>
      <c r="AR20" s="43" t="str">
        <f t="shared" si="7"/>
        <v/>
      </c>
      <c r="AS20" s="43" t="str">
        <f t="shared" si="8"/>
        <v/>
      </c>
      <c r="AT20" s="43" t="str">
        <f t="shared" si="9"/>
        <v/>
      </c>
      <c r="AU20" s="43" t="str">
        <f t="shared" si="10"/>
        <v/>
      </c>
      <c r="AV20" s="230" t="str">
        <f t="shared" si="10"/>
        <v/>
      </c>
      <c r="AW20" s="43" t="str">
        <f t="shared" si="11"/>
        <v/>
      </c>
      <c r="AX20" s="43" t="str">
        <f t="shared" si="12"/>
        <v/>
      </c>
      <c r="AY20" s="43" t="str">
        <f t="shared" si="13"/>
        <v/>
      </c>
      <c r="AZ20" s="43" t="str">
        <f t="shared" si="14"/>
        <v/>
      </c>
      <c r="BA20" s="43" t="str">
        <f t="shared" si="15"/>
        <v/>
      </c>
      <c r="BB20" s="43" t="str">
        <f t="shared" si="16"/>
        <v/>
      </c>
      <c r="BC20" s="43" t="str">
        <f t="shared" si="17"/>
        <v/>
      </c>
      <c r="BD20" s="43" t="str">
        <f t="shared" si="18"/>
        <v/>
      </c>
      <c r="BE20" s="43" t="str">
        <f t="shared" si="19"/>
        <v/>
      </c>
      <c r="BF20" s="43" t="str">
        <f t="shared" si="20"/>
        <v/>
      </c>
      <c r="BG20" s="43" t="str">
        <f t="shared" si="21"/>
        <v/>
      </c>
      <c r="BH20" s="43" t="str">
        <f t="shared" si="22"/>
        <v/>
      </c>
      <c r="BI20" s="43" t="str">
        <f t="shared" si="23"/>
        <v/>
      </c>
      <c r="BJ20" s="43" t="str">
        <f t="shared" si="24"/>
        <v/>
      </c>
      <c r="BK20" s="43" t="str">
        <f t="shared" si="25"/>
        <v/>
      </c>
      <c r="BL20" s="43" t="str">
        <f t="shared" si="26"/>
        <v/>
      </c>
      <c r="BM20" s="43">
        <f t="shared" si="28"/>
        <v>0</v>
      </c>
      <c r="BO20" s="213" t="str">
        <f t="shared" si="29"/>
        <v/>
      </c>
      <c r="BP20" s="43"/>
    </row>
    <row r="21" spans="3:68" x14ac:dyDescent="0.25">
      <c r="C21" s="217" t="s">
        <v>415</v>
      </c>
      <c r="D21" s="208" t="s">
        <v>815</v>
      </c>
      <c r="E21" s="217"/>
      <c r="F21" s="217"/>
      <c r="G21" s="217"/>
      <c r="H21" s="217"/>
      <c r="I21" s="217"/>
      <c r="J21" s="217"/>
      <c r="K21" s="217"/>
      <c r="L21" s="217"/>
      <c r="M21" s="217"/>
      <c r="N21" s="217"/>
      <c r="O21" s="218"/>
      <c r="P21" s="217"/>
      <c r="Q21" s="217"/>
      <c r="R21" s="217"/>
      <c r="S21" s="217"/>
      <c r="T21" s="217"/>
      <c r="U21" s="217"/>
      <c r="V21" s="217"/>
      <c r="W21" s="217"/>
      <c r="X21" s="217"/>
      <c r="Y21" s="217"/>
      <c r="Z21" s="217"/>
      <c r="AA21" s="217"/>
      <c r="AB21" s="217"/>
      <c r="AC21" s="217"/>
      <c r="AD21" s="217"/>
      <c r="AE21" s="217"/>
      <c r="AF21" s="217"/>
      <c r="AG21" s="217"/>
      <c r="AH21" s="43" t="str">
        <f>Calc!D21</f>
        <v>Not Active</v>
      </c>
      <c r="AJ21" s="43" t="str">
        <f t="shared" si="0"/>
        <v/>
      </c>
      <c r="AK21" s="43" t="str">
        <f t="shared" si="27"/>
        <v/>
      </c>
      <c r="AL21" s="43" t="str">
        <f t="shared" si="1"/>
        <v/>
      </c>
      <c r="AM21" s="43" t="str">
        <f t="shared" si="2"/>
        <v/>
      </c>
      <c r="AN21" s="43" t="str">
        <f t="shared" si="3"/>
        <v/>
      </c>
      <c r="AO21" s="43" t="str">
        <f t="shared" si="4"/>
        <v/>
      </c>
      <c r="AP21" s="43" t="str">
        <f t="shared" si="5"/>
        <v/>
      </c>
      <c r="AQ21" s="43" t="str">
        <f t="shared" si="6"/>
        <v/>
      </c>
      <c r="AR21" s="43" t="str">
        <f t="shared" si="7"/>
        <v/>
      </c>
      <c r="AS21" s="43" t="str">
        <f t="shared" si="8"/>
        <v/>
      </c>
      <c r="AT21" s="43" t="str">
        <f t="shared" si="9"/>
        <v/>
      </c>
      <c r="AU21" s="43" t="str">
        <f t="shared" si="10"/>
        <v/>
      </c>
      <c r="AV21" s="230" t="str">
        <f t="shared" si="10"/>
        <v/>
      </c>
      <c r="AW21" s="43" t="str">
        <f t="shared" si="11"/>
        <v/>
      </c>
      <c r="AX21" s="43" t="str">
        <f t="shared" si="12"/>
        <v/>
      </c>
      <c r="AY21" s="43" t="str">
        <f t="shared" si="13"/>
        <v/>
      </c>
      <c r="AZ21" s="43" t="str">
        <f t="shared" si="14"/>
        <v/>
      </c>
      <c r="BA21" s="43" t="str">
        <f t="shared" si="15"/>
        <v/>
      </c>
      <c r="BB21" s="43" t="str">
        <f t="shared" si="16"/>
        <v/>
      </c>
      <c r="BC21" s="43" t="str">
        <f t="shared" si="17"/>
        <v/>
      </c>
      <c r="BD21" s="43" t="str">
        <f t="shared" si="18"/>
        <v/>
      </c>
      <c r="BE21" s="43" t="str">
        <f t="shared" si="19"/>
        <v/>
      </c>
      <c r="BF21" s="43" t="str">
        <f t="shared" si="20"/>
        <v/>
      </c>
      <c r="BG21" s="43" t="str">
        <f t="shared" si="21"/>
        <v/>
      </c>
      <c r="BH21" s="43" t="str">
        <f t="shared" si="22"/>
        <v/>
      </c>
      <c r="BI21" s="43" t="str">
        <f t="shared" si="23"/>
        <v/>
      </c>
      <c r="BJ21" s="43" t="str">
        <f t="shared" si="24"/>
        <v/>
      </c>
      <c r="BK21" s="43" t="str">
        <f t="shared" si="25"/>
        <v/>
      </c>
      <c r="BL21" s="43" t="str">
        <f t="shared" si="26"/>
        <v/>
      </c>
      <c r="BM21" s="43">
        <f t="shared" si="28"/>
        <v>0</v>
      </c>
      <c r="BO21" s="213" t="str">
        <f t="shared" si="29"/>
        <v/>
      </c>
      <c r="BP21" s="43"/>
    </row>
    <row r="22" spans="3:68" x14ac:dyDescent="0.25">
      <c r="C22" s="217" t="s">
        <v>932</v>
      </c>
      <c r="D22" s="208" t="s">
        <v>933</v>
      </c>
      <c r="E22" s="217"/>
      <c r="F22" s="217"/>
      <c r="G22" s="217"/>
      <c r="H22" s="217"/>
      <c r="I22" s="217"/>
      <c r="J22" s="217"/>
      <c r="K22" s="217"/>
      <c r="L22" s="217"/>
      <c r="M22" s="217"/>
      <c r="N22" s="217"/>
      <c r="O22" s="217"/>
      <c r="P22" s="218"/>
      <c r="Q22" s="217"/>
      <c r="R22" s="217">
        <v>1</v>
      </c>
      <c r="S22" s="217"/>
      <c r="T22" s="217"/>
      <c r="U22" s="217"/>
      <c r="V22" s="217"/>
      <c r="W22" s="217"/>
      <c r="X22" s="217"/>
      <c r="Y22" s="217"/>
      <c r="Z22" s="217"/>
      <c r="AA22" s="217"/>
      <c r="AB22" s="217"/>
      <c r="AC22" s="217"/>
      <c r="AD22" s="217"/>
      <c r="AE22" s="217"/>
      <c r="AF22" s="217"/>
      <c r="AG22" s="217"/>
      <c r="AH22" s="43" t="str">
        <f>Calc!D22</f>
        <v>Not Active</v>
      </c>
      <c r="AJ22" s="43" t="str">
        <f t="shared" si="0"/>
        <v/>
      </c>
      <c r="AK22" s="43" t="str">
        <f t="shared" si="27"/>
        <v/>
      </c>
      <c r="AL22" s="43" t="str">
        <f t="shared" si="1"/>
        <v/>
      </c>
      <c r="AM22" s="43" t="str">
        <f t="shared" si="2"/>
        <v/>
      </c>
      <c r="AN22" s="43" t="str">
        <f t="shared" si="3"/>
        <v/>
      </c>
      <c r="AO22" s="43" t="str">
        <f t="shared" si="4"/>
        <v/>
      </c>
      <c r="AP22" s="43" t="str">
        <f t="shared" si="5"/>
        <v/>
      </c>
      <c r="AQ22" s="43" t="str">
        <f t="shared" si="6"/>
        <v/>
      </c>
      <c r="AR22" s="43" t="str">
        <f t="shared" si="7"/>
        <v/>
      </c>
      <c r="AS22" s="43" t="str">
        <f t="shared" si="8"/>
        <v/>
      </c>
      <c r="AT22" s="43" t="str">
        <f t="shared" si="9"/>
        <v/>
      </c>
      <c r="AU22" s="43" t="str">
        <f t="shared" si="10"/>
        <v/>
      </c>
      <c r="AV22" s="230" t="str">
        <f t="shared" si="10"/>
        <v/>
      </c>
      <c r="AW22" s="43" t="str">
        <f t="shared" si="11"/>
        <v/>
      </c>
      <c r="AX22" s="43" t="str">
        <f t="shared" si="12"/>
        <v/>
      </c>
      <c r="AY22" s="43" t="str">
        <f t="shared" si="13"/>
        <v/>
      </c>
      <c r="AZ22" s="43" t="str">
        <f t="shared" si="14"/>
        <v/>
      </c>
      <c r="BA22" s="43" t="str">
        <f t="shared" si="15"/>
        <v/>
      </c>
      <c r="BB22" s="43" t="str">
        <f t="shared" si="16"/>
        <v/>
      </c>
      <c r="BC22" s="43" t="str">
        <f t="shared" si="17"/>
        <v/>
      </c>
      <c r="BD22" s="43" t="str">
        <f t="shared" si="18"/>
        <v/>
      </c>
      <c r="BE22" s="43" t="str">
        <f t="shared" si="19"/>
        <v/>
      </c>
      <c r="BF22" s="43" t="str">
        <f t="shared" si="20"/>
        <v/>
      </c>
      <c r="BG22" s="43" t="str">
        <f t="shared" si="21"/>
        <v/>
      </c>
      <c r="BH22" s="43" t="str">
        <f t="shared" si="22"/>
        <v/>
      </c>
      <c r="BI22" s="43" t="str">
        <f t="shared" si="23"/>
        <v/>
      </c>
      <c r="BJ22" s="43" t="str">
        <f t="shared" si="24"/>
        <v/>
      </c>
      <c r="BK22" s="43" t="str">
        <f t="shared" si="25"/>
        <v/>
      </c>
      <c r="BL22" s="43" t="str">
        <f t="shared" si="26"/>
        <v/>
      </c>
      <c r="BM22" s="43">
        <f t="shared" si="28"/>
        <v>0</v>
      </c>
      <c r="BO22" s="213" t="str">
        <f t="shared" si="29"/>
        <v/>
      </c>
      <c r="BP22" s="43"/>
    </row>
    <row r="23" spans="3:68" s="230" customFormat="1" x14ac:dyDescent="0.25">
      <c r="C23" s="217" t="s">
        <v>934</v>
      </c>
      <c r="D23" s="208" t="s">
        <v>931</v>
      </c>
      <c r="E23" s="217"/>
      <c r="F23" s="217"/>
      <c r="G23" s="217"/>
      <c r="H23" s="217"/>
      <c r="I23" s="217"/>
      <c r="J23" s="217"/>
      <c r="K23" s="217"/>
      <c r="L23" s="217"/>
      <c r="M23" s="217"/>
      <c r="N23" s="217"/>
      <c r="O23" s="217"/>
      <c r="P23" s="217"/>
      <c r="Q23" s="218"/>
      <c r="R23" s="217"/>
      <c r="S23" s="217"/>
      <c r="T23" s="217"/>
      <c r="U23" s="217"/>
      <c r="V23" s="217"/>
      <c r="W23" s="217"/>
      <c r="X23" s="217"/>
      <c r="Y23" s="217"/>
      <c r="Z23" s="217"/>
      <c r="AA23" s="217"/>
      <c r="AB23" s="217"/>
      <c r="AC23" s="217"/>
      <c r="AD23" s="217"/>
      <c r="AE23" s="217"/>
      <c r="AF23" s="217"/>
      <c r="AG23" s="217"/>
      <c r="AH23" s="230" t="str">
        <f>Calc!D23</f>
        <v>Not Active</v>
      </c>
      <c r="AJ23" s="230" t="str">
        <f t="shared" ref="AJ23" si="30">IF($AH23="Not Active","",IF($D23=AJ$10,"",IF(INDEX($AH$11:$AH$39,MATCH(AJ$10,$D$11:$D$39,0),1)="Not Active","",IF(E23="","",$D23&amp;"|"&amp;$C23 &amp; " conflicts with "&amp;AJ$10&amp;"|"&amp;AJ$8&amp;CHAR(10)))))</f>
        <v/>
      </c>
      <c r="AK23" s="230" t="str">
        <f t="shared" ref="AK23" si="31">IF($AH23="Not Active","",IF($D23=AK$10,"",IF(INDEX($AH$11:$AH$39,MATCH(AK$10,$D$11:$D$39,0),1)="Not Active","",IF(F23="","",$D23&amp;"|"&amp;$C23 &amp; " conflicts with "&amp;AK$10&amp;"|"&amp;AK$8&amp;CHAR(10)))))</f>
        <v/>
      </c>
      <c r="AL23" s="230" t="str">
        <f t="shared" ref="AL23" si="32">IF($AH23="Not Active","",IF($D23=AL$10,"",IF(INDEX($AH$11:$AH$39,MATCH(AL$10,$D$11:$D$39,0),1)="Not Active","",IF(G23="","",$D23&amp;"|"&amp;$C23 &amp; " conflicts with "&amp;AL$10&amp;"|"&amp;AL$8&amp;CHAR(10)))))</f>
        <v/>
      </c>
      <c r="AM23" s="230" t="str">
        <f t="shared" ref="AM23" si="33">IF($AH23="Not Active","",IF($D23=AM$10,"",IF(INDEX($AH$11:$AH$39,MATCH(AM$10,$D$11:$D$39,0),1)="Not Active","",IF(H23="","",$D23&amp;"|"&amp;$C23 &amp; " conflicts with "&amp;AM$10&amp;"|"&amp;AM$8&amp;CHAR(10)))))</f>
        <v/>
      </c>
      <c r="AN23" s="230" t="str">
        <f t="shared" ref="AN23" si="34">IF($AH23="Not Active","",IF($D23=AN$10,"",IF(INDEX($AH$11:$AH$39,MATCH(AN$10,$D$11:$D$39,0),1)="Not Active","",IF(I23="","",$D23&amp;"|"&amp;$C23 &amp; " conflicts with "&amp;AN$10&amp;"|"&amp;AN$8&amp;CHAR(10)))))</f>
        <v/>
      </c>
      <c r="AO23" s="230" t="str">
        <f t="shared" ref="AO23" si="35">IF($AH23="Not Active","",IF($D23=AO$10,"",IF(INDEX($AH$11:$AH$39,MATCH(AO$10,$D$11:$D$39,0),1)="Not Active","",IF(J23="","",$D23&amp;"|"&amp;$C23 &amp; " conflicts with "&amp;AO$10&amp;"|"&amp;AO$8&amp;CHAR(10)))))</f>
        <v/>
      </c>
      <c r="AP23" s="230" t="str">
        <f t="shared" ref="AP23" si="36">IF($AH23="Not Active","",IF($D23=AP$10,"",IF(INDEX($AH$11:$AH$39,MATCH(AP$10,$D$11:$D$39,0),1)="Not Active","",IF(K23="","",$D23&amp;"|"&amp;$C23 &amp; " conflicts with "&amp;AP$10&amp;"|"&amp;AP$8&amp;CHAR(10)))))</f>
        <v/>
      </c>
      <c r="AQ23" s="230" t="str">
        <f t="shared" ref="AQ23" si="37">IF($AH23="Not Active","",IF($D23=AQ$10,"",IF(INDEX($AH$11:$AH$39,MATCH(AQ$10,$D$11:$D$39,0),1)="Not Active","",IF(L23="","",$D23&amp;"|"&amp;$C23 &amp; " conflicts with "&amp;AQ$10&amp;"|"&amp;AQ$8&amp;CHAR(10)))))</f>
        <v/>
      </c>
      <c r="AR23" s="230" t="str">
        <f t="shared" ref="AR23" si="38">IF($AH23="Not Active","",IF($D23=AR$10,"",IF(INDEX($AH$11:$AH$39,MATCH(AR$10,$D$11:$D$39,0),1)="Not Active","",IF(M23="","",$D23&amp;"|"&amp;$C23 &amp; " conflicts with "&amp;AR$10&amp;"|"&amp;AR$8&amp;CHAR(10)))))</f>
        <v/>
      </c>
      <c r="AS23" s="230" t="str">
        <f t="shared" ref="AS23" si="39">IF($AH23="Not Active","",IF($D23=AS$10,"",IF(INDEX($AH$11:$AH$39,MATCH(AS$10,$D$11:$D$39,0),1)="Not Active","",IF(N23="","",$D23&amp;"|"&amp;$C23 &amp; " conflicts with "&amp;AS$10&amp;"|"&amp;AS$8&amp;CHAR(10)))))</f>
        <v/>
      </c>
      <c r="AT23" s="230" t="str">
        <f t="shared" ref="AT23" si="40">IF($AH23="Not Active","",IF($D23=AT$10,"",IF(INDEX($AH$11:$AH$39,MATCH(AT$10,$D$11:$D$39,0),1)="Not Active","",IF(O23="","",$D23&amp;"|"&amp;$C23 &amp; " conflicts with "&amp;AT$10&amp;"|"&amp;AT$8&amp;CHAR(10)))))</f>
        <v/>
      </c>
      <c r="AU23" s="230" t="str">
        <f t="shared" ref="AU23" si="41">IF($AH23="Not Active","",IF($D23=AU$10,"",IF(INDEX($AH$11:$AH$39,MATCH(AU$10,$D$11:$D$39,0),1)="Not Active","",IF(P23="","",$D23&amp;"|"&amp;$C23 &amp; " conflicts with "&amp;AU$10&amp;"|"&amp;AU$8&amp;CHAR(10)))))</f>
        <v/>
      </c>
      <c r="AV23" s="230" t="str">
        <f t="shared" ref="AV23" si="42">IF($AH23="Not Active","",IF($D23=AV$10,"",IF(INDEX($AH$11:$AH$39,MATCH(AV$10,$D$11:$D$39,0),1)="Not Active","",IF(Q23="","",$D23&amp;"|"&amp;$C23 &amp; " conflicts with "&amp;AV$10&amp;"|"&amp;AV$8&amp;CHAR(10)))))</f>
        <v/>
      </c>
      <c r="AW23" s="230" t="str">
        <f t="shared" ref="AW23" si="43">IF($AH23="Not Active","",IF($D23=AW$10,"",IF(INDEX($AH$11:$AH$39,MATCH(AW$10,$D$11:$D$39,0),1)="Not Active","",IF(R23="","",$D23&amp;"|"&amp;$C23 &amp; " conflicts with "&amp;AW$10&amp;"|"&amp;AW$8&amp;CHAR(10)))))</f>
        <v/>
      </c>
      <c r="AX23" s="230" t="str">
        <f t="shared" ref="AX23" si="44">IF($AH23="Not Active","",IF($D23=AX$10,"",IF(INDEX($AH$11:$AH$39,MATCH(AX$10,$D$11:$D$39,0),1)="Not Active","",IF(S23="","",$D23&amp;"|"&amp;$C23 &amp; " conflicts with "&amp;AX$10&amp;"|"&amp;AX$8&amp;CHAR(10)))))</f>
        <v/>
      </c>
      <c r="AY23" s="230" t="str">
        <f t="shared" ref="AY23" si="45">IF($AH23="Not Active","",IF($D23=AY$10,"",IF(INDEX($AH$11:$AH$39,MATCH(AY$10,$D$11:$D$39,0),1)="Not Active","",IF(T23="","",$D23&amp;"|"&amp;$C23 &amp; " conflicts with "&amp;AY$10&amp;"|"&amp;AY$8&amp;CHAR(10)))))</f>
        <v/>
      </c>
      <c r="AZ23" s="230" t="str">
        <f t="shared" ref="AZ23" si="46">IF($AH23="Not Active","",IF($D23=AZ$10,"",IF(INDEX($AH$11:$AH$39,MATCH(AZ$10,$D$11:$D$39,0),1)="Not Active","",IF(U23="","",$D23&amp;"|"&amp;$C23 &amp; " conflicts with "&amp;AZ$10&amp;"|"&amp;AZ$8&amp;CHAR(10)))))</f>
        <v/>
      </c>
      <c r="BA23" s="230" t="str">
        <f t="shared" ref="BA23" si="47">IF($AH23="Not Active","",IF($D23=BA$10,"",IF(INDEX($AH$11:$AH$39,MATCH(BA$10,$D$11:$D$39,0),1)="Not Active","",IF(V23="","",$D23&amp;"|"&amp;$C23 &amp; " conflicts with "&amp;BA$10&amp;"|"&amp;BA$8&amp;CHAR(10)))))</f>
        <v/>
      </c>
      <c r="BB23" s="230" t="str">
        <f t="shared" ref="BB23" si="48">IF($AH23="Not Active","",IF($D23=BB$10,"",IF(INDEX($AH$11:$AH$39,MATCH(BB$10,$D$11:$D$39,0),1)="Not Active","",IF(W23="","",$D23&amp;"|"&amp;$C23 &amp; " conflicts with "&amp;BB$10&amp;"|"&amp;BB$8&amp;CHAR(10)))))</f>
        <v/>
      </c>
      <c r="BC23" s="230" t="str">
        <f t="shared" ref="BC23" si="49">IF($AH23="Not Active","",IF($D23=BC$10,"",IF(INDEX($AH$11:$AH$39,MATCH(BC$10,$D$11:$D$39,0),1)="Not Active","",IF(X23="","",$D23&amp;"|"&amp;$C23 &amp; " conflicts with "&amp;BC$10&amp;"|"&amp;BC$8&amp;CHAR(10)))))</f>
        <v/>
      </c>
      <c r="BD23" s="230" t="str">
        <f t="shared" ref="BD23" si="50">IF($AH23="Not Active","",IF($D23=BD$10,"",IF(INDEX($AH$11:$AH$39,MATCH(BD$10,$D$11:$D$39,0),1)="Not Active","",IF(Y23="","",$D23&amp;"|"&amp;$C23 &amp; " conflicts with "&amp;BD$10&amp;"|"&amp;BD$8&amp;CHAR(10)))))</f>
        <v/>
      </c>
      <c r="BE23" s="230" t="str">
        <f t="shared" ref="BE23" si="51">IF($AH23="Not Active","",IF($D23=BE$10,"",IF(INDEX($AH$11:$AH$39,MATCH(BE$10,$D$11:$D$39,0),1)="Not Active","",IF(Z23="","",$D23&amp;"|"&amp;$C23 &amp; " conflicts with "&amp;BE$10&amp;"|"&amp;BE$8&amp;CHAR(10)))))</f>
        <v/>
      </c>
      <c r="BF23" s="230" t="str">
        <f t="shared" ref="BF23" si="52">IF($AH23="Not Active","",IF($D23=BF$10,"",IF(INDEX($AH$11:$AH$39,MATCH(BF$10,$D$11:$D$39,0),1)="Not Active","",IF(AA23="","",$D23&amp;"|"&amp;$C23 &amp; " conflicts with "&amp;BF$10&amp;"|"&amp;BF$8&amp;CHAR(10)))))</f>
        <v/>
      </c>
      <c r="BG23" s="230" t="str">
        <f t="shared" ref="BG23" si="53">IF($AH23="Not Active","",IF($D23=BG$10,"",IF(INDEX($AH$11:$AH$39,MATCH(BG$10,$D$11:$D$39,0),1)="Not Active","",IF(AB23="","",$D23&amp;"|"&amp;$C23 &amp; " conflicts with "&amp;BG$10&amp;"|"&amp;BG$8&amp;CHAR(10)))))</f>
        <v/>
      </c>
      <c r="BH23" s="230" t="str">
        <f t="shared" ref="BH23" si="54">IF($AH23="Not Active","",IF($D23=BH$10,"",IF(INDEX($AH$11:$AH$39,MATCH(BH$10,$D$11:$D$39,0),1)="Not Active","",IF(AC23="","",$D23&amp;"|"&amp;$C23 &amp; " conflicts with "&amp;BH$10&amp;"|"&amp;BH$8&amp;CHAR(10)))))</f>
        <v/>
      </c>
      <c r="BI23" s="230" t="str">
        <f t="shared" ref="BI23" si="55">IF($AH23="Not Active","",IF($D23=BI$10,"",IF(INDEX($AH$11:$AH$39,MATCH(BI$10,$D$11:$D$39,0),1)="Not Active","",IF(AD23="","",$D23&amp;"|"&amp;$C23 &amp; " conflicts with "&amp;BI$10&amp;"|"&amp;BI$8&amp;CHAR(10)))))</f>
        <v/>
      </c>
      <c r="BJ23" s="230" t="str">
        <f t="shared" ref="BJ23" si="56">IF($AH23="Not Active","",IF($D23=BJ$10,"",IF(INDEX($AH$11:$AH$39,MATCH(BJ$10,$D$11:$D$39,0),1)="Not Active","",IF(AE23="","",$D23&amp;"|"&amp;$C23 &amp; " conflicts with "&amp;BJ$10&amp;"|"&amp;BJ$8&amp;CHAR(10)))))</f>
        <v/>
      </c>
      <c r="BK23" s="230" t="str">
        <f t="shared" ref="BK23" si="57">IF($AH23="Not Active","",IF($D23=BK$10,"",IF(INDEX($AH$11:$AH$39,MATCH(BK$10,$D$11:$D$39,0),1)="Not Active","",IF(AF23="","",$D23&amp;"|"&amp;$C23 &amp; " conflicts with "&amp;BK$10&amp;"|"&amp;BK$8&amp;CHAR(10)))))</f>
        <v/>
      </c>
      <c r="BL23" s="230" t="str">
        <f t="shared" ref="BL23" si="58">IF($AH23="Not Active","",IF($D23=BL$10,"",IF(INDEX($AH$11:$AH$39,MATCH(BL$10,$D$11:$D$39,0),1)="Not Active","",IF(AG23="","",$D23&amp;"|"&amp;$C23 &amp; " conflicts with "&amp;BL$10&amp;"|"&amp;BL$8&amp;CHAR(10)))))</f>
        <v/>
      </c>
      <c r="BM23" s="230">
        <f t="shared" si="28"/>
        <v>0</v>
      </c>
      <c r="BO23" s="250" t="str">
        <f t="shared" si="29"/>
        <v/>
      </c>
    </row>
    <row r="24" spans="3:68" x14ac:dyDescent="0.25">
      <c r="C24" s="217" t="s">
        <v>124</v>
      </c>
      <c r="D24" s="208" t="s">
        <v>28</v>
      </c>
      <c r="E24" s="217"/>
      <c r="F24" s="217"/>
      <c r="G24" s="217"/>
      <c r="H24" s="217"/>
      <c r="I24" s="217"/>
      <c r="J24" s="217"/>
      <c r="K24" s="217"/>
      <c r="L24" s="217"/>
      <c r="M24" s="217"/>
      <c r="N24" s="217"/>
      <c r="O24" s="217"/>
      <c r="P24" s="217">
        <v>1</v>
      </c>
      <c r="Q24" s="217"/>
      <c r="R24" s="218"/>
      <c r="S24" s="217"/>
      <c r="T24" s="217"/>
      <c r="U24" s="217"/>
      <c r="V24" s="217"/>
      <c r="W24" s="217"/>
      <c r="X24" s="217"/>
      <c r="Y24" s="217"/>
      <c r="Z24" s="217"/>
      <c r="AA24" s="217"/>
      <c r="AB24" s="217"/>
      <c r="AC24" s="217"/>
      <c r="AD24" s="217"/>
      <c r="AE24" s="217"/>
      <c r="AF24" s="217"/>
      <c r="AG24" s="217"/>
      <c r="AH24" s="43" t="str">
        <f>Calc!D24</f>
        <v>Not Active</v>
      </c>
      <c r="AJ24" s="43" t="str">
        <f t="shared" si="0"/>
        <v/>
      </c>
      <c r="AK24" s="43" t="str">
        <f t="shared" si="27"/>
        <v/>
      </c>
      <c r="AL24" s="43" t="str">
        <f t="shared" si="1"/>
        <v/>
      </c>
      <c r="AM24" s="43" t="str">
        <f t="shared" si="2"/>
        <v/>
      </c>
      <c r="AN24" s="43" t="str">
        <f t="shared" si="3"/>
        <v/>
      </c>
      <c r="AO24" s="43" t="str">
        <f t="shared" si="4"/>
        <v/>
      </c>
      <c r="AP24" s="43" t="str">
        <f t="shared" si="5"/>
        <v/>
      </c>
      <c r="AQ24" s="43" t="str">
        <f t="shared" si="6"/>
        <v/>
      </c>
      <c r="AR24" s="43" t="str">
        <f t="shared" si="7"/>
        <v/>
      </c>
      <c r="AS24" s="43" t="str">
        <f t="shared" si="8"/>
        <v/>
      </c>
      <c r="AT24" s="43" t="str">
        <f t="shared" si="9"/>
        <v/>
      </c>
      <c r="AU24" s="43" t="str">
        <f t="shared" si="10"/>
        <v/>
      </c>
      <c r="AV24" s="230" t="str">
        <f t="shared" si="10"/>
        <v/>
      </c>
      <c r="AW24" s="43" t="str">
        <f t="shared" si="11"/>
        <v/>
      </c>
      <c r="AX24" s="43" t="str">
        <f t="shared" si="12"/>
        <v/>
      </c>
      <c r="AY24" s="43" t="str">
        <f t="shared" si="13"/>
        <v/>
      </c>
      <c r="AZ24" s="43" t="str">
        <f t="shared" si="14"/>
        <v/>
      </c>
      <c r="BA24" s="43" t="str">
        <f t="shared" si="15"/>
        <v/>
      </c>
      <c r="BB24" s="43" t="str">
        <f t="shared" si="16"/>
        <v/>
      </c>
      <c r="BC24" s="43" t="str">
        <f t="shared" si="17"/>
        <v/>
      </c>
      <c r="BD24" s="43" t="str">
        <f t="shared" si="18"/>
        <v/>
      </c>
      <c r="BE24" s="43" t="str">
        <f t="shared" si="19"/>
        <v/>
      </c>
      <c r="BF24" s="43" t="str">
        <f t="shared" si="20"/>
        <v/>
      </c>
      <c r="BG24" s="43" t="str">
        <f t="shared" si="21"/>
        <v/>
      </c>
      <c r="BH24" s="43" t="str">
        <f t="shared" si="22"/>
        <v/>
      </c>
      <c r="BI24" s="43" t="str">
        <f t="shared" si="23"/>
        <v/>
      </c>
      <c r="BJ24" s="43" t="str">
        <f t="shared" si="24"/>
        <v/>
      </c>
      <c r="BK24" s="43" t="str">
        <f t="shared" si="25"/>
        <v/>
      </c>
      <c r="BL24" s="43" t="str">
        <f t="shared" si="26"/>
        <v/>
      </c>
      <c r="BM24" s="43">
        <f t="shared" si="28"/>
        <v>0</v>
      </c>
      <c r="BO24" s="213" t="str">
        <f t="shared" si="29"/>
        <v/>
      </c>
      <c r="BP24" s="43"/>
    </row>
    <row r="25" spans="3:68" x14ac:dyDescent="0.25">
      <c r="C25" s="217" t="s">
        <v>438</v>
      </c>
      <c r="D25" s="208" t="s">
        <v>572</v>
      </c>
      <c r="E25" s="217"/>
      <c r="F25" s="217"/>
      <c r="G25" s="217"/>
      <c r="H25" s="217"/>
      <c r="I25" s="217"/>
      <c r="J25" s="217"/>
      <c r="K25" s="217"/>
      <c r="L25" s="217"/>
      <c r="M25" s="217"/>
      <c r="N25" s="217"/>
      <c r="O25" s="217"/>
      <c r="P25" s="217"/>
      <c r="Q25" s="217"/>
      <c r="R25" s="217"/>
      <c r="S25" s="218"/>
      <c r="T25" s="217"/>
      <c r="U25" s="217"/>
      <c r="V25" s="217"/>
      <c r="W25" s="217"/>
      <c r="X25" s="217"/>
      <c r="Y25" s="217"/>
      <c r="Z25" s="217"/>
      <c r="AA25" s="217"/>
      <c r="AB25" s="217"/>
      <c r="AC25" s="217"/>
      <c r="AD25" s="217"/>
      <c r="AE25" s="217"/>
      <c r="AF25" s="217"/>
      <c r="AG25" s="217"/>
      <c r="AH25" s="43" t="str">
        <f>Calc!D25</f>
        <v>Not Active</v>
      </c>
      <c r="AJ25" s="43" t="str">
        <f t="shared" si="0"/>
        <v/>
      </c>
      <c r="AK25" s="43" t="str">
        <f t="shared" si="27"/>
        <v/>
      </c>
      <c r="AL25" s="43" t="str">
        <f t="shared" si="1"/>
        <v/>
      </c>
      <c r="AM25" s="43" t="str">
        <f t="shared" si="2"/>
        <v/>
      </c>
      <c r="AN25" s="43" t="str">
        <f t="shared" si="3"/>
        <v/>
      </c>
      <c r="AO25" s="43" t="str">
        <f t="shared" si="4"/>
        <v/>
      </c>
      <c r="AP25" s="43" t="str">
        <f t="shared" si="5"/>
        <v/>
      </c>
      <c r="AQ25" s="43" t="str">
        <f t="shared" si="6"/>
        <v/>
      </c>
      <c r="AR25" s="43" t="str">
        <f t="shared" si="7"/>
        <v/>
      </c>
      <c r="AS25" s="43" t="str">
        <f t="shared" si="8"/>
        <v/>
      </c>
      <c r="AT25" s="43" t="str">
        <f t="shared" si="9"/>
        <v/>
      </c>
      <c r="AU25" s="43" t="str">
        <f t="shared" si="10"/>
        <v/>
      </c>
      <c r="AV25" s="230" t="str">
        <f t="shared" si="10"/>
        <v/>
      </c>
      <c r="AW25" s="43" t="str">
        <f t="shared" si="11"/>
        <v/>
      </c>
      <c r="AX25" s="43" t="str">
        <f t="shared" si="12"/>
        <v/>
      </c>
      <c r="AY25" s="43" t="str">
        <f t="shared" si="13"/>
        <v/>
      </c>
      <c r="AZ25" s="43" t="str">
        <f t="shared" si="14"/>
        <v/>
      </c>
      <c r="BA25" s="43" t="str">
        <f t="shared" si="15"/>
        <v/>
      </c>
      <c r="BB25" s="43" t="str">
        <f t="shared" si="16"/>
        <v/>
      </c>
      <c r="BC25" s="43" t="str">
        <f t="shared" si="17"/>
        <v/>
      </c>
      <c r="BD25" s="43" t="str">
        <f t="shared" si="18"/>
        <v/>
      </c>
      <c r="BE25" s="43" t="str">
        <f t="shared" si="19"/>
        <v/>
      </c>
      <c r="BF25" s="43" t="str">
        <f t="shared" si="20"/>
        <v/>
      </c>
      <c r="BG25" s="43" t="str">
        <f t="shared" si="21"/>
        <v/>
      </c>
      <c r="BH25" s="43" t="str">
        <f t="shared" si="22"/>
        <v/>
      </c>
      <c r="BI25" s="43" t="str">
        <f t="shared" si="23"/>
        <v/>
      </c>
      <c r="BJ25" s="43" t="str">
        <f t="shared" si="24"/>
        <v/>
      </c>
      <c r="BK25" s="43" t="str">
        <f t="shared" si="25"/>
        <v/>
      </c>
      <c r="BL25" s="43" t="str">
        <f t="shared" si="26"/>
        <v/>
      </c>
      <c r="BM25" s="43">
        <f t="shared" si="28"/>
        <v>0</v>
      </c>
      <c r="BO25" s="213" t="str">
        <f t="shared" si="29"/>
        <v/>
      </c>
      <c r="BP25" s="43"/>
    </row>
    <row r="26" spans="3:68" x14ac:dyDescent="0.25">
      <c r="C26" s="217" t="s">
        <v>125</v>
      </c>
      <c r="D26" s="208" t="s">
        <v>29</v>
      </c>
      <c r="E26" s="217"/>
      <c r="F26" s="217"/>
      <c r="G26" s="217"/>
      <c r="H26" s="217"/>
      <c r="I26" s="217"/>
      <c r="J26" s="217"/>
      <c r="K26" s="217"/>
      <c r="L26" s="217"/>
      <c r="M26" s="217"/>
      <c r="N26" s="217"/>
      <c r="O26" s="217"/>
      <c r="P26" s="217"/>
      <c r="Q26" s="217"/>
      <c r="R26" s="217"/>
      <c r="S26" s="217"/>
      <c r="T26" s="218"/>
      <c r="U26" s="217"/>
      <c r="V26" s="217"/>
      <c r="W26" s="217"/>
      <c r="X26" s="217"/>
      <c r="Y26" s="217"/>
      <c r="Z26" s="217"/>
      <c r="AA26" s="217"/>
      <c r="AB26" s="217"/>
      <c r="AC26" s="217"/>
      <c r="AD26" s="217"/>
      <c r="AE26" s="217"/>
      <c r="AF26" s="217"/>
      <c r="AG26" s="217"/>
      <c r="AH26" s="43" t="str">
        <f>Calc!D27</f>
        <v>Not Active</v>
      </c>
      <c r="AJ26" s="43" t="str">
        <f t="shared" si="0"/>
        <v/>
      </c>
      <c r="AK26" s="43" t="str">
        <f t="shared" si="27"/>
        <v/>
      </c>
      <c r="AL26" s="43" t="str">
        <f t="shared" si="1"/>
        <v/>
      </c>
      <c r="AM26" s="43" t="str">
        <f t="shared" si="2"/>
        <v/>
      </c>
      <c r="AN26" s="43" t="str">
        <f t="shared" si="3"/>
        <v/>
      </c>
      <c r="AO26" s="43" t="str">
        <f t="shared" si="4"/>
        <v/>
      </c>
      <c r="AP26" s="43" t="str">
        <f t="shared" si="5"/>
        <v/>
      </c>
      <c r="AQ26" s="43" t="str">
        <f t="shared" si="6"/>
        <v/>
      </c>
      <c r="AR26" s="43" t="str">
        <f t="shared" si="7"/>
        <v/>
      </c>
      <c r="AS26" s="43" t="str">
        <f t="shared" si="8"/>
        <v/>
      </c>
      <c r="AT26" s="43" t="str">
        <f t="shared" si="9"/>
        <v/>
      </c>
      <c r="AU26" s="43" t="str">
        <f t="shared" si="10"/>
        <v/>
      </c>
      <c r="AV26" s="230" t="str">
        <f t="shared" si="10"/>
        <v/>
      </c>
      <c r="AW26" s="43" t="str">
        <f t="shared" si="11"/>
        <v/>
      </c>
      <c r="AX26" s="43" t="str">
        <f t="shared" si="12"/>
        <v/>
      </c>
      <c r="AY26" s="43" t="str">
        <f t="shared" si="13"/>
        <v/>
      </c>
      <c r="AZ26" s="43" t="str">
        <f t="shared" si="14"/>
        <v/>
      </c>
      <c r="BA26" s="43" t="str">
        <f t="shared" si="15"/>
        <v/>
      </c>
      <c r="BB26" s="43" t="str">
        <f t="shared" si="16"/>
        <v/>
      </c>
      <c r="BC26" s="43" t="str">
        <f t="shared" si="17"/>
        <v/>
      </c>
      <c r="BD26" s="43" t="str">
        <f t="shared" si="18"/>
        <v/>
      </c>
      <c r="BE26" s="43" t="str">
        <f t="shared" si="19"/>
        <v/>
      </c>
      <c r="BF26" s="43" t="str">
        <f t="shared" si="20"/>
        <v/>
      </c>
      <c r="BG26" s="43" t="str">
        <f t="shared" si="21"/>
        <v/>
      </c>
      <c r="BH26" s="43" t="str">
        <f t="shared" si="22"/>
        <v/>
      </c>
      <c r="BI26" s="43" t="str">
        <f t="shared" si="23"/>
        <v/>
      </c>
      <c r="BJ26" s="43" t="str">
        <f t="shared" si="24"/>
        <v/>
      </c>
      <c r="BK26" s="43" t="str">
        <f t="shared" si="25"/>
        <v/>
      </c>
      <c r="BL26" s="43" t="str">
        <f t="shared" si="26"/>
        <v/>
      </c>
      <c r="BM26" s="43">
        <f t="shared" si="28"/>
        <v>0</v>
      </c>
      <c r="BO26" s="213" t="str">
        <f t="shared" si="29"/>
        <v/>
      </c>
      <c r="BP26" s="43"/>
    </row>
    <row r="27" spans="3:68" x14ac:dyDescent="0.25">
      <c r="C27" s="217" t="s">
        <v>126</v>
      </c>
      <c r="D27" s="208" t="s">
        <v>30</v>
      </c>
      <c r="E27" s="217"/>
      <c r="F27" s="217"/>
      <c r="G27" s="217"/>
      <c r="H27" s="217"/>
      <c r="I27" s="217"/>
      <c r="J27" s="217"/>
      <c r="K27" s="217"/>
      <c r="L27" s="217"/>
      <c r="M27" s="217"/>
      <c r="N27" s="217"/>
      <c r="O27" s="217"/>
      <c r="P27" s="217"/>
      <c r="Q27" s="217"/>
      <c r="R27" s="217"/>
      <c r="S27" s="217"/>
      <c r="T27" s="217"/>
      <c r="U27" s="218"/>
      <c r="V27" s="217"/>
      <c r="W27" s="217"/>
      <c r="X27" s="217"/>
      <c r="Y27" s="217"/>
      <c r="Z27" s="217"/>
      <c r="AA27" s="217"/>
      <c r="AB27" s="217"/>
      <c r="AC27" s="217"/>
      <c r="AD27" s="217"/>
      <c r="AE27" s="217"/>
      <c r="AF27" s="217"/>
      <c r="AG27" s="217"/>
      <c r="AH27" s="43" t="str">
        <f>Calc!D28</f>
        <v>Not Active</v>
      </c>
      <c r="AJ27" s="43" t="str">
        <f t="shared" si="0"/>
        <v/>
      </c>
      <c r="AK27" s="43" t="str">
        <f t="shared" si="27"/>
        <v/>
      </c>
      <c r="AL27" s="43" t="str">
        <f t="shared" si="1"/>
        <v/>
      </c>
      <c r="AM27" s="43" t="str">
        <f t="shared" si="2"/>
        <v/>
      </c>
      <c r="AN27" s="43" t="str">
        <f t="shared" si="3"/>
        <v/>
      </c>
      <c r="AO27" s="43" t="str">
        <f t="shared" si="4"/>
        <v/>
      </c>
      <c r="AP27" s="43" t="str">
        <f t="shared" si="5"/>
        <v/>
      </c>
      <c r="AQ27" s="43" t="str">
        <f t="shared" si="6"/>
        <v/>
      </c>
      <c r="AR27" s="43" t="str">
        <f t="shared" si="7"/>
        <v/>
      </c>
      <c r="AS27" s="43" t="str">
        <f t="shared" si="8"/>
        <v/>
      </c>
      <c r="AT27" s="43" t="str">
        <f t="shared" si="9"/>
        <v/>
      </c>
      <c r="AU27" s="43" t="str">
        <f t="shared" si="10"/>
        <v/>
      </c>
      <c r="AV27" s="230" t="str">
        <f t="shared" si="10"/>
        <v/>
      </c>
      <c r="AW27" s="43" t="str">
        <f t="shared" si="11"/>
        <v/>
      </c>
      <c r="AX27" s="43" t="str">
        <f t="shared" si="12"/>
        <v/>
      </c>
      <c r="AY27" s="43" t="str">
        <f t="shared" si="13"/>
        <v/>
      </c>
      <c r="AZ27" s="43" t="str">
        <f t="shared" si="14"/>
        <v/>
      </c>
      <c r="BA27" s="43" t="str">
        <f t="shared" si="15"/>
        <v/>
      </c>
      <c r="BB27" s="43" t="str">
        <f t="shared" si="16"/>
        <v/>
      </c>
      <c r="BC27" s="43" t="str">
        <f t="shared" si="17"/>
        <v/>
      </c>
      <c r="BD27" s="43" t="str">
        <f t="shared" si="18"/>
        <v/>
      </c>
      <c r="BE27" s="43" t="str">
        <f t="shared" si="19"/>
        <v/>
      </c>
      <c r="BF27" s="43" t="str">
        <f t="shared" si="20"/>
        <v/>
      </c>
      <c r="BG27" s="43" t="str">
        <f t="shared" si="21"/>
        <v/>
      </c>
      <c r="BH27" s="43" t="str">
        <f t="shared" si="22"/>
        <v/>
      </c>
      <c r="BI27" s="43" t="str">
        <f t="shared" si="23"/>
        <v/>
      </c>
      <c r="BJ27" s="43" t="str">
        <f t="shared" si="24"/>
        <v/>
      </c>
      <c r="BK27" s="43" t="str">
        <f t="shared" si="25"/>
        <v/>
      </c>
      <c r="BL27" s="43" t="str">
        <f t="shared" si="26"/>
        <v/>
      </c>
      <c r="BM27" s="43">
        <f t="shared" si="28"/>
        <v>0</v>
      </c>
      <c r="BO27" s="213" t="str">
        <f t="shared" si="29"/>
        <v/>
      </c>
      <c r="BP27" s="43"/>
    </row>
    <row r="28" spans="3:68" x14ac:dyDescent="0.25">
      <c r="C28" s="217" t="s">
        <v>127</v>
      </c>
      <c r="D28" s="208" t="s">
        <v>31</v>
      </c>
      <c r="E28" s="217"/>
      <c r="F28" s="217"/>
      <c r="G28" s="217"/>
      <c r="H28" s="217"/>
      <c r="I28" s="217"/>
      <c r="J28" s="217"/>
      <c r="K28" s="217"/>
      <c r="L28" s="217"/>
      <c r="M28" s="217"/>
      <c r="N28" s="217"/>
      <c r="O28" s="217"/>
      <c r="P28" s="217"/>
      <c r="Q28" s="217"/>
      <c r="R28" s="217"/>
      <c r="S28" s="217"/>
      <c r="T28" s="217"/>
      <c r="U28" s="217"/>
      <c r="V28" s="218"/>
      <c r="W28" s="217"/>
      <c r="X28" s="217"/>
      <c r="Y28" s="217"/>
      <c r="Z28" s="217"/>
      <c r="AA28" s="217"/>
      <c r="AB28" s="217"/>
      <c r="AC28" s="217"/>
      <c r="AD28" s="217"/>
      <c r="AE28" s="217"/>
      <c r="AF28" s="217"/>
      <c r="AG28" s="217"/>
      <c r="AH28" s="43" t="str">
        <f>Calc!D29</f>
        <v>Not Active</v>
      </c>
      <c r="AJ28" s="43" t="str">
        <f t="shared" si="0"/>
        <v/>
      </c>
      <c r="AK28" s="43" t="str">
        <f t="shared" si="27"/>
        <v/>
      </c>
      <c r="AL28" s="43" t="str">
        <f t="shared" si="1"/>
        <v/>
      </c>
      <c r="AM28" s="43" t="str">
        <f t="shared" si="2"/>
        <v/>
      </c>
      <c r="AN28" s="43" t="str">
        <f t="shared" si="3"/>
        <v/>
      </c>
      <c r="AO28" s="43" t="str">
        <f t="shared" si="4"/>
        <v/>
      </c>
      <c r="AP28" s="43" t="str">
        <f t="shared" si="5"/>
        <v/>
      </c>
      <c r="AQ28" s="43" t="str">
        <f t="shared" si="6"/>
        <v/>
      </c>
      <c r="AR28" s="43" t="str">
        <f t="shared" si="7"/>
        <v/>
      </c>
      <c r="AS28" s="43" t="str">
        <f t="shared" si="8"/>
        <v/>
      </c>
      <c r="AT28" s="43" t="str">
        <f t="shared" si="9"/>
        <v/>
      </c>
      <c r="AU28" s="43" t="str">
        <f t="shared" si="10"/>
        <v/>
      </c>
      <c r="AV28" s="230" t="str">
        <f t="shared" si="10"/>
        <v/>
      </c>
      <c r="AW28" s="43" t="str">
        <f t="shared" si="11"/>
        <v/>
      </c>
      <c r="AX28" s="43" t="str">
        <f t="shared" si="12"/>
        <v/>
      </c>
      <c r="AY28" s="43" t="str">
        <f t="shared" si="13"/>
        <v/>
      </c>
      <c r="AZ28" s="43" t="str">
        <f t="shared" si="14"/>
        <v/>
      </c>
      <c r="BA28" s="43" t="str">
        <f t="shared" si="15"/>
        <v/>
      </c>
      <c r="BB28" s="43" t="str">
        <f t="shared" si="16"/>
        <v/>
      </c>
      <c r="BC28" s="43" t="str">
        <f t="shared" si="17"/>
        <v/>
      </c>
      <c r="BD28" s="43" t="str">
        <f t="shared" si="18"/>
        <v/>
      </c>
      <c r="BE28" s="43" t="str">
        <f t="shared" si="19"/>
        <v/>
      </c>
      <c r="BF28" s="43" t="str">
        <f t="shared" si="20"/>
        <v/>
      </c>
      <c r="BG28" s="43" t="str">
        <f t="shared" si="21"/>
        <v/>
      </c>
      <c r="BH28" s="43" t="str">
        <f t="shared" si="22"/>
        <v/>
      </c>
      <c r="BI28" s="43" t="str">
        <f t="shared" si="23"/>
        <v/>
      </c>
      <c r="BJ28" s="43" t="str">
        <f t="shared" si="24"/>
        <v/>
      </c>
      <c r="BK28" s="43" t="str">
        <f t="shared" si="25"/>
        <v/>
      </c>
      <c r="BL28" s="43" t="str">
        <f t="shared" si="26"/>
        <v/>
      </c>
      <c r="BM28" s="43">
        <f t="shared" si="28"/>
        <v>0</v>
      </c>
      <c r="BO28" s="213" t="str">
        <f t="shared" si="29"/>
        <v/>
      </c>
      <c r="BP28" s="43"/>
    </row>
    <row r="29" spans="3:68" x14ac:dyDescent="0.25">
      <c r="C29" s="217" t="s">
        <v>128</v>
      </c>
      <c r="D29" s="208" t="s">
        <v>32</v>
      </c>
      <c r="E29" s="217"/>
      <c r="F29" s="217"/>
      <c r="G29" s="217"/>
      <c r="H29" s="217"/>
      <c r="I29" s="217"/>
      <c r="J29" s="217"/>
      <c r="K29" s="217"/>
      <c r="L29" s="217"/>
      <c r="M29" s="217"/>
      <c r="N29" s="217"/>
      <c r="O29" s="217"/>
      <c r="P29" s="217"/>
      <c r="Q29" s="217"/>
      <c r="R29" s="217"/>
      <c r="S29" s="217"/>
      <c r="T29" s="217"/>
      <c r="U29" s="217"/>
      <c r="V29" s="217"/>
      <c r="W29" s="218"/>
      <c r="X29" s="217"/>
      <c r="Y29" s="217"/>
      <c r="Z29" s="217"/>
      <c r="AA29" s="217"/>
      <c r="AB29" s="217"/>
      <c r="AC29" s="217"/>
      <c r="AD29" s="217"/>
      <c r="AE29" s="217"/>
      <c r="AF29" s="217"/>
      <c r="AG29" s="217"/>
      <c r="AH29" s="43" t="str">
        <f>Calc!D30</f>
        <v>Not Active</v>
      </c>
      <c r="AJ29" s="43" t="str">
        <f t="shared" si="0"/>
        <v/>
      </c>
      <c r="AK29" s="43" t="str">
        <f t="shared" si="27"/>
        <v/>
      </c>
      <c r="AL29" s="43" t="str">
        <f t="shared" si="1"/>
        <v/>
      </c>
      <c r="AM29" s="43" t="str">
        <f t="shared" si="2"/>
        <v/>
      </c>
      <c r="AN29" s="43" t="str">
        <f t="shared" si="3"/>
        <v/>
      </c>
      <c r="AO29" s="43" t="str">
        <f t="shared" si="4"/>
        <v/>
      </c>
      <c r="AP29" s="43" t="str">
        <f t="shared" si="5"/>
        <v/>
      </c>
      <c r="AQ29" s="43" t="str">
        <f t="shared" si="6"/>
        <v/>
      </c>
      <c r="AR29" s="43" t="str">
        <f t="shared" si="7"/>
        <v/>
      </c>
      <c r="AS29" s="43" t="str">
        <f t="shared" si="8"/>
        <v/>
      </c>
      <c r="AT29" s="43" t="str">
        <f t="shared" si="9"/>
        <v/>
      </c>
      <c r="AU29" s="43" t="str">
        <f t="shared" si="10"/>
        <v/>
      </c>
      <c r="AV29" s="230" t="str">
        <f t="shared" si="10"/>
        <v/>
      </c>
      <c r="AW29" s="43" t="str">
        <f t="shared" si="11"/>
        <v/>
      </c>
      <c r="AX29" s="43" t="str">
        <f t="shared" si="12"/>
        <v/>
      </c>
      <c r="AY29" s="43" t="str">
        <f t="shared" si="13"/>
        <v/>
      </c>
      <c r="AZ29" s="43" t="str">
        <f t="shared" si="14"/>
        <v/>
      </c>
      <c r="BA29" s="43" t="str">
        <f t="shared" si="15"/>
        <v/>
      </c>
      <c r="BB29" s="43" t="str">
        <f t="shared" si="16"/>
        <v/>
      </c>
      <c r="BC29" s="43" t="str">
        <f t="shared" si="17"/>
        <v/>
      </c>
      <c r="BD29" s="43" t="str">
        <f t="shared" si="18"/>
        <v/>
      </c>
      <c r="BE29" s="43" t="str">
        <f t="shared" si="19"/>
        <v/>
      </c>
      <c r="BF29" s="43" t="str">
        <f t="shared" si="20"/>
        <v/>
      </c>
      <c r="BG29" s="43" t="str">
        <f t="shared" si="21"/>
        <v/>
      </c>
      <c r="BH29" s="43" t="str">
        <f t="shared" si="22"/>
        <v/>
      </c>
      <c r="BI29" s="43" t="str">
        <f t="shared" si="23"/>
        <v/>
      </c>
      <c r="BJ29" s="43" t="str">
        <f t="shared" si="24"/>
        <v/>
      </c>
      <c r="BK29" s="43" t="str">
        <f t="shared" si="25"/>
        <v/>
      </c>
      <c r="BL29" s="43" t="str">
        <f t="shared" si="26"/>
        <v/>
      </c>
      <c r="BM29" s="43">
        <f t="shared" si="28"/>
        <v>0</v>
      </c>
      <c r="BO29" s="213" t="str">
        <f t="shared" si="29"/>
        <v/>
      </c>
      <c r="BP29" s="43"/>
    </row>
    <row r="30" spans="3:68" x14ac:dyDescent="0.25">
      <c r="C30" s="217" t="s">
        <v>129</v>
      </c>
      <c r="D30" s="208" t="s">
        <v>43</v>
      </c>
      <c r="E30" s="217"/>
      <c r="F30" s="217"/>
      <c r="G30" s="217"/>
      <c r="H30" s="217"/>
      <c r="I30" s="217"/>
      <c r="J30" s="217"/>
      <c r="K30" s="217"/>
      <c r="L30" s="217"/>
      <c r="M30" s="217"/>
      <c r="N30" s="217"/>
      <c r="O30" s="217"/>
      <c r="P30" s="217"/>
      <c r="Q30" s="217"/>
      <c r="R30" s="217"/>
      <c r="S30" s="217"/>
      <c r="T30" s="217"/>
      <c r="U30" s="217"/>
      <c r="V30" s="217"/>
      <c r="W30" s="217"/>
      <c r="X30" s="218"/>
      <c r="Y30" s="217"/>
      <c r="Z30" s="217"/>
      <c r="AA30" s="217"/>
      <c r="AB30" s="217"/>
      <c r="AC30" s="217"/>
      <c r="AD30" s="217"/>
      <c r="AE30" s="217"/>
      <c r="AF30" s="217"/>
      <c r="AG30" s="217"/>
      <c r="AH30" s="43" t="str">
        <f>Calc!D31</f>
        <v>Not Active</v>
      </c>
      <c r="AJ30" s="43" t="str">
        <f t="shared" si="0"/>
        <v/>
      </c>
      <c r="AK30" s="43" t="str">
        <f t="shared" si="27"/>
        <v/>
      </c>
      <c r="AL30" s="43" t="str">
        <f t="shared" si="1"/>
        <v/>
      </c>
      <c r="AM30" s="43" t="str">
        <f t="shared" si="2"/>
        <v/>
      </c>
      <c r="AN30" s="43" t="str">
        <f t="shared" si="3"/>
        <v/>
      </c>
      <c r="AO30" s="43" t="str">
        <f t="shared" si="4"/>
        <v/>
      </c>
      <c r="AP30" s="43" t="str">
        <f t="shared" si="5"/>
        <v/>
      </c>
      <c r="AQ30" s="43" t="str">
        <f t="shared" si="6"/>
        <v/>
      </c>
      <c r="AR30" s="43" t="str">
        <f t="shared" si="7"/>
        <v/>
      </c>
      <c r="AS30" s="43" t="str">
        <f t="shared" si="8"/>
        <v/>
      </c>
      <c r="AT30" s="43" t="str">
        <f t="shared" si="9"/>
        <v/>
      </c>
      <c r="AU30" s="43" t="str">
        <f t="shared" si="10"/>
        <v/>
      </c>
      <c r="AV30" s="230" t="str">
        <f t="shared" si="10"/>
        <v/>
      </c>
      <c r="AW30" s="43" t="str">
        <f t="shared" si="11"/>
        <v/>
      </c>
      <c r="AX30" s="43" t="str">
        <f t="shared" si="12"/>
        <v/>
      </c>
      <c r="AY30" s="43" t="str">
        <f t="shared" si="13"/>
        <v/>
      </c>
      <c r="AZ30" s="43" t="str">
        <f t="shared" si="14"/>
        <v/>
      </c>
      <c r="BA30" s="43" t="str">
        <f t="shared" si="15"/>
        <v/>
      </c>
      <c r="BB30" s="43" t="str">
        <f t="shared" si="16"/>
        <v/>
      </c>
      <c r="BC30" s="43" t="str">
        <f t="shared" si="17"/>
        <v/>
      </c>
      <c r="BD30" s="43" t="str">
        <f t="shared" si="18"/>
        <v/>
      </c>
      <c r="BE30" s="43" t="str">
        <f t="shared" si="19"/>
        <v/>
      </c>
      <c r="BF30" s="43" t="str">
        <f t="shared" si="20"/>
        <v/>
      </c>
      <c r="BG30" s="43" t="str">
        <f t="shared" si="21"/>
        <v/>
      </c>
      <c r="BH30" s="43" t="str">
        <f t="shared" si="22"/>
        <v/>
      </c>
      <c r="BI30" s="43" t="str">
        <f t="shared" si="23"/>
        <v/>
      </c>
      <c r="BJ30" s="43" t="str">
        <f t="shared" si="24"/>
        <v/>
      </c>
      <c r="BK30" s="43" t="str">
        <f t="shared" si="25"/>
        <v/>
      </c>
      <c r="BL30" s="43" t="str">
        <f t="shared" si="26"/>
        <v/>
      </c>
      <c r="BM30" s="43">
        <f t="shared" si="28"/>
        <v>0</v>
      </c>
      <c r="BO30" s="213" t="str">
        <f t="shared" si="29"/>
        <v/>
      </c>
      <c r="BP30" s="43"/>
    </row>
    <row r="31" spans="3:68" x14ac:dyDescent="0.25">
      <c r="C31" s="217" t="s">
        <v>130</v>
      </c>
      <c r="D31" s="208" t="s">
        <v>44</v>
      </c>
      <c r="E31" s="217"/>
      <c r="F31" s="217"/>
      <c r="G31" s="217"/>
      <c r="H31" s="217"/>
      <c r="I31" s="217"/>
      <c r="J31" s="217"/>
      <c r="K31" s="217"/>
      <c r="L31" s="217"/>
      <c r="M31" s="217"/>
      <c r="N31" s="217"/>
      <c r="O31" s="217"/>
      <c r="P31" s="217"/>
      <c r="Q31" s="217"/>
      <c r="R31" s="217"/>
      <c r="S31" s="217"/>
      <c r="T31" s="217"/>
      <c r="U31" s="217"/>
      <c r="V31" s="217"/>
      <c r="W31" s="217"/>
      <c r="X31" s="217"/>
      <c r="Y31" s="218"/>
      <c r="Z31" s="217"/>
      <c r="AA31" s="217"/>
      <c r="AB31" s="217"/>
      <c r="AC31" s="217"/>
      <c r="AD31" s="217"/>
      <c r="AE31" s="217"/>
      <c r="AF31" s="217"/>
      <c r="AG31" s="217"/>
      <c r="AH31" s="43" t="str">
        <f>Calc!D32</f>
        <v>Not Active</v>
      </c>
      <c r="AJ31" s="43" t="str">
        <f t="shared" si="0"/>
        <v/>
      </c>
      <c r="AK31" s="43" t="str">
        <f t="shared" si="27"/>
        <v/>
      </c>
      <c r="AL31" s="43" t="str">
        <f t="shared" si="1"/>
        <v/>
      </c>
      <c r="AM31" s="43" t="str">
        <f t="shared" si="2"/>
        <v/>
      </c>
      <c r="AN31" s="43" t="str">
        <f t="shared" si="3"/>
        <v/>
      </c>
      <c r="AO31" s="43" t="str">
        <f t="shared" si="4"/>
        <v/>
      </c>
      <c r="AP31" s="43" t="str">
        <f t="shared" si="5"/>
        <v/>
      </c>
      <c r="AQ31" s="43" t="str">
        <f t="shared" si="6"/>
        <v/>
      </c>
      <c r="AR31" s="43" t="str">
        <f t="shared" si="7"/>
        <v/>
      </c>
      <c r="AS31" s="43" t="str">
        <f t="shared" si="8"/>
        <v/>
      </c>
      <c r="AT31" s="43" t="str">
        <f t="shared" si="9"/>
        <v/>
      </c>
      <c r="AU31" s="43" t="str">
        <f t="shared" si="10"/>
        <v/>
      </c>
      <c r="AV31" s="230" t="str">
        <f t="shared" si="10"/>
        <v/>
      </c>
      <c r="AW31" s="43" t="str">
        <f t="shared" si="11"/>
        <v/>
      </c>
      <c r="AX31" s="43" t="str">
        <f t="shared" si="12"/>
        <v/>
      </c>
      <c r="AY31" s="43" t="str">
        <f t="shared" si="13"/>
        <v/>
      </c>
      <c r="AZ31" s="43" t="str">
        <f t="shared" si="14"/>
        <v/>
      </c>
      <c r="BA31" s="43" t="str">
        <f t="shared" si="15"/>
        <v/>
      </c>
      <c r="BB31" s="43" t="str">
        <f t="shared" si="16"/>
        <v/>
      </c>
      <c r="BC31" s="43" t="str">
        <f t="shared" si="17"/>
        <v/>
      </c>
      <c r="BD31" s="43" t="str">
        <f t="shared" si="18"/>
        <v/>
      </c>
      <c r="BE31" s="43" t="str">
        <f t="shared" si="19"/>
        <v/>
      </c>
      <c r="BF31" s="43" t="str">
        <f t="shared" si="20"/>
        <v/>
      </c>
      <c r="BG31" s="43" t="str">
        <f t="shared" si="21"/>
        <v/>
      </c>
      <c r="BH31" s="43" t="str">
        <f t="shared" si="22"/>
        <v/>
      </c>
      <c r="BI31" s="43" t="str">
        <f t="shared" si="23"/>
        <v/>
      </c>
      <c r="BJ31" s="43" t="str">
        <f t="shared" si="24"/>
        <v/>
      </c>
      <c r="BK31" s="43" t="str">
        <f t="shared" si="25"/>
        <v/>
      </c>
      <c r="BL31" s="43" t="str">
        <f t="shared" si="26"/>
        <v/>
      </c>
      <c r="BM31" s="43">
        <f t="shared" si="28"/>
        <v>0</v>
      </c>
      <c r="BO31" s="213" t="str">
        <f t="shared" si="29"/>
        <v/>
      </c>
      <c r="BP31" s="43"/>
    </row>
    <row r="32" spans="3:68" x14ac:dyDescent="0.25">
      <c r="C32" s="217" t="s">
        <v>131</v>
      </c>
      <c r="D32" s="208" t="s">
        <v>45</v>
      </c>
      <c r="E32" s="217"/>
      <c r="F32" s="217"/>
      <c r="G32" s="217"/>
      <c r="H32" s="217"/>
      <c r="I32" s="217"/>
      <c r="J32" s="217"/>
      <c r="K32" s="217"/>
      <c r="L32" s="217"/>
      <c r="M32" s="217"/>
      <c r="N32" s="217"/>
      <c r="O32" s="217"/>
      <c r="P32" s="217"/>
      <c r="Q32" s="217"/>
      <c r="R32" s="217"/>
      <c r="S32" s="217"/>
      <c r="T32" s="217"/>
      <c r="U32" s="217"/>
      <c r="V32" s="217"/>
      <c r="W32" s="217"/>
      <c r="X32" s="217"/>
      <c r="Y32" s="217"/>
      <c r="Z32" s="218"/>
      <c r="AA32" s="217"/>
      <c r="AB32" s="217"/>
      <c r="AC32" s="217"/>
      <c r="AD32" s="217"/>
      <c r="AE32" s="217"/>
      <c r="AF32" s="217"/>
      <c r="AG32" s="217"/>
      <c r="AH32" s="43" t="str">
        <f>Calc!D33</f>
        <v>Not Active</v>
      </c>
      <c r="AJ32" s="43" t="str">
        <f t="shared" si="0"/>
        <v/>
      </c>
      <c r="AK32" s="43" t="str">
        <f t="shared" si="27"/>
        <v/>
      </c>
      <c r="AL32" s="43" t="str">
        <f t="shared" si="1"/>
        <v/>
      </c>
      <c r="AM32" s="43" t="str">
        <f t="shared" si="2"/>
        <v/>
      </c>
      <c r="AN32" s="43" t="str">
        <f t="shared" si="3"/>
        <v/>
      </c>
      <c r="AO32" s="43" t="str">
        <f t="shared" si="4"/>
        <v/>
      </c>
      <c r="AP32" s="43" t="str">
        <f t="shared" si="5"/>
        <v/>
      </c>
      <c r="AQ32" s="43" t="str">
        <f t="shared" si="6"/>
        <v/>
      </c>
      <c r="AR32" s="43" t="str">
        <f t="shared" si="7"/>
        <v/>
      </c>
      <c r="AS32" s="43" t="str">
        <f t="shared" si="8"/>
        <v/>
      </c>
      <c r="AT32" s="43" t="str">
        <f t="shared" si="9"/>
        <v/>
      </c>
      <c r="AU32" s="43" t="str">
        <f t="shared" si="10"/>
        <v/>
      </c>
      <c r="AV32" s="230" t="str">
        <f t="shared" si="10"/>
        <v/>
      </c>
      <c r="AW32" s="43" t="str">
        <f t="shared" si="11"/>
        <v/>
      </c>
      <c r="AX32" s="43" t="str">
        <f t="shared" si="12"/>
        <v/>
      </c>
      <c r="AY32" s="43" t="str">
        <f t="shared" si="13"/>
        <v/>
      </c>
      <c r="AZ32" s="43" t="str">
        <f t="shared" si="14"/>
        <v/>
      </c>
      <c r="BA32" s="43" t="str">
        <f t="shared" si="15"/>
        <v/>
      </c>
      <c r="BB32" s="43" t="str">
        <f t="shared" si="16"/>
        <v/>
      </c>
      <c r="BC32" s="43" t="str">
        <f t="shared" si="17"/>
        <v/>
      </c>
      <c r="BD32" s="43" t="str">
        <f t="shared" si="18"/>
        <v/>
      </c>
      <c r="BE32" s="43" t="str">
        <f t="shared" si="19"/>
        <v/>
      </c>
      <c r="BF32" s="43" t="str">
        <f t="shared" si="20"/>
        <v/>
      </c>
      <c r="BG32" s="43" t="str">
        <f t="shared" si="21"/>
        <v/>
      </c>
      <c r="BH32" s="43" t="str">
        <f t="shared" si="22"/>
        <v/>
      </c>
      <c r="BI32" s="43" t="str">
        <f t="shared" si="23"/>
        <v/>
      </c>
      <c r="BJ32" s="43" t="str">
        <f t="shared" si="24"/>
        <v/>
      </c>
      <c r="BK32" s="43" t="str">
        <f t="shared" si="25"/>
        <v/>
      </c>
      <c r="BL32" s="43" t="str">
        <f t="shared" si="26"/>
        <v/>
      </c>
      <c r="BM32" s="43">
        <f t="shared" si="28"/>
        <v>0</v>
      </c>
      <c r="BO32" s="213" t="str">
        <f t="shared" si="29"/>
        <v/>
      </c>
      <c r="BP32" s="43"/>
    </row>
    <row r="33" spans="3:68" x14ac:dyDescent="0.25">
      <c r="C33" s="217" t="s">
        <v>475</v>
      </c>
      <c r="D33" s="208" t="s">
        <v>576</v>
      </c>
      <c r="E33" s="217"/>
      <c r="F33" s="217"/>
      <c r="G33" s="217"/>
      <c r="H33" s="217"/>
      <c r="I33" s="217"/>
      <c r="J33" s="217"/>
      <c r="K33" s="217"/>
      <c r="L33" s="217"/>
      <c r="M33" s="217"/>
      <c r="N33" s="217"/>
      <c r="O33" s="217"/>
      <c r="P33" s="217"/>
      <c r="Q33" s="217"/>
      <c r="R33" s="217"/>
      <c r="S33" s="217"/>
      <c r="T33" s="217"/>
      <c r="U33" s="217"/>
      <c r="V33" s="217"/>
      <c r="W33" s="217"/>
      <c r="X33" s="217"/>
      <c r="Y33" s="217"/>
      <c r="Z33" s="217"/>
      <c r="AA33" s="218"/>
      <c r="AB33" s="217"/>
      <c r="AC33" s="217"/>
      <c r="AD33" s="217"/>
      <c r="AE33" s="217"/>
      <c r="AF33" s="217"/>
      <c r="AG33" s="217"/>
      <c r="AH33" s="43" t="str">
        <f>Calc!D34</f>
        <v>Not Active</v>
      </c>
      <c r="AJ33" s="43" t="str">
        <f t="shared" si="0"/>
        <v/>
      </c>
      <c r="AK33" s="43" t="str">
        <f t="shared" si="27"/>
        <v/>
      </c>
      <c r="AL33" s="43" t="str">
        <f t="shared" si="1"/>
        <v/>
      </c>
      <c r="AM33" s="43" t="str">
        <f t="shared" si="2"/>
        <v/>
      </c>
      <c r="AN33" s="43" t="str">
        <f t="shared" si="3"/>
        <v/>
      </c>
      <c r="AO33" s="43" t="str">
        <f t="shared" si="4"/>
        <v/>
      </c>
      <c r="AP33" s="43" t="str">
        <f t="shared" si="5"/>
        <v/>
      </c>
      <c r="AQ33" s="43" t="str">
        <f t="shared" si="6"/>
        <v/>
      </c>
      <c r="AR33" s="43" t="str">
        <f t="shared" si="7"/>
        <v/>
      </c>
      <c r="AS33" s="43" t="str">
        <f t="shared" si="8"/>
        <v/>
      </c>
      <c r="AT33" s="43" t="str">
        <f t="shared" si="9"/>
        <v/>
      </c>
      <c r="AU33" s="43" t="str">
        <f t="shared" si="10"/>
        <v/>
      </c>
      <c r="AV33" s="230" t="str">
        <f t="shared" si="10"/>
        <v/>
      </c>
      <c r="AW33" s="43" t="str">
        <f t="shared" si="11"/>
        <v/>
      </c>
      <c r="AX33" s="43" t="str">
        <f t="shared" si="12"/>
        <v/>
      </c>
      <c r="AY33" s="43" t="str">
        <f t="shared" si="13"/>
        <v/>
      </c>
      <c r="AZ33" s="43" t="str">
        <f t="shared" si="14"/>
        <v/>
      </c>
      <c r="BA33" s="43" t="str">
        <f t="shared" si="15"/>
        <v/>
      </c>
      <c r="BB33" s="43" t="str">
        <f t="shared" si="16"/>
        <v/>
      </c>
      <c r="BC33" s="43" t="str">
        <f t="shared" si="17"/>
        <v/>
      </c>
      <c r="BD33" s="43" t="str">
        <f t="shared" si="18"/>
        <v/>
      </c>
      <c r="BE33" s="43" t="str">
        <f t="shared" si="19"/>
        <v/>
      </c>
      <c r="BF33" s="43" t="str">
        <f t="shared" si="20"/>
        <v/>
      </c>
      <c r="BG33" s="43" t="str">
        <f t="shared" si="21"/>
        <v/>
      </c>
      <c r="BH33" s="43" t="str">
        <f t="shared" si="22"/>
        <v/>
      </c>
      <c r="BI33" s="43" t="str">
        <f t="shared" si="23"/>
        <v/>
      </c>
      <c r="BJ33" s="43" t="str">
        <f t="shared" si="24"/>
        <v/>
      </c>
      <c r="BK33" s="43" t="str">
        <f t="shared" si="25"/>
        <v/>
      </c>
      <c r="BL33" s="43" t="str">
        <f t="shared" si="26"/>
        <v/>
      </c>
      <c r="BM33" s="43">
        <f t="shared" si="28"/>
        <v>0</v>
      </c>
      <c r="BO33" s="213" t="str">
        <f t="shared" si="29"/>
        <v/>
      </c>
      <c r="BP33" s="43"/>
    </row>
    <row r="34" spans="3:68" x14ac:dyDescent="0.25">
      <c r="C34" s="217" t="s">
        <v>464</v>
      </c>
      <c r="D34" s="208" t="s">
        <v>886</v>
      </c>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8"/>
      <c r="AC34" s="217"/>
      <c r="AD34" s="217"/>
      <c r="AE34" s="217"/>
      <c r="AF34" s="217"/>
      <c r="AG34" s="217"/>
      <c r="AH34" s="43" t="str">
        <f>Calc!D26</f>
        <v>Not Active</v>
      </c>
      <c r="AJ34" s="43" t="str">
        <f t="shared" si="0"/>
        <v/>
      </c>
      <c r="AK34" s="43" t="str">
        <f t="shared" si="27"/>
        <v/>
      </c>
      <c r="AL34" s="43" t="str">
        <f t="shared" si="1"/>
        <v/>
      </c>
      <c r="AM34" s="43" t="str">
        <f t="shared" si="2"/>
        <v/>
      </c>
      <c r="AN34" s="43" t="str">
        <f t="shared" si="3"/>
        <v/>
      </c>
      <c r="AO34" s="43" t="str">
        <f t="shared" si="4"/>
        <v/>
      </c>
      <c r="AP34" s="43" t="str">
        <f t="shared" si="5"/>
        <v/>
      </c>
      <c r="AQ34" s="43" t="str">
        <f t="shared" si="6"/>
        <v/>
      </c>
      <c r="AR34" s="43" t="str">
        <f t="shared" si="7"/>
        <v/>
      </c>
      <c r="AS34" s="43" t="str">
        <f t="shared" si="8"/>
        <v/>
      </c>
      <c r="AT34" s="43" t="str">
        <f t="shared" si="9"/>
        <v/>
      </c>
      <c r="AU34" s="43" t="str">
        <f t="shared" si="10"/>
        <v/>
      </c>
      <c r="AV34" s="230" t="str">
        <f t="shared" si="10"/>
        <v/>
      </c>
      <c r="AW34" s="43" t="str">
        <f t="shared" si="11"/>
        <v/>
      </c>
      <c r="AX34" s="43" t="str">
        <f t="shared" si="12"/>
        <v/>
      </c>
      <c r="AY34" s="43" t="str">
        <f t="shared" si="13"/>
        <v/>
      </c>
      <c r="AZ34" s="43" t="str">
        <f t="shared" si="14"/>
        <v/>
      </c>
      <c r="BA34" s="43" t="str">
        <f t="shared" si="15"/>
        <v/>
      </c>
      <c r="BB34" s="43" t="str">
        <f t="shared" si="16"/>
        <v/>
      </c>
      <c r="BC34" s="43" t="str">
        <f t="shared" si="17"/>
        <v/>
      </c>
      <c r="BD34" s="43" t="str">
        <f t="shared" si="18"/>
        <v/>
      </c>
      <c r="BE34" s="43" t="str">
        <f t="shared" si="19"/>
        <v/>
      </c>
      <c r="BF34" s="43" t="str">
        <f t="shared" si="20"/>
        <v/>
      </c>
      <c r="BG34" s="43" t="str">
        <f t="shared" si="21"/>
        <v/>
      </c>
      <c r="BH34" s="43" t="str">
        <f t="shared" si="22"/>
        <v/>
      </c>
      <c r="BI34" s="43" t="str">
        <f t="shared" si="23"/>
        <v/>
      </c>
      <c r="BJ34" s="43" t="str">
        <f t="shared" si="24"/>
        <v/>
      </c>
      <c r="BK34" s="43" t="str">
        <f t="shared" si="25"/>
        <v/>
      </c>
      <c r="BL34" s="43" t="str">
        <f t="shared" si="26"/>
        <v/>
      </c>
      <c r="BM34" s="43">
        <f t="shared" si="28"/>
        <v>0</v>
      </c>
      <c r="BO34" s="213" t="str">
        <f t="shared" si="29"/>
        <v/>
      </c>
      <c r="BP34" s="43"/>
    </row>
    <row r="35" spans="3:68" x14ac:dyDescent="0.25">
      <c r="C35" s="217" t="s">
        <v>133</v>
      </c>
      <c r="D35" s="208" t="s">
        <v>33</v>
      </c>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8"/>
      <c r="AD35" s="217"/>
      <c r="AE35" s="217"/>
      <c r="AF35" s="217"/>
      <c r="AG35" s="217"/>
      <c r="AH35" s="43" t="str">
        <f>Calc!D35</f>
        <v>Not Active</v>
      </c>
      <c r="AJ35" s="43" t="str">
        <f t="shared" si="0"/>
        <v/>
      </c>
      <c r="AK35" s="43" t="str">
        <f t="shared" si="27"/>
        <v/>
      </c>
      <c r="AL35" s="43" t="str">
        <f t="shared" si="1"/>
        <v/>
      </c>
      <c r="AM35" s="43" t="str">
        <f t="shared" si="2"/>
        <v/>
      </c>
      <c r="AN35" s="43" t="str">
        <f t="shared" si="3"/>
        <v/>
      </c>
      <c r="AO35" s="43" t="str">
        <f t="shared" si="4"/>
        <v/>
      </c>
      <c r="AP35" s="43" t="str">
        <f t="shared" si="5"/>
        <v/>
      </c>
      <c r="AQ35" s="43" t="str">
        <f t="shared" si="6"/>
        <v/>
      </c>
      <c r="AR35" s="43" t="str">
        <f t="shared" si="7"/>
        <v/>
      </c>
      <c r="AS35" s="43" t="str">
        <f t="shared" si="8"/>
        <v/>
      </c>
      <c r="AT35" s="43" t="str">
        <f t="shared" si="9"/>
        <v/>
      </c>
      <c r="AU35" s="43" t="str">
        <f t="shared" si="10"/>
        <v/>
      </c>
      <c r="AV35" s="230" t="str">
        <f t="shared" si="10"/>
        <v/>
      </c>
      <c r="AW35" s="43" t="str">
        <f t="shared" si="11"/>
        <v/>
      </c>
      <c r="AX35" s="43" t="str">
        <f t="shared" si="12"/>
        <v/>
      </c>
      <c r="AY35" s="43" t="str">
        <f t="shared" si="13"/>
        <v/>
      </c>
      <c r="AZ35" s="43" t="str">
        <f t="shared" si="14"/>
        <v/>
      </c>
      <c r="BA35" s="43" t="str">
        <f t="shared" si="15"/>
        <v/>
      </c>
      <c r="BB35" s="43" t="str">
        <f t="shared" si="16"/>
        <v/>
      </c>
      <c r="BC35" s="43" t="str">
        <f t="shared" si="17"/>
        <v/>
      </c>
      <c r="BD35" s="43" t="str">
        <f t="shared" si="18"/>
        <v/>
      </c>
      <c r="BE35" s="43" t="str">
        <f t="shared" si="19"/>
        <v/>
      </c>
      <c r="BF35" s="43" t="str">
        <f t="shared" si="20"/>
        <v/>
      </c>
      <c r="BG35" s="43" t="str">
        <f t="shared" si="21"/>
        <v/>
      </c>
      <c r="BH35" s="43" t="str">
        <f t="shared" si="22"/>
        <v/>
      </c>
      <c r="BI35" s="43" t="str">
        <f t="shared" si="23"/>
        <v/>
      </c>
      <c r="BJ35" s="43" t="str">
        <f t="shared" si="24"/>
        <v/>
      </c>
      <c r="BK35" s="43" t="str">
        <f t="shared" si="25"/>
        <v/>
      </c>
      <c r="BL35" s="43" t="str">
        <f t="shared" si="26"/>
        <v/>
      </c>
      <c r="BM35" s="43">
        <f t="shared" si="28"/>
        <v>0</v>
      </c>
      <c r="BO35" s="213" t="str">
        <f t="shared" si="29"/>
        <v/>
      </c>
      <c r="BP35" s="43"/>
    </row>
    <row r="36" spans="3:68" x14ac:dyDescent="0.25">
      <c r="C36" s="217" t="s">
        <v>134</v>
      </c>
      <c r="D36" s="208" t="s">
        <v>34</v>
      </c>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8"/>
      <c r="AE36" s="217"/>
      <c r="AF36" s="217"/>
      <c r="AG36" s="217"/>
      <c r="AH36" s="43" t="str">
        <f>Calc!D36</f>
        <v>Not Active</v>
      </c>
      <c r="AJ36" s="43" t="str">
        <f t="shared" si="0"/>
        <v/>
      </c>
      <c r="AK36" s="43" t="str">
        <f t="shared" si="27"/>
        <v/>
      </c>
      <c r="AL36" s="43" t="str">
        <f t="shared" si="1"/>
        <v/>
      </c>
      <c r="AM36" s="43" t="str">
        <f t="shared" si="2"/>
        <v/>
      </c>
      <c r="AN36" s="43" t="str">
        <f t="shared" si="3"/>
        <v/>
      </c>
      <c r="AO36" s="43" t="str">
        <f t="shared" si="4"/>
        <v/>
      </c>
      <c r="AP36" s="43" t="str">
        <f t="shared" si="5"/>
        <v/>
      </c>
      <c r="AQ36" s="43" t="str">
        <f t="shared" si="6"/>
        <v/>
      </c>
      <c r="AR36" s="43" t="str">
        <f t="shared" si="7"/>
        <v/>
      </c>
      <c r="AS36" s="43" t="str">
        <f t="shared" si="8"/>
        <v/>
      </c>
      <c r="AT36" s="43" t="str">
        <f t="shared" si="9"/>
        <v/>
      </c>
      <c r="AU36" s="43" t="str">
        <f t="shared" si="10"/>
        <v/>
      </c>
      <c r="AV36" s="230" t="str">
        <f t="shared" si="10"/>
        <v/>
      </c>
      <c r="AW36" s="43" t="str">
        <f t="shared" si="11"/>
        <v/>
      </c>
      <c r="AX36" s="43" t="str">
        <f t="shared" si="12"/>
        <v/>
      </c>
      <c r="AY36" s="43" t="str">
        <f t="shared" si="13"/>
        <v/>
      </c>
      <c r="AZ36" s="43" t="str">
        <f t="shared" si="14"/>
        <v/>
      </c>
      <c r="BA36" s="43" t="str">
        <f t="shared" si="15"/>
        <v/>
      </c>
      <c r="BB36" s="43" t="str">
        <f t="shared" si="16"/>
        <v/>
      </c>
      <c r="BC36" s="43" t="str">
        <f t="shared" si="17"/>
        <v/>
      </c>
      <c r="BD36" s="43" t="str">
        <f t="shared" si="18"/>
        <v/>
      </c>
      <c r="BE36" s="43" t="str">
        <f t="shared" si="19"/>
        <v/>
      </c>
      <c r="BF36" s="43" t="str">
        <f t="shared" si="20"/>
        <v/>
      </c>
      <c r="BG36" s="43" t="str">
        <f t="shared" si="21"/>
        <v/>
      </c>
      <c r="BH36" s="43" t="str">
        <f t="shared" si="22"/>
        <v/>
      </c>
      <c r="BI36" s="43" t="str">
        <f t="shared" si="23"/>
        <v/>
      </c>
      <c r="BJ36" s="43" t="str">
        <f t="shared" si="24"/>
        <v/>
      </c>
      <c r="BK36" s="43" t="str">
        <f t="shared" si="25"/>
        <v/>
      </c>
      <c r="BL36" s="43" t="str">
        <f t="shared" si="26"/>
        <v/>
      </c>
      <c r="BM36" s="43">
        <f t="shared" si="28"/>
        <v>0</v>
      </c>
      <c r="BO36" s="213" t="str">
        <f t="shared" si="29"/>
        <v/>
      </c>
      <c r="BP36" s="43"/>
    </row>
    <row r="37" spans="3:68" x14ac:dyDescent="0.25">
      <c r="C37" s="217" t="s">
        <v>135</v>
      </c>
      <c r="D37" s="208" t="s">
        <v>35</v>
      </c>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8"/>
      <c r="AF37" s="217"/>
      <c r="AG37" s="217"/>
      <c r="AH37" s="43" t="str">
        <f>Calc!D37</f>
        <v>Not Active</v>
      </c>
      <c r="AJ37" s="43" t="str">
        <f t="shared" si="0"/>
        <v/>
      </c>
      <c r="AK37" s="43" t="str">
        <f t="shared" si="27"/>
        <v/>
      </c>
      <c r="AL37" s="43" t="str">
        <f t="shared" si="1"/>
        <v/>
      </c>
      <c r="AM37" s="43" t="str">
        <f t="shared" si="2"/>
        <v/>
      </c>
      <c r="AN37" s="43" t="str">
        <f t="shared" si="3"/>
        <v/>
      </c>
      <c r="AO37" s="43" t="str">
        <f t="shared" si="4"/>
        <v/>
      </c>
      <c r="AP37" s="43" t="str">
        <f t="shared" si="5"/>
        <v/>
      </c>
      <c r="AQ37" s="43" t="str">
        <f t="shared" si="6"/>
        <v/>
      </c>
      <c r="AR37" s="43" t="str">
        <f t="shared" si="7"/>
        <v/>
      </c>
      <c r="AS37" s="43" t="str">
        <f t="shared" si="8"/>
        <v/>
      </c>
      <c r="AT37" s="43" t="str">
        <f t="shared" si="9"/>
        <v/>
      </c>
      <c r="AU37" s="43" t="str">
        <f t="shared" si="10"/>
        <v/>
      </c>
      <c r="AV37" s="230" t="str">
        <f t="shared" si="10"/>
        <v/>
      </c>
      <c r="AW37" s="43" t="str">
        <f t="shared" si="11"/>
        <v/>
      </c>
      <c r="AX37" s="43" t="str">
        <f t="shared" si="12"/>
        <v/>
      </c>
      <c r="AY37" s="43" t="str">
        <f t="shared" si="13"/>
        <v/>
      </c>
      <c r="AZ37" s="43" t="str">
        <f t="shared" si="14"/>
        <v/>
      </c>
      <c r="BA37" s="43" t="str">
        <f t="shared" si="15"/>
        <v/>
      </c>
      <c r="BB37" s="43" t="str">
        <f t="shared" si="16"/>
        <v/>
      </c>
      <c r="BC37" s="43" t="str">
        <f t="shared" si="17"/>
        <v/>
      </c>
      <c r="BD37" s="43" t="str">
        <f t="shared" si="18"/>
        <v/>
      </c>
      <c r="BE37" s="43" t="str">
        <f t="shared" si="19"/>
        <v/>
      </c>
      <c r="BF37" s="43" t="str">
        <f t="shared" si="20"/>
        <v/>
      </c>
      <c r="BG37" s="43" t="str">
        <f t="shared" si="21"/>
        <v/>
      </c>
      <c r="BH37" s="43" t="str">
        <f t="shared" si="22"/>
        <v/>
      </c>
      <c r="BI37" s="43" t="str">
        <f t="shared" si="23"/>
        <v/>
      </c>
      <c r="BJ37" s="43" t="str">
        <f t="shared" si="24"/>
        <v/>
      </c>
      <c r="BK37" s="43" t="str">
        <f t="shared" si="25"/>
        <v/>
      </c>
      <c r="BL37" s="43" t="str">
        <f t="shared" si="26"/>
        <v/>
      </c>
      <c r="BM37" s="43">
        <f t="shared" si="28"/>
        <v>0</v>
      </c>
      <c r="BO37" s="213" t="str">
        <f t="shared" si="29"/>
        <v/>
      </c>
      <c r="BP37" s="43"/>
    </row>
    <row r="38" spans="3:68" x14ac:dyDescent="0.25">
      <c r="C38" s="217" t="s">
        <v>136</v>
      </c>
      <c r="D38" s="208" t="s">
        <v>36</v>
      </c>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8"/>
      <c r="AG38" s="217"/>
      <c r="AH38" s="43" t="str">
        <f>Calc!D38</f>
        <v>Not Active</v>
      </c>
      <c r="AJ38" s="43" t="str">
        <f t="shared" si="0"/>
        <v/>
      </c>
      <c r="AK38" s="43" t="str">
        <f t="shared" si="27"/>
        <v/>
      </c>
      <c r="AL38" s="43" t="str">
        <f t="shared" si="1"/>
        <v/>
      </c>
      <c r="AM38" s="43" t="str">
        <f t="shared" si="2"/>
        <v/>
      </c>
      <c r="AN38" s="43" t="str">
        <f t="shared" si="3"/>
        <v/>
      </c>
      <c r="AO38" s="43" t="str">
        <f t="shared" si="4"/>
        <v/>
      </c>
      <c r="AP38" s="43" t="str">
        <f t="shared" si="5"/>
        <v/>
      </c>
      <c r="AQ38" s="43" t="str">
        <f t="shared" si="6"/>
        <v/>
      </c>
      <c r="AR38" s="43" t="str">
        <f t="shared" si="7"/>
        <v/>
      </c>
      <c r="AS38" s="43" t="str">
        <f t="shared" si="8"/>
        <v/>
      </c>
      <c r="AT38" s="43" t="str">
        <f t="shared" si="9"/>
        <v/>
      </c>
      <c r="AU38" s="43" t="str">
        <f t="shared" si="10"/>
        <v/>
      </c>
      <c r="AV38" s="230" t="str">
        <f t="shared" si="10"/>
        <v/>
      </c>
      <c r="AW38" s="43" t="str">
        <f t="shared" si="11"/>
        <v/>
      </c>
      <c r="AX38" s="43" t="str">
        <f t="shared" si="12"/>
        <v/>
      </c>
      <c r="AY38" s="43" t="str">
        <f t="shared" si="13"/>
        <v/>
      </c>
      <c r="AZ38" s="43" t="str">
        <f t="shared" si="14"/>
        <v/>
      </c>
      <c r="BA38" s="43" t="str">
        <f t="shared" si="15"/>
        <v/>
      </c>
      <c r="BB38" s="43" t="str">
        <f t="shared" si="16"/>
        <v/>
      </c>
      <c r="BC38" s="43" t="str">
        <f t="shared" si="17"/>
        <v/>
      </c>
      <c r="BD38" s="43" t="str">
        <f t="shared" si="18"/>
        <v/>
      </c>
      <c r="BE38" s="43" t="str">
        <f t="shared" si="19"/>
        <v/>
      </c>
      <c r="BF38" s="43" t="str">
        <f t="shared" si="20"/>
        <v/>
      </c>
      <c r="BG38" s="43" t="str">
        <f t="shared" si="21"/>
        <v/>
      </c>
      <c r="BH38" s="43" t="str">
        <f t="shared" si="22"/>
        <v/>
      </c>
      <c r="BI38" s="43" t="str">
        <f t="shared" si="23"/>
        <v/>
      </c>
      <c r="BJ38" s="43" t="str">
        <f t="shared" si="24"/>
        <v/>
      </c>
      <c r="BK38" s="43" t="str">
        <f t="shared" si="25"/>
        <v/>
      </c>
      <c r="BL38" s="43" t="str">
        <f t="shared" si="26"/>
        <v/>
      </c>
      <c r="BM38" s="43">
        <f t="shared" si="28"/>
        <v>0</v>
      </c>
      <c r="BO38" s="213" t="str">
        <f t="shared" si="29"/>
        <v/>
      </c>
      <c r="BP38" s="43"/>
    </row>
    <row r="39" spans="3:68" x14ac:dyDescent="0.25">
      <c r="C39" s="217" t="s">
        <v>132</v>
      </c>
      <c r="D39" s="208" t="s">
        <v>37</v>
      </c>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8"/>
      <c r="AH39" s="43" t="str">
        <f>Calc!D39</f>
        <v>Not Active</v>
      </c>
      <c r="AJ39" s="43" t="str">
        <f t="shared" si="0"/>
        <v/>
      </c>
      <c r="AK39" s="43" t="str">
        <f t="shared" si="27"/>
        <v/>
      </c>
      <c r="AL39" s="43" t="str">
        <f t="shared" si="1"/>
        <v/>
      </c>
      <c r="AM39" s="43" t="str">
        <f t="shared" si="2"/>
        <v/>
      </c>
      <c r="AN39" s="43" t="str">
        <f t="shared" si="3"/>
        <v/>
      </c>
      <c r="AO39" s="43" t="str">
        <f t="shared" si="4"/>
        <v/>
      </c>
      <c r="AP39" s="43" t="str">
        <f t="shared" si="5"/>
        <v/>
      </c>
      <c r="AQ39" s="43" t="str">
        <f t="shared" si="6"/>
        <v/>
      </c>
      <c r="AR39" s="43" t="str">
        <f t="shared" si="7"/>
        <v/>
      </c>
      <c r="AS39" s="43" t="str">
        <f t="shared" si="8"/>
        <v/>
      </c>
      <c r="AT39" s="43" t="str">
        <f t="shared" si="9"/>
        <v/>
      </c>
      <c r="AU39" s="43" t="str">
        <f t="shared" si="10"/>
        <v/>
      </c>
      <c r="AV39" s="230" t="str">
        <f t="shared" si="10"/>
        <v/>
      </c>
      <c r="AW39" s="43" t="str">
        <f t="shared" si="11"/>
        <v/>
      </c>
      <c r="AX39" s="43" t="str">
        <f t="shared" si="12"/>
        <v/>
      </c>
      <c r="AY39" s="43" t="str">
        <f t="shared" si="13"/>
        <v/>
      </c>
      <c r="AZ39" s="43" t="str">
        <f t="shared" si="14"/>
        <v/>
      </c>
      <c r="BA39" s="43" t="str">
        <f t="shared" si="15"/>
        <v/>
      </c>
      <c r="BB39" s="43" t="str">
        <f t="shared" si="16"/>
        <v/>
      </c>
      <c r="BC39" s="43" t="str">
        <f t="shared" si="17"/>
        <v/>
      </c>
      <c r="BD39" s="43" t="str">
        <f t="shared" si="18"/>
        <v/>
      </c>
      <c r="BE39" s="43" t="str">
        <f t="shared" si="19"/>
        <v/>
      </c>
      <c r="BF39" s="43" t="str">
        <f t="shared" si="20"/>
        <v/>
      </c>
      <c r="BG39" s="43" t="str">
        <f t="shared" si="21"/>
        <v/>
      </c>
      <c r="BH39" s="43" t="str">
        <f t="shared" si="22"/>
        <v/>
      </c>
      <c r="BI39" s="43" t="str">
        <f t="shared" si="23"/>
        <v/>
      </c>
      <c r="BJ39" s="43" t="str">
        <f t="shared" si="24"/>
        <v/>
      </c>
      <c r="BK39" s="43" t="str">
        <f t="shared" si="25"/>
        <v/>
      </c>
      <c r="BL39" s="43" t="str">
        <f t="shared" si="26"/>
        <v/>
      </c>
      <c r="BM39" s="43">
        <f t="shared" si="28"/>
        <v>0</v>
      </c>
      <c r="BO39" s="213" t="str">
        <f t="shared" si="29"/>
        <v/>
      </c>
      <c r="BP39" s="43"/>
    </row>
  </sheetData>
  <conditionalFormatting sqref="AJ11:BM39">
    <cfRule type="expression" dxfId="60" priority="1">
      <formula>AJ11=0</formula>
    </cfRule>
  </conditionalFormatting>
  <hyperlinks>
    <hyperlink ref="D36" location="'5B T freq'!A1" display="5B" xr:uid="{FB5584C9-B172-4B78-B364-5BC69B9540FC}"/>
    <hyperlink ref="D37" location="'5C T treatments'!A1" display="5C" xr:uid="{3F37A13A-F8A9-4B57-8A4A-B281604907BE}"/>
    <hyperlink ref="D38" location="'5D T fare reduction'!A1" display="5D" xr:uid="{461B03B7-D76C-4A76-B682-FE8FC146A079}"/>
    <hyperlink ref="D39" location="'5E microtransit'!A1" display="5E" xr:uid="{16C7ACE3-7755-4784-A655-B5C10F362AB5}"/>
    <hyperlink ref="D35" location="'5A T network exp'!A1" display="5A" xr:uid="{922A4800-63ED-4D81-BEA9-0AC8B21CFE7D}"/>
    <hyperlink ref="D34" location="'4I bike facility'!A1" display="4I" xr:uid="{1C9B6451-DD3F-40AC-8CF1-5A139F74CDFD}"/>
    <hyperlink ref="D33" location="'4H traffic calming'!A1" display="4H" xr:uid="{177BC6D1-60F8-4AA8-BDAC-176E0C77A044}"/>
    <hyperlink ref="D32" location="'4G CBTP'!A1" display="4G" xr:uid="{6177F245-CA1E-415D-BB72-B3C02A2249F3}"/>
    <hyperlink ref="D31" location="'4F carshare'!A1" display="4F" xr:uid="{98A933DE-029F-41FA-860E-E096FF6CFC7C}"/>
    <hyperlink ref="D30" location="'4E bikeshare'!A1" display="4E" xr:uid="{A6FA2842-1FE5-4BDF-A0BD-3C97608BEDDA}"/>
    <hyperlink ref="D29" location="'4D bike project'!A1" display="4D" xr:uid="{6ABE1D3C-EA08-4BFF-B47C-042BA2B4D74F}"/>
    <hyperlink ref="D28" location="'4C bike network'!A1" display="4C" xr:uid="{822B8B5F-3124-4148-AC33-B3E7F6CE4324}"/>
    <hyperlink ref="D27" location="'4B sidewalks'!A1" display="4B" xr:uid="{F312E6FC-87AE-4A2E-8F0E-FCD4AABF6FD0}"/>
    <hyperlink ref="D26" location="'4A street connect'!A1" display="4A" xr:uid="{50A1D995-88FF-4AAD-ADC0-B8D76DCD922A}"/>
    <hyperlink ref="D25" location="'3C limit parking'!A1" display="3C" xr:uid="{F85B5888-66E0-437C-83D6-E092B37151AC}"/>
    <hyperlink ref="D24" location="'3B parking cash-out'!A1" display="3B" xr:uid="{37DF595C-7A3F-4918-B47B-54A576C8BBBD}"/>
    <hyperlink ref="D22" location="'3A parking price'!A1" display="3A" xr:uid="{38704A85-BFA7-428F-8B8C-053871CBC584}"/>
    <hyperlink ref="D21" location="'2D affordable housing'!A1" display="2D" xr:uid="{D8147BDA-DE27-4F49-8CC8-A49655F6D781}"/>
    <hyperlink ref="D20" location="'2B2 Inc Emp Dens'!A1" display="2B2" xr:uid="{14FA9071-B966-4195-B1B3-7842DE8F5F84}"/>
    <hyperlink ref="D19" location="'2B1 Inc Res Dens'!A1" display="2B1" xr:uid="{F916A726-9D2A-44B9-8960-8359CF6CEC86}"/>
    <hyperlink ref="D18" location="'2A TOD'!A1" display="2A" xr:uid="{869794A3-55D5-458C-9E11-D2AA884BE9FE}"/>
    <hyperlink ref="D17" location="'1F telecommute'!A1" display="1F" xr:uid="{A3227376-423F-402D-98B7-AD415C2DD051}"/>
    <hyperlink ref="D16" location="'1E vanpool'!A1" display="1E" xr:uid="{7772DAA4-CE48-4F9F-8AAB-FE452737EA85}"/>
    <hyperlink ref="D15" location="'1D transit subsidy'!A1" display="1D" xr:uid="{616738D8-C861-4CD3-B00C-29374E1FF71A}"/>
    <hyperlink ref="D13" location="'1C carpool'!A1" display="1C" xr:uid="{231797E2-8D54-4F2E-BB4F-E78442C2C115}"/>
    <hyperlink ref="D12" location="'1B CTR program'!A1" display="1B" xr:uid="{6C1A1F89-0DCE-45A7-B8C2-35389EA2BE3E}"/>
    <hyperlink ref="D11" location="'1A VCTR program'!A1" display="1A" xr:uid="{5E1BDCD8-F7FA-4450-9A30-0002ECFE4DFD}"/>
    <hyperlink ref="D14" location="'1D transit subsidy'!A1" display="1D" xr:uid="{87491356-6896-4B23-87F5-378522F2EE34}"/>
    <hyperlink ref="D23" location="'3A2 price res parking'!A1" display="3A2" xr:uid="{7D8E72FC-8BD3-41E4-BE20-3E4135B84427}"/>
  </hyperlink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CC00CC"/>
  </sheetPr>
  <dimension ref="A1:R29"/>
  <sheetViews>
    <sheetView showGridLines="0" showRowColHeaders="0" topLeftCell="A10" zoomScaleNormal="100" workbookViewId="0">
      <selection activeCell="F12" sqref="F12"/>
    </sheetView>
  </sheetViews>
  <sheetFormatPr defaultColWidth="0" defaultRowHeight="14.45" customHeight="1" zeroHeight="1" x14ac:dyDescent="0.25"/>
  <cols>
    <col min="1" max="1" width="4.42578125" style="92" customWidth="1"/>
    <col min="2" max="2" width="8.85546875" style="92" customWidth="1"/>
    <col min="3" max="3" width="20" style="92" customWidth="1"/>
    <col min="4" max="4" width="42.85546875" style="92" customWidth="1"/>
    <col min="5" max="5" width="5.42578125" style="92" customWidth="1"/>
    <col min="6" max="6" width="10.5703125" style="92" customWidth="1"/>
    <col min="7" max="7" width="5.5703125" style="271" customWidth="1"/>
    <col min="8" max="8" width="21.42578125" style="92" customWidth="1"/>
    <col min="9" max="9" width="20.42578125" style="92" customWidth="1"/>
    <col min="10" max="10" width="8.85546875" style="92" customWidth="1"/>
    <col min="11" max="11" width="4.5703125" style="92" customWidth="1"/>
    <col min="12" max="13" width="43.140625" style="92" hidden="1" customWidth="1"/>
    <col min="14" max="16384" width="8.85546875" style="92" hidden="1"/>
  </cols>
  <sheetData>
    <row r="1" spans="1:18" ht="18.75" hidden="1" x14ac:dyDescent="0.25">
      <c r="A1" s="77"/>
      <c r="B1" s="720"/>
      <c r="C1" s="720"/>
      <c r="D1" s="720"/>
      <c r="E1" s="720"/>
      <c r="F1" s="720"/>
      <c r="G1" s="720"/>
      <c r="H1" s="720"/>
      <c r="I1" s="720"/>
      <c r="J1" s="258"/>
      <c r="K1" s="77"/>
    </row>
    <row r="2" spans="1:18" ht="18.75" hidden="1" x14ac:dyDescent="0.25">
      <c r="A2" s="77"/>
      <c r="B2" s="720">
        <v>2</v>
      </c>
      <c r="C2" s="720"/>
      <c r="D2" s="720"/>
      <c r="E2" s="720"/>
      <c r="F2" s="720"/>
      <c r="G2" s="720"/>
      <c r="H2" s="720"/>
      <c r="I2" s="720"/>
      <c r="J2" s="258"/>
      <c r="K2" s="77"/>
    </row>
    <row r="3" spans="1:18" ht="18.75" x14ac:dyDescent="0.25">
      <c r="A3" s="77"/>
      <c r="B3" s="259"/>
      <c r="C3" s="81"/>
      <c r="D3" s="81"/>
      <c r="E3" s="81"/>
      <c r="F3" s="81"/>
      <c r="G3" s="82"/>
      <c r="H3" s="81"/>
      <c r="I3" s="81"/>
      <c r="J3" s="77"/>
      <c r="K3" s="77"/>
    </row>
    <row r="4" spans="1:18" ht="21.6" customHeight="1" x14ac:dyDescent="0.25">
      <c r="A4" s="238" t="s">
        <v>21</v>
      </c>
      <c r="B4" s="721" t="str">
        <f>A4&amp;". "&amp;INDEX(VL_TDM!$E$11:$E$41,MATCH($A$4,VL_TDM!$B$11:$B$41,0),1)</f>
        <v>1A. Voluntary Employer Commute Program</v>
      </c>
      <c r="C4" s="722"/>
      <c r="D4" s="722"/>
      <c r="E4" s="722"/>
      <c r="F4" s="722"/>
      <c r="G4" s="722"/>
      <c r="H4" s="722"/>
      <c r="I4" s="722"/>
      <c r="J4" s="723"/>
      <c r="K4" s="78"/>
      <c r="R4" s="260"/>
    </row>
    <row r="5" spans="1:18" ht="15" customHeight="1" x14ac:dyDescent="0.25">
      <c r="A5" s="78"/>
      <c r="B5" s="85"/>
      <c r="C5" s="98"/>
      <c r="D5" s="98"/>
      <c r="E5" s="98"/>
      <c r="F5" s="98"/>
      <c r="G5" s="98"/>
      <c r="H5" s="100"/>
      <c r="I5" s="100"/>
      <c r="J5" s="83"/>
      <c r="K5" s="78"/>
    </row>
    <row r="6" spans="1:18" ht="15" customHeight="1" x14ac:dyDescent="0.25">
      <c r="A6" s="79"/>
      <c r="B6" s="85"/>
      <c r="C6" s="109" t="s">
        <v>1</v>
      </c>
      <c r="D6" s="110" t="str">
        <f>INDEX(VL_TDM!$AC$11:$AC$41,MATCH($A$4,VL_TDM!$B$11:$B$41,0),1)</f>
        <v>Project/Site</v>
      </c>
      <c r="E6" s="110"/>
      <c r="F6" s="111"/>
      <c r="G6" s="111"/>
      <c r="H6" s="111"/>
      <c r="I6" s="614" t="s">
        <v>89</v>
      </c>
      <c r="J6" s="83"/>
      <c r="K6" s="78"/>
    </row>
    <row r="7" spans="1:18" ht="15" customHeight="1" x14ac:dyDescent="0.25">
      <c r="A7" s="79"/>
      <c r="B7" s="85"/>
      <c r="C7" s="109" t="s">
        <v>2</v>
      </c>
      <c r="D7" s="113" t="str">
        <f>INDEX(VL_TDM!$AD$11:$AD$41,MATCH($A$4,VL_TDM!$B$11:$B$41,0),1)</f>
        <v>Employee commute trips</v>
      </c>
      <c r="E7" s="113"/>
      <c r="F7" s="109"/>
      <c r="G7" s="110"/>
      <c r="H7" s="111"/>
      <c r="I7" s="614" t="s">
        <v>105</v>
      </c>
      <c r="J7" s="83"/>
      <c r="K7" s="78"/>
    </row>
    <row r="8" spans="1:18" ht="15" customHeight="1" x14ac:dyDescent="0.25">
      <c r="A8" s="78"/>
      <c r="B8" s="85"/>
      <c r="C8" s="109" t="s">
        <v>149</v>
      </c>
      <c r="D8" s="114">
        <f>INDEX(VL_TDM!$AE$11:$AE$41,MATCH($A$4,VL_TDM!$B$11:$B$41,0),1)</f>
        <v>0.04</v>
      </c>
      <c r="E8" s="114"/>
      <c r="F8" s="98"/>
      <c r="G8" s="98"/>
      <c r="H8" s="100"/>
      <c r="I8" s="100"/>
      <c r="J8" s="83"/>
      <c r="K8" s="78"/>
    </row>
    <row r="9" spans="1:18" ht="15" customHeight="1" x14ac:dyDescent="0.25">
      <c r="A9" s="79"/>
      <c r="B9" s="85"/>
      <c r="C9" s="113"/>
      <c r="D9" s="113"/>
      <c r="E9" s="113"/>
      <c r="F9" s="98"/>
      <c r="G9" s="100"/>
      <c r="H9" s="98"/>
      <c r="I9" s="98"/>
      <c r="J9" s="83"/>
      <c r="K9" s="78"/>
    </row>
    <row r="10" spans="1:18" ht="260.10000000000002" customHeight="1" x14ac:dyDescent="0.25">
      <c r="A10" s="79"/>
      <c r="B10" s="85"/>
      <c r="C10" s="724" t="str">
        <f>INDEX(VL_TDM!$AF$11:$AF$41,MATCH($A$4,VL_TDM!$B$11:$B$41,0),1)</f>
        <v>This strategy will implement a voluntary commute trip reduction (CTR) program with employers. CTR programs discourage single-occupancy vehicle trips and encourage alternative modes of transportation such as carpooling, taking transit, walking, and biking, thereby reducing VMT and GHG emissions. Voluntary CTR programs do not include mandatory trip reduction requirements or monitoring and reporting. The CTR program must include all the following to apply the effectiveness reported by the literature: 
• Carpooling encouragement. 
• Ride-matching assistance. 
• Preferential carpool parking. 
• Flexible work schedules for carpools. 
• Half-time transportation coordinator. 
• Vanpool assistance. 
• Bicycle end-trip facilities (parking, showers, and lockers). 
Other elements may also be included as part of a voluntary CTR program, though they are not included in the VMT reduction estimation reported by the literature and thus are not incorporated in the estimated VMT reductions for this strategy. This program typically serves as a complement to the more effective workplace CTR strategies such as pricing parking (Strategy 3A1) or implementing employee parking “cash-out” (Strategy 3B).</v>
      </c>
      <c r="D10" s="710"/>
      <c r="E10" s="710"/>
      <c r="F10" s="710"/>
      <c r="G10" s="710"/>
      <c r="H10" s="710"/>
      <c r="I10" s="710"/>
      <c r="J10" s="83"/>
      <c r="K10" s="78"/>
    </row>
    <row r="11" spans="1:18" ht="15" customHeight="1" x14ac:dyDescent="0.25">
      <c r="A11" s="79"/>
      <c r="B11" s="85"/>
      <c r="C11" s="98"/>
      <c r="D11" s="98"/>
      <c r="E11" s="98"/>
      <c r="F11" s="98"/>
      <c r="G11" s="100"/>
      <c r="H11" s="98"/>
      <c r="I11" s="98"/>
      <c r="J11" s="83"/>
      <c r="K11" s="78"/>
    </row>
    <row r="12" spans="1:18" ht="15" customHeight="1" x14ac:dyDescent="0.25">
      <c r="A12" s="79"/>
      <c r="B12" s="85"/>
      <c r="C12" s="104" t="s">
        <v>90</v>
      </c>
      <c r="D12" s="261"/>
      <c r="E12" s="261"/>
      <c r="F12" s="50"/>
      <c r="G12" s="261"/>
      <c r="H12" s="262" t="s">
        <v>862</v>
      </c>
      <c r="I12" s="263"/>
      <c r="J12" s="83"/>
      <c r="K12" s="78"/>
    </row>
    <row r="13" spans="1:18" ht="15" customHeight="1" x14ac:dyDescent="0.25">
      <c r="A13" s="79"/>
      <c r="B13" s="85"/>
      <c r="C13" s="104" t="s">
        <v>91</v>
      </c>
      <c r="D13" s="261"/>
      <c r="E13" s="261"/>
      <c r="F13" s="261"/>
      <c r="G13" s="261"/>
      <c r="H13" s="717" t="str">
        <f>IF(F12="yes","Program not voluntary. Use 1B, Mandatory Employer Commute Trip Reduction Program.","")</f>
        <v/>
      </c>
      <c r="I13" s="717"/>
      <c r="J13" s="83"/>
      <c r="K13" s="78"/>
    </row>
    <row r="14" spans="1:18" ht="15" customHeight="1" x14ac:dyDescent="0.25">
      <c r="A14" s="79"/>
      <c r="B14" s="85"/>
      <c r="C14" s="104" t="s">
        <v>54</v>
      </c>
      <c r="D14" s="261"/>
      <c r="E14" s="261"/>
      <c r="F14" s="261"/>
      <c r="G14" s="261"/>
      <c r="H14" s="717"/>
      <c r="I14" s="717"/>
      <c r="J14" s="83"/>
      <c r="K14" s="78"/>
    </row>
    <row r="15" spans="1:18" ht="15" customHeight="1" x14ac:dyDescent="0.25">
      <c r="A15" s="79"/>
      <c r="B15" s="85"/>
      <c r="C15" s="104"/>
      <c r="D15" s="261"/>
      <c r="E15" s="261"/>
      <c r="F15" s="261"/>
      <c r="G15" s="261"/>
      <c r="H15" s="717" t="str">
        <f>IF(AND(F12&lt;&gt;"",'1B CTR program'!E12&lt;&gt;"",'1B CTR program'!E12&lt;&gt;F12),"User input mismatches input for same question on strategy 1B page. Reconcile.","")</f>
        <v/>
      </c>
      <c r="I15" s="717"/>
      <c r="J15" s="83"/>
      <c r="K15" s="78"/>
    </row>
    <row r="16" spans="1:18" ht="15" customHeight="1" x14ac:dyDescent="0.25">
      <c r="A16" s="79"/>
      <c r="B16" s="85"/>
      <c r="C16" s="104"/>
      <c r="D16" s="261"/>
      <c r="E16" s="261"/>
      <c r="F16" s="261"/>
      <c r="G16" s="261"/>
      <c r="H16" s="717"/>
      <c r="I16" s="717"/>
      <c r="J16" s="83"/>
      <c r="K16" s="78"/>
    </row>
    <row r="17" spans="1:11" ht="7.35" customHeight="1" x14ac:dyDescent="0.25">
      <c r="A17" s="79"/>
      <c r="B17" s="85"/>
      <c r="C17" s="264"/>
      <c r="D17" s="109"/>
      <c r="E17" s="109"/>
      <c r="F17" s="98"/>
      <c r="G17" s="100"/>
      <c r="H17" s="263"/>
      <c r="I17" s="263"/>
      <c r="J17" s="83"/>
      <c r="K17" s="78"/>
    </row>
    <row r="18" spans="1:11" ht="15" customHeight="1" x14ac:dyDescent="0.25">
      <c r="A18" s="79"/>
      <c r="B18" s="85"/>
      <c r="C18" s="104" t="s">
        <v>4</v>
      </c>
      <c r="D18" s="261"/>
      <c r="E18" s="261"/>
      <c r="F18" s="65"/>
      <c r="G18" s="100"/>
      <c r="H18" s="265" t="s">
        <v>0</v>
      </c>
      <c r="I18" s="262"/>
      <c r="J18" s="83"/>
      <c r="K18" s="78"/>
    </row>
    <row r="19" spans="1:11" ht="7.35" customHeight="1" x14ac:dyDescent="0.25">
      <c r="A19" s="79"/>
      <c r="B19" s="85"/>
      <c r="C19" s="105"/>
      <c r="D19" s="109"/>
      <c r="E19" s="109"/>
      <c r="F19" s="98"/>
      <c r="G19" s="100"/>
      <c r="H19" s="263"/>
      <c r="I19" s="263"/>
      <c r="J19" s="83"/>
      <c r="K19" s="78"/>
    </row>
    <row r="20" spans="1:11" ht="15" customHeight="1" x14ac:dyDescent="0.25">
      <c r="A20" s="79"/>
      <c r="B20" s="85"/>
      <c r="C20" s="104" t="s">
        <v>530</v>
      </c>
      <c r="D20" s="261"/>
      <c r="E20" s="261"/>
      <c r="F20" s="266">
        <v>-0.04</v>
      </c>
      <c r="G20" s="100"/>
      <c r="H20" s="108" t="s">
        <v>863</v>
      </c>
      <c r="I20" s="108"/>
      <c r="J20" s="83"/>
      <c r="K20" s="78"/>
    </row>
    <row r="21" spans="1:11" ht="7.35" customHeight="1" x14ac:dyDescent="0.25">
      <c r="A21" s="79"/>
      <c r="B21" s="85"/>
      <c r="C21" s="264"/>
      <c r="D21" s="109"/>
      <c r="E21" s="109"/>
      <c r="F21" s="98"/>
      <c r="G21" s="100"/>
      <c r="H21" s="263"/>
      <c r="I21" s="263"/>
      <c r="J21" s="83"/>
      <c r="K21" s="78"/>
    </row>
    <row r="22" spans="1:11" ht="15" customHeight="1" x14ac:dyDescent="0.25">
      <c r="A22" s="79"/>
      <c r="B22" s="85"/>
      <c r="C22" s="104" t="s">
        <v>5</v>
      </c>
      <c r="D22" s="261"/>
      <c r="E22" s="261"/>
      <c r="F22" s="129" t="str">
        <f>IF(F12="no",IF(NOT(ISBLANK(F18)),IFERROR(MAX(-D8,F18*F20),""),""),"")</f>
        <v/>
      </c>
      <c r="G22" s="267"/>
      <c r="H22" s="272" t="b">
        <v>0</v>
      </c>
      <c r="I22" s="262" t="str">
        <f>IF(OR(H22=TRUE,F22=""),"Not Active","Active")</f>
        <v>Not Active</v>
      </c>
      <c r="J22" s="83"/>
      <c r="K22" s="78"/>
    </row>
    <row r="23" spans="1:11" ht="15" customHeight="1" x14ac:dyDescent="0.25">
      <c r="A23" s="79"/>
      <c r="B23" s="85"/>
      <c r="C23" s="98"/>
      <c r="D23" s="98"/>
      <c r="E23" s="98"/>
      <c r="F23" s="98"/>
      <c r="G23" s="100"/>
      <c r="H23" s="98"/>
      <c r="I23" s="98"/>
      <c r="J23" s="83"/>
      <c r="K23" s="78"/>
    </row>
    <row r="24" spans="1:11" ht="17.850000000000001" customHeight="1" x14ac:dyDescent="0.25">
      <c r="A24" s="79"/>
      <c r="B24" s="85"/>
      <c r="C24" s="725" t="str">
        <f>"Formula:  % Change in VMT = " &amp; SUBSTITUTE(" " &amp; C18 &amp; " * " &amp; C20 &amp; " "," used for calculation","")</f>
        <v xml:space="preserve">Formula:  % Change in VMT =  % of employees eligible * % reduction in commute VMT </v>
      </c>
      <c r="D24" s="726"/>
      <c r="E24" s="726"/>
      <c r="F24" s="727"/>
      <c r="G24" s="727"/>
      <c r="H24" s="727"/>
      <c r="I24" s="728"/>
      <c r="J24" s="83"/>
      <c r="K24" s="78"/>
    </row>
    <row r="25" spans="1:11" ht="15" customHeight="1" x14ac:dyDescent="0.25">
      <c r="A25" s="79"/>
      <c r="B25" s="85"/>
      <c r="C25" s="98"/>
      <c r="D25" s="98"/>
      <c r="E25" s="98"/>
      <c r="F25" s="98"/>
      <c r="G25" s="100"/>
      <c r="H25" s="98"/>
      <c r="I25" s="98"/>
      <c r="J25" s="83"/>
      <c r="K25" s="78"/>
    </row>
    <row r="26" spans="1:11" ht="15" customHeight="1" x14ac:dyDescent="0.25">
      <c r="A26" s="79"/>
      <c r="B26" s="85"/>
      <c r="C26" s="109" t="s">
        <v>6</v>
      </c>
      <c r="D26" s="109"/>
      <c r="E26" s="109"/>
      <c r="F26" s="109"/>
      <c r="G26" s="109"/>
      <c r="H26" s="109"/>
      <c r="I26" s="109"/>
      <c r="J26" s="83"/>
      <c r="K26" s="78"/>
    </row>
    <row r="27" spans="1:11" ht="75" customHeight="1" x14ac:dyDescent="0.25">
      <c r="A27" s="79"/>
      <c r="B27" s="85"/>
      <c r="C27" s="718" t="str">
        <f>INDEX(VL_TDM!$AG$11:$AG$41,MATCH($A$4,VL_TDM!$B$11:$B$41,0),1)</f>
        <v>(1)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v>
      </c>
      <c r="D27" s="719"/>
      <c r="E27" s="719"/>
      <c r="F27" s="719"/>
      <c r="G27" s="719"/>
      <c r="H27" s="719"/>
      <c r="I27" s="719"/>
      <c r="J27" s="83"/>
      <c r="K27" s="78"/>
    </row>
    <row r="28" spans="1:11" ht="15" customHeight="1" x14ac:dyDescent="0.25">
      <c r="A28" s="79"/>
      <c r="B28" s="86"/>
      <c r="C28" s="269"/>
      <c r="D28" s="269"/>
      <c r="E28" s="269"/>
      <c r="F28" s="270"/>
      <c r="G28" s="270"/>
      <c r="H28" s="270"/>
      <c r="I28" s="270"/>
      <c r="J28" s="84"/>
      <c r="K28" s="78"/>
    </row>
    <row r="29" spans="1:11" ht="22.35" customHeight="1" x14ac:dyDescent="0.25">
      <c r="A29" s="78"/>
      <c r="B29" s="78"/>
      <c r="C29" s="78"/>
      <c r="D29" s="78"/>
      <c r="E29" s="78"/>
      <c r="F29" s="78"/>
      <c r="G29" s="80"/>
      <c r="H29" s="78"/>
      <c r="I29" s="78"/>
      <c r="J29" s="78"/>
      <c r="K29" s="78"/>
    </row>
  </sheetData>
  <sheetProtection algorithmName="SHA-512" hashValue="LGZioYndKgaB4jxkxZX/RkSDz1zOASi1u4hd0/h8jntuvXrgQgMu1vdNkYbNHjt1Ca4mXQpQjK4vYp6qfPwjGQ==" saltValue="tSxJgfcUj+g1rGI5LM8RuA==" spinCount="100000" sheet="1" objects="1" scenarios="1" selectLockedCells="1"/>
  <mergeCells count="8">
    <mergeCell ref="H13:I14"/>
    <mergeCell ref="C27:I27"/>
    <mergeCell ref="B2:I2"/>
    <mergeCell ref="B1:I1"/>
    <mergeCell ref="B4:J4"/>
    <mergeCell ref="C10:I10"/>
    <mergeCell ref="C24:I24"/>
    <mergeCell ref="H15:I16"/>
  </mergeCells>
  <conditionalFormatting sqref="F22">
    <cfRule type="expression" dxfId="59" priority="10">
      <formula>-ROUND($D$8,3)=ROUND($F$22,3)</formula>
    </cfRule>
    <cfRule type="expression" dxfId="58" priority="13">
      <formula>AND(F22&lt;&gt;"",F22&gt;0)</formula>
    </cfRule>
  </conditionalFormatting>
  <conditionalFormatting sqref="H13:I14">
    <cfRule type="expression" dxfId="57" priority="1">
      <formula>ScaleOfAnalysisIsCommunity</formula>
    </cfRule>
  </conditionalFormatting>
  <dataValidations count="1">
    <dataValidation type="decimal" allowBlank="1" showErrorMessage="1" errorTitle="Restriction" error="Value must be between 0% and 100%_x000a_" promptTitle="Restriction" prompt="Value must be between 0% and 100%_x000a_" sqref="F18" xr:uid="{00000000-0002-0000-0400-000000000000}">
      <formula1>0</formula1>
      <formula2>1</formula2>
    </dataValidation>
  </dataValidations>
  <hyperlinks>
    <hyperlink ref="I7" location="Results!A1" display="Results Summary" xr:uid="{76A65C37-4E8C-4CF2-BBE1-3DB2217370CB}"/>
    <hyperlink ref="I6" location="Main!E65" display="Return to Main É" xr:uid="{AEB17D05-FFF7-4CB3-A8D2-5D4F92AFD1D8}"/>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ltText="Exclude From Results Summary">
                <anchor moveWithCells="1">
                  <from>
                    <xdr:col>6</xdr:col>
                    <xdr:colOff>352425</xdr:colOff>
                    <xdr:row>20</xdr:row>
                    <xdr:rowOff>76200</xdr:rowOff>
                  </from>
                  <to>
                    <xdr:col>7</xdr:col>
                    <xdr:colOff>1457325</xdr:colOff>
                    <xdr:row>22</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400-000001000000}">
          <x14:formula1>
            <xm:f>VL_REF!$CB$11:$CB$13</xm:f>
          </x14:formula1>
          <xm:sqref>F12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00CC"/>
  </sheetPr>
  <dimension ref="A1:Q31"/>
  <sheetViews>
    <sheetView showGridLines="0" showRowColHeaders="0" topLeftCell="A3" zoomScaleNormal="100" workbookViewId="0">
      <selection activeCell="E12" sqref="E12"/>
    </sheetView>
  </sheetViews>
  <sheetFormatPr defaultColWidth="0" defaultRowHeight="15" zeroHeight="1" x14ac:dyDescent="0.25"/>
  <cols>
    <col min="1" max="1" width="4.42578125" style="92" customWidth="1"/>
    <col min="2" max="2" width="8.85546875" style="92" customWidth="1"/>
    <col min="3" max="3" width="20" style="92" customWidth="1"/>
    <col min="4" max="4" width="47.5703125" style="92" customWidth="1"/>
    <col min="5" max="5" width="10.5703125" style="92" customWidth="1"/>
    <col min="6" max="6" width="5.5703125" style="271" customWidth="1"/>
    <col min="7" max="7" width="21.42578125" style="92" customWidth="1"/>
    <col min="8" max="8" width="20.140625" style="92" customWidth="1"/>
    <col min="9" max="9" width="8.85546875" style="92" customWidth="1"/>
    <col min="10" max="10" width="4.5703125" style="92" customWidth="1"/>
    <col min="11" max="12" width="32.5703125" style="92" hidden="1" customWidth="1"/>
    <col min="13" max="16384" width="8.85546875" style="92" hidden="1"/>
  </cols>
  <sheetData>
    <row r="1" spans="1:17" ht="18.75" hidden="1" x14ac:dyDescent="0.25">
      <c r="A1" s="78"/>
      <c r="B1" s="720"/>
      <c r="C1" s="720"/>
      <c r="D1" s="720"/>
      <c r="E1" s="720"/>
      <c r="F1" s="720"/>
      <c r="G1" s="720"/>
      <c r="H1" s="720"/>
      <c r="I1" s="258"/>
      <c r="J1" s="78"/>
    </row>
    <row r="2" spans="1:17" ht="18.75" hidden="1" x14ac:dyDescent="0.25">
      <c r="A2" s="78"/>
      <c r="B2" s="720"/>
      <c r="C2" s="720"/>
      <c r="D2" s="720"/>
      <c r="E2" s="720"/>
      <c r="F2" s="720"/>
      <c r="G2" s="720"/>
      <c r="H2" s="720"/>
      <c r="I2" s="258"/>
      <c r="J2" s="78"/>
    </row>
    <row r="3" spans="1:17" ht="18.75" x14ac:dyDescent="0.3">
      <c r="A3" s="78"/>
      <c r="B3" s="441"/>
      <c r="C3" s="89"/>
      <c r="D3" s="89"/>
      <c r="E3" s="89"/>
      <c r="F3" s="90"/>
      <c r="G3" s="89"/>
      <c r="H3" s="89"/>
      <c r="I3" s="91"/>
      <c r="J3" s="78"/>
    </row>
    <row r="4" spans="1:17" ht="21.6" customHeight="1" x14ac:dyDescent="0.25">
      <c r="A4" s="238" t="s">
        <v>22</v>
      </c>
      <c r="B4" s="721" t="str">
        <f>A4&amp;". "&amp;INDEX(VL_TDM!$E$11:$E$41,MATCH($A$4,VL_TDM!$B$11:$B$41,0),1)</f>
        <v>1B. Mandatory Employer Commute Program</v>
      </c>
      <c r="C4" s="722"/>
      <c r="D4" s="722"/>
      <c r="E4" s="722"/>
      <c r="F4" s="722"/>
      <c r="G4" s="722"/>
      <c r="H4" s="722"/>
      <c r="I4" s="723"/>
      <c r="J4" s="78"/>
      <c r="Q4" s="260"/>
    </row>
    <row r="5" spans="1:17" ht="15" customHeight="1" x14ac:dyDescent="0.25">
      <c r="A5" s="78"/>
      <c r="B5" s="88"/>
      <c r="C5" s="442"/>
      <c r="D5" s="442"/>
      <c r="E5" s="442"/>
      <c r="F5" s="442"/>
      <c r="G5" s="443"/>
      <c r="H5" s="442"/>
      <c r="I5" s="87"/>
      <c r="J5" s="78"/>
    </row>
    <row r="6" spans="1:17" ht="15" customHeight="1" x14ac:dyDescent="0.25">
      <c r="A6" s="79"/>
      <c r="B6" s="88"/>
      <c r="C6" s="444" t="s">
        <v>1</v>
      </c>
      <c r="D6" s="445" t="str">
        <f>INDEX(VL_TDM!$AC$11:$AC$41,MATCH($A$4,VL_TDM!$B$11:$B$41,0),1)</f>
        <v>Project/Site</v>
      </c>
      <c r="E6" s="446"/>
      <c r="F6" s="446"/>
      <c r="G6" s="446"/>
      <c r="H6" s="614" t="s">
        <v>89</v>
      </c>
      <c r="I6" s="87"/>
      <c r="J6" s="78"/>
    </row>
    <row r="7" spans="1:17" ht="15" customHeight="1" x14ac:dyDescent="0.25">
      <c r="A7" s="79"/>
      <c r="B7" s="88"/>
      <c r="C7" s="444" t="s">
        <v>2</v>
      </c>
      <c r="D7" s="447" t="str">
        <f>INDEX(VL_TDM!$AD$11:$AD$41,MATCH($A$4,VL_TDM!$B$11:$B$41,0),1)</f>
        <v>Employee commute trips</v>
      </c>
      <c r="E7" s="444"/>
      <c r="F7" s="445"/>
      <c r="G7" s="446"/>
      <c r="H7" s="614" t="s">
        <v>105</v>
      </c>
      <c r="I7" s="87"/>
      <c r="J7" s="78"/>
    </row>
    <row r="8" spans="1:17" ht="15" customHeight="1" x14ac:dyDescent="0.25">
      <c r="A8" s="78"/>
      <c r="B8" s="88"/>
      <c r="C8" s="444" t="s">
        <v>149</v>
      </c>
      <c r="D8" s="448">
        <f>INDEX(VL_TDM!$AE$11:$AE$41,MATCH($A$4,VL_TDM!$B$11:$B$41,0),1)</f>
        <v>0.26</v>
      </c>
      <c r="E8" s="442"/>
      <c r="F8" s="442"/>
      <c r="G8" s="443"/>
      <c r="H8" s="442"/>
      <c r="I8" s="87"/>
      <c r="J8" s="78"/>
    </row>
    <row r="9" spans="1:17" ht="15" customHeight="1" x14ac:dyDescent="0.25">
      <c r="A9" s="79"/>
      <c r="B9" s="88"/>
      <c r="C9" s="447"/>
      <c r="D9" s="447"/>
      <c r="E9" s="442"/>
      <c r="F9" s="443"/>
      <c r="G9" s="442"/>
      <c r="H9" s="442"/>
      <c r="I9" s="87"/>
      <c r="J9" s="78"/>
    </row>
    <row r="10" spans="1:17" ht="150" customHeight="1" x14ac:dyDescent="0.25">
      <c r="A10" s="79"/>
      <c r="B10" s="88"/>
      <c r="C10" s="724" t="str">
        <f>INDEX(VL_TDM!$AF$11:$AF$41,MATCH($A$4,VL_TDM!$B$11:$B$41,0),1)</f>
        <v>This strategy will implement a mandatory commute trip reduction (CTR) program with employers. CTR programs discourage single-occupancy vehicle trips and encourage alternative modes of transportation such as carpooling, taking transit, walking, and biking, thereby reducing VMT and GHG emissions. Mandatory CTR programs include mandatory trip reduction requirements (including penalties for non-compliance) and regular monitoring and reporting.
The mandatory CTR program will include all other elements described for the voluntary program (Strategy 1A). This strategy is most effective when paired with a transportation demand management or CTR ordinance. This program typically serves as a complement to the more effective workplace CTR strategies, such as pricing parking (Strategy 3A1) or implementing employee parking “cash-out” (Strategy 3B).</v>
      </c>
      <c r="D10" s="710"/>
      <c r="E10" s="710"/>
      <c r="F10" s="710"/>
      <c r="G10" s="710"/>
      <c r="H10" s="710"/>
      <c r="I10" s="87"/>
      <c r="J10" s="78"/>
    </row>
    <row r="11" spans="1:17" ht="15" customHeight="1" x14ac:dyDescent="0.25">
      <c r="A11" s="79"/>
      <c r="B11" s="88"/>
      <c r="C11" s="442"/>
      <c r="D11" s="442"/>
      <c r="E11" s="442"/>
      <c r="F11" s="443"/>
      <c r="G11" s="442"/>
      <c r="H11" s="442"/>
      <c r="I11" s="87"/>
      <c r="J11" s="78"/>
    </row>
    <row r="12" spans="1:17" ht="15" customHeight="1" x14ac:dyDescent="0.25">
      <c r="A12" s="79"/>
      <c r="B12" s="88"/>
      <c r="C12" s="449" t="s">
        <v>90</v>
      </c>
      <c r="D12" s="449"/>
      <c r="E12" s="27"/>
      <c r="F12" s="449"/>
      <c r="G12" s="730" t="s">
        <v>862</v>
      </c>
      <c r="H12" s="730"/>
      <c r="I12" s="87"/>
      <c r="J12" s="78"/>
    </row>
    <row r="13" spans="1:17" ht="15" customHeight="1" x14ac:dyDescent="0.25">
      <c r="A13" s="79"/>
      <c r="B13" s="88"/>
      <c r="C13" s="449" t="s">
        <v>91</v>
      </c>
      <c r="D13" s="449"/>
      <c r="E13" s="449"/>
      <c r="F13" s="449"/>
      <c r="G13" s="717" t="str">
        <f>IF(E12="no", "Program not mandatory. Use 1A, Voluntary Employer Commute Trip Reduction Program.", "")</f>
        <v/>
      </c>
      <c r="H13" s="717"/>
      <c r="I13" s="87"/>
      <c r="J13" s="78"/>
    </row>
    <row r="14" spans="1:17" ht="15" customHeight="1" x14ac:dyDescent="0.25">
      <c r="A14" s="79"/>
      <c r="B14" s="88"/>
      <c r="C14" s="449" t="s">
        <v>54</v>
      </c>
      <c r="D14" s="449"/>
      <c r="E14" s="449"/>
      <c r="F14" s="449"/>
      <c r="G14" s="717"/>
      <c r="H14" s="717"/>
      <c r="I14" s="87"/>
      <c r="J14" s="78"/>
    </row>
    <row r="15" spans="1:17" ht="15" customHeight="1" x14ac:dyDescent="0.25">
      <c r="A15" s="79"/>
      <c r="B15" s="88"/>
      <c r="C15" s="449"/>
      <c r="D15" s="449"/>
      <c r="E15" s="449"/>
      <c r="F15" s="449"/>
      <c r="G15" s="731" t="str">
        <f>IF(AND(E12&lt;&gt;"",'1A VCTR program'!F12&lt;&gt;"",'1A VCTR program'!F12&lt;&gt;E12),"User input mismatches input for same question on strategy 1A page. Reconcile.","")</f>
        <v/>
      </c>
      <c r="H15" s="717"/>
      <c r="I15" s="87"/>
      <c r="J15" s="78"/>
    </row>
    <row r="16" spans="1:17" ht="15" customHeight="1" x14ac:dyDescent="0.25">
      <c r="A16" s="79"/>
      <c r="B16" s="88"/>
      <c r="C16" s="449"/>
      <c r="D16" s="449"/>
      <c r="E16" s="449"/>
      <c r="F16" s="449"/>
      <c r="G16" s="717"/>
      <c r="H16" s="717"/>
      <c r="I16" s="87"/>
      <c r="J16" s="78"/>
    </row>
    <row r="17" spans="1:10" ht="7.35" customHeight="1" x14ac:dyDescent="0.25">
      <c r="A17" s="79"/>
      <c r="B17" s="88"/>
      <c r="C17" s="450"/>
      <c r="D17" s="450"/>
      <c r="E17" s="442"/>
      <c r="F17" s="443"/>
      <c r="G17" s="451"/>
      <c r="H17" s="451"/>
      <c r="I17" s="87"/>
      <c r="J17" s="78"/>
    </row>
    <row r="18" spans="1:10" ht="15" customHeight="1" x14ac:dyDescent="0.25">
      <c r="A18" s="79"/>
      <c r="B18" s="88"/>
      <c r="C18" s="449" t="s">
        <v>4</v>
      </c>
      <c r="D18" s="449"/>
      <c r="E18" s="70"/>
      <c r="F18" s="443"/>
      <c r="G18" s="452" t="s">
        <v>0</v>
      </c>
      <c r="H18" s="453"/>
      <c r="I18" s="87"/>
      <c r="J18" s="78"/>
    </row>
    <row r="19" spans="1:10" ht="7.35" customHeight="1" x14ac:dyDescent="0.25">
      <c r="A19" s="79"/>
      <c r="B19" s="88"/>
      <c r="C19" s="450"/>
      <c r="D19" s="450"/>
      <c r="E19" s="442"/>
      <c r="F19" s="443"/>
      <c r="G19" s="451"/>
      <c r="H19" s="451"/>
      <c r="I19" s="87"/>
      <c r="J19" s="78"/>
    </row>
    <row r="20" spans="1:10" ht="15" customHeight="1" x14ac:dyDescent="0.25">
      <c r="A20" s="79"/>
      <c r="B20" s="88"/>
      <c r="C20" s="449" t="s">
        <v>533</v>
      </c>
      <c r="D20" s="449"/>
      <c r="E20" s="266">
        <v>-0.26</v>
      </c>
      <c r="F20" s="100"/>
      <c r="G20" s="108" t="s">
        <v>863</v>
      </c>
      <c r="H20" s="454"/>
      <c r="I20" s="87"/>
      <c r="J20" s="78"/>
    </row>
    <row r="21" spans="1:10" ht="7.35" customHeight="1" x14ac:dyDescent="0.25">
      <c r="A21" s="79"/>
      <c r="B21" s="88"/>
      <c r="C21" s="450"/>
      <c r="D21" s="450"/>
      <c r="E21" s="442"/>
      <c r="F21" s="443"/>
      <c r="G21" s="451"/>
      <c r="H21" s="451"/>
      <c r="I21" s="87"/>
      <c r="J21" s="78"/>
    </row>
    <row r="22" spans="1:10" ht="15" customHeight="1" x14ac:dyDescent="0.25">
      <c r="A22" s="79"/>
      <c r="B22" s="88"/>
      <c r="C22" s="449" t="s">
        <v>534</v>
      </c>
      <c r="D22" s="450"/>
      <c r="E22" s="455">
        <v>1</v>
      </c>
      <c r="F22" s="100"/>
      <c r="G22" s="108" t="s">
        <v>863</v>
      </c>
      <c r="H22" s="451"/>
      <c r="I22" s="87"/>
      <c r="J22" s="78"/>
    </row>
    <row r="23" spans="1:10" ht="7.35" customHeight="1" x14ac:dyDescent="0.25">
      <c r="A23" s="79"/>
      <c r="B23" s="88"/>
      <c r="C23" s="450"/>
      <c r="D23" s="450"/>
      <c r="E23" s="442"/>
      <c r="F23" s="443"/>
      <c r="G23" s="451"/>
      <c r="H23" s="451"/>
      <c r="I23" s="87"/>
      <c r="J23" s="78"/>
    </row>
    <row r="24" spans="1:10" ht="15" customHeight="1" x14ac:dyDescent="0.25">
      <c r="A24" s="79"/>
      <c r="B24" s="88"/>
      <c r="C24" s="104" t="s">
        <v>5</v>
      </c>
      <c r="D24" s="449"/>
      <c r="E24" s="456" t="str">
        <f>IF(E12="yes",IF(NOT(ISBLANK(E18)),IFERROR(MAX(-D8,(E18*E20*E22)), ""),""),"")</f>
        <v/>
      </c>
      <c r="F24" s="457"/>
      <c r="G24" s="460" t="b">
        <v>0</v>
      </c>
      <c r="H24" s="262" t="str">
        <f>IF(OR(G24=TRUE,E24=""),"Not Active","Active")</f>
        <v>Not Active</v>
      </c>
      <c r="I24" s="87"/>
      <c r="J24" s="78"/>
    </row>
    <row r="25" spans="1:10" ht="15" customHeight="1" x14ac:dyDescent="0.25">
      <c r="A25" s="79"/>
      <c r="B25" s="88"/>
      <c r="C25" s="442"/>
      <c r="D25" s="442"/>
      <c r="E25" s="442"/>
      <c r="F25" s="443"/>
      <c r="G25" s="442"/>
      <c r="H25" s="442"/>
      <c r="I25" s="87"/>
      <c r="J25" s="78"/>
    </row>
    <row r="26" spans="1:10" ht="35.450000000000003" customHeight="1" x14ac:dyDescent="0.25">
      <c r="A26" s="79"/>
      <c r="B26" s="88"/>
      <c r="C26" s="725" t="str">
        <f>"Formula:  % Change in VMT =  " &amp; SUBSTITUTE("( " &amp; C18 &amp; " * " &amp; C20 &amp; " * " &amp; C22 &amp; " )"," used for calculation","")</f>
        <v>Formula:  % Change in VMT =  ( % of employees eligible * % reduction in vehicle mode share of employee commute trips * Adjustment from vehicle mode share to commute VMT )</v>
      </c>
      <c r="D26" s="726"/>
      <c r="E26" s="726"/>
      <c r="F26" s="726"/>
      <c r="G26" s="726"/>
      <c r="H26" s="729"/>
      <c r="I26" s="87"/>
      <c r="J26" s="78"/>
    </row>
    <row r="27" spans="1:10" ht="15" customHeight="1" x14ac:dyDescent="0.25">
      <c r="A27" s="79"/>
      <c r="B27" s="88"/>
      <c r="C27" s="442"/>
      <c r="D27" s="442"/>
      <c r="E27" s="442"/>
      <c r="F27" s="443"/>
      <c r="G27" s="442"/>
      <c r="H27" s="442"/>
      <c r="I27" s="87"/>
      <c r="J27" s="78"/>
    </row>
    <row r="28" spans="1:10" ht="15" customHeight="1" x14ac:dyDescent="0.25">
      <c r="A28" s="79"/>
      <c r="B28" s="88"/>
      <c r="C28" s="444" t="s">
        <v>6</v>
      </c>
      <c r="D28" s="444"/>
      <c r="E28" s="444"/>
      <c r="F28" s="444"/>
      <c r="G28" s="444"/>
      <c r="H28" s="444"/>
      <c r="I28" s="87"/>
      <c r="J28" s="78"/>
    </row>
    <row r="29" spans="1:10" ht="50.1" customHeight="1" x14ac:dyDescent="0.25">
      <c r="A29" s="78"/>
      <c r="B29" s="88"/>
      <c r="C29" s="718" t="str">
        <f>INDEX(VL_TDM!$AG$11:$AG$41,MATCH($A$4,VL_TDM!$B$11:$B$41,0),1)</f>
        <v>(1) Nelson/Nygaard Consulting Associates. 2015. Genentech – South San Francisco Campus TDM and Parking Report. June. Available: http://ci-ssfca. granicus.com/MetaViewer.php?view_id=2&amp;clip_id=859&amp;meta_id=62028. Accessed: January 2021.</v>
      </c>
      <c r="D29" s="719"/>
      <c r="E29" s="719"/>
      <c r="F29" s="719"/>
      <c r="G29" s="719"/>
      <c r="H29" s="719"/>
      <c r="I29" s="87"/>
      <c r="J29" s="78"/>
    </row>
    <row r="30" spans="1:10" ht="15" customHeight="1" x14ac:dyDescent="0.25">
      <c r="A30" s="79"/>
      <c r="B30" s="86"/>
      <c r="C30" s="458"/>
      <c r="D30" s="458"/>
      <c r="E30" s="459"/>
      <c r="F30" s="459"/>
      <c r="G30" s="459"/>
      <c r="H30" s="459"/>
      <c r="I30" s="84"/>
      <c r="J30" s="78"/>
    </row>
    <row r="31" spans="1:10" ht="22.35" customHeight="1" x14ac:dyDescent="0.25">
      <c r="A31" s="78"/>
      <c r="B31" s="78"/>
      <c r="C31" s="78"/>
      <c r="D31" s="78"/>
      <c r="E31" s="78"/>
      <c r="F31" s="80"/>
      <c r="G31" s="78"/>
      <c r="H31" s="78"/>
      <c r="I31" s="78"/>
      <c r="J31" s="78"/>
    </row>
  </sheetData>
  <sheetProtection algorithmName="SHA-512" hashValue="rOb6IvpL/kRujgcxQuUkhbBbEaCN0Rof57W1hS8QniFmDEVBD1Ld4xX0E4E7+euxfL9PFJJC8ygMB/Rz6c9KtA==" saltValue="9bLVQdsb/a8ThxPwKzFrSw==" spinCount="100000" sheet="1" objects="1" scenarios="1" selectLockedCells="1"/>
  <mergeCells count="9">
    <mergeCell ref="B1:H1"/>
    <mergeCell ref="C10:H10"/>
    <mergeCell ref="C26:H26"/>
    <mergeCell ref="C29:H29"/>
    <mergeCell ref="G12:H12"/>
    <mergeCell ref="G15:H16"/>
    <mergeCell ref="G13:H14"/>
    <mergeCell ref="B2:H2"/>
    <mergeCell ref="B4:I4"/>
  </mergeCells>
  <conditionalFormatting sqref="E24">
    <cfRule type="expression" dxfId="56" priority="11">
      <formula>-ROUND($D$8,3)=ROUND($E$24,3)</formula>
    </cfRule>
    <cfRule type="expression" dxfId="55" priority="15">
      <formula>AND(E24&lt;&gt;"",E24&gt;0)</formula>
    </cfRule>
  </conditionalFormatting>
  <conditionalFormatting sqref="G13:H14">
    <cfRule type="expression" dxfId="54" priority="1">
      <formula>ScaleOfAnalysisIsCommunity</formula>
    </cfRule>
  </conditionalFormatting>
  <dataValidations count="1">
    <dataValidation type="decimal" allowBlank="1" showErrorMessage="1" errorTitle="Restriction" error="Value must be between 0% and 100%_x000a_" promptTitle="Restriction" prompt="Value must be between 0% and 100%_x000a_" sqref="E18" xr:uid="{00000000-0002-0000-0500-000000000000}">
      <formula1>0</formula1>
      <formula2>1</formula2>
    </dataValidation>
  </dataValidations>
  <hyperlinks>
    <hyperlink ref="H7" location="Results!A1" display="Results Summary" xr:uid="{00000000-0004-0000-0500-000000000000}"/>
    <hyperlink ref="H6" location="Main!E65" display="Return to Main É" xr:uid="{00000000-0004-0000-05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ltText="Exclude From Results Summary">
                <anchor moveWithCells="1">
                  <from>
                    <xdr:col>6</xdr:col>
                    <xdr:colOff>28575</xdr:colOff>
                    <xdr:row>23</xdr:row>
                    <xdr:rowOff>0</xdr:rowOff>
                  </from>
                  <to>
                    <xdr:col>7</xdr:col>
                    <xdr:colOff>0</xdr:colOff>
                    <xdr:row>24</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500-000001000000}">
          <x14:formula1>
            <xm:f>VL_REF!$CB$11:$CB$13</xm:f>
          </x14:formula1>
          <xm:sqref>E12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CC00CC"/>
  </sheetPr>
  <dimension ref="A1:K24"/>
  <sheetViews>
    <sheetView showGridLines="0" showRowColHeaders="0" topLeftCell="A2" zoomScaleNormal="100" workbookViewId="0">
      <selection activeCell="F13" sqref="F13"/>
    </sheetView>
  </sheetViews>
  <sheetFormatPr defaultColWidth="0" defaultRowHeight="15" zeroHeight="1" x14ac:dyDescent="0.25"/>
  <cols>
    <col min="1" max="1" width="4.42578125" customWidth="1"/>
    <col min="2" max="2" width="8.85546875" customWidth="1"/>
    <col min="3" max="3" width="20" customWidth="1"/>
    <col min="4" max="4" width="20.5703125" customWidth="1"/>
    <col min="5" max="5" width="8.42578125" customWidth="1"/>
    <col min="6" max="6" width="10.5703125" style="1" customWidth="1"/>
    <col min="7" max="7" width="5.5703125" customWidth="1"/>
    <col min="8" max="8" width="22.5703125" customWidth="1"/>
    <col min="9" max="9" width="17.5703125" customWidth="1"/>
    <col min="10" max="10" width="8.85546875" customWidth="1"/>
    <col min="11" max="11" width="4.42578125" customWidth="1"/>
    <col min="12" max="16384" width="8.85546875" hidden="1"/>
  </cols>
  <sheetData>
    <row r="1" spans="1:11" ht="18.75" hidden="1" x14ac:dyDescent="0.3">
      <c r="A1" s="16"/>
      <c r="B1" s="732"/>
      <c r="C1" s="732"/>
      <c r="D1" s="732"/>
      <c r="E1" s="732"/>
      <c r="F1" s="732"/>
      <c r="G1" s="732"/>
      <c r="H1" s="732"/>
      <c r="I1" s="732"/>
      <c r="J1" s="16"/>
      <c r="K1" s="16"/>
    </row>
    <row r="2" spans="1:11" ht="18.75" x14ac:dyDescent="0.3">
      <c r="A2" s="16"/>
      <c r="B2" s="39"/>
      <c r="C2" s="37"/>
      <c r="D2" s="37"/>
      <c r="E2" s="37"/>
      <c r="F2" s="38"/>
      <c r="G2" s="37"/>
      <c r="H2" s="37"/>
      <c r="I2" s="37"/>
      <c r="J2" s="16"/>
      <c r="K2" s="16"/>
    </row>
    <row r="3" spans="1:11" ht="21.6" customHeight="1" x14ac:dyDescent="0.25">
      <c r="A3" s="24" t="s">
        <v>23</v>
      </c>
      <c r="B3" s="733" t="s">
        <v>55</v>
      </c>
      <c r="C3" s="734"/>
      <c r="D3" s="734"/>
      <c r="E3" s="734"/>
      <c r="F3" s="734"/>
      <c r="G3" s="734"/>
      <c r="H3" s="734"/>
      <c r="I3" s="734"/>
      <c r="J3" s="735"/>
      <c r="K3" s="16"/>
    </row>
    <row r="4" spans="1:11" s="2" customFormat="1" ht="15" customHeight="1" x14ac:dyDescent="0.25">
      <c r="A4" s="78"/>
      <c r="B4" s="11"/>
      <c r="C4" s="3"/>
      <c r="D4" s="3"/>
      <c r="E4" s="3"/>
      <c r="F4" s="3"/>
      <c r="G4" s="21"/>
      <c r="H4" s="3"/>
      <c r="I4" s="25"/>
      <c r="J4" s="5"/>
      <c r="K4" s="92"/>
    </row>
    <row r="5" spans="1:11" ht="15" customHeight="1" x14ac:dyDescent="0.25">
      <c r="A5" s="16"/>
      <c r="B5" s="88"/>
      <c r="C5" s="8" t="s">
        <v>1</v>
      </c>
      <c r="D5" s="10" t="s">
        <v>39</v>
      </c>
      <c r="E5" s="18"/>
      <c r="F5" s="8"/>
      <c r="G5" s="8"/>
      <c r="H5" s="8"/>
      <c r="I5" s="614" t="s">
        <v>89</v>
      </c>
      <c r="J5" s="5"/>
      <c r="K5" s="16"/>
    </row>
    <row r="6" spans="1:11" ht="15" customHeight="1" x14ac:dyDescent="0.25">
      <c r="A6" s="16"/>
      <c r="B6" s="88"/>
      <c r="C6" s="8" t="s">
        <v>2</v>
      </c>
      <c r="D6" s="18" t="s">
        <v>3</v>
      </c>
      <c r="E6" s="8"/>
      <c r="F6" s="19"/>
      <c r="G6" s="8"/>
      <c r="H6" s="8"/>
      <c r="I6" s="614" t="s">
        <v>105</v>
      </c>
      <c r="J6" s="5"/>
      <c r="K6" s="16"/>
    </row>
    <row r="7" spans="1:11" s="2" customFormat="1" ht="15" customHeight="1" x14ac:dyDescent="0.25">
      <c r="A7" s="78"/>
      <c r="B7" s="11"/>
      <c r="C7" s="30" t="s">
        <v>149</v>
      </c>
      <c r="D7" s="49">
        <v>0.08</v>
      </c>
      <c r="E7" s="3"/>
      <c r="F7" s="3"/>
      <c r="G7" s="21"/>
      <c r="H7" s="3"/>
      <c r="I7" s="25"/>
      <c r="J7" s="5"/>
      <c r="K7" s="92"/>
    </row>
    <row r="8" spans="1:11" ht="15" customHeight="1" x14ac:dyDescent="0.25">
      <c r="A8" s="16"/>
      <c r="B8" s="88"/>
      <c r="C8" s="8"/>
      <c r="D8" s="8"/>
      <c r="E8" s="8"/>
      <c r="F8" s="8"/>
      <c r="G8" s="8"/>
      <c r="H8" s="8"/>
      <c r="I8" s="19"/>
      <c r="J8" s="5"/>
      <c r="K8" s="16"/>
    </row>
    <row r="9" spans="1:11" ht="139.5" customHeight="1" x14ac:dyDescent="0.25">
      <c r="A9" s="16"/>
      <c r="B9" s="88"/>
      <c r="C9" s="741" t="str">
        <f>INDEX(VL_TDM!$AF$11:$AF$41,MATCH($A$3,VL_TDM!$B$11:$B$41,0),1)</f>
        <v>This strategy will implement a ridesharing program and establish a permanent transportation management association with funding requirements for employers. Ridesharing encourages carpooled vehicle trips in place of single-occupied vehicle trips, thereby reducing the number of trips, VMT, and GHG emissions. When providing a ridesharing program, a best practice is to establish funding by a non-revocable funding mechanism. Ridesharing must be promoted through a multi-faceted approach, such as:
• Designating a certain percentage of parking spaces for ridesharing vehicles.
• Designating adequate passenger loading and unloading and waiting areas for ridesharing vehicles.
• Providing an app or website for coordinating rides.</v>
      </c>
      <c r="D9" s="741"/>
      <c r="E9" s="741"/>
      <c r="F9" s="741"/>
      <c r="G9" s="741"/>
      <c r="H9" s="742"/>
      <c r="I9" s="742"/>
      <c r="J9" s="5"/>
      <c r="K9" s="16"/>
    </row>
    <row r="10" spans="1:11" ht="15" customHeight="1" x14ac:dyDescent="0.25">
      <c r="A10" s="16"/>
      <c r="B10" s="88"/>
      <c r="C10" s="3"/>
      <c r="D10" s="3"/>
      <c r="E10" s="3"/>
      <c r="F10" s="4"/>
      <c r="G10" s="3"/>
      <c r="H10" s="3"/>
      <c r="I10" s="10"/>
      <c r="J10" s="5"/>
      <c r="K10" s="16"/>
    </row>
    <row r="11" spans="1:11" ht="15" customHeight="1" x14ac:dyDescent="0.25">
      <c r="A11" s="16"/>
      <c r="B11" s="88"/>
      <c r="C11" s="6" t="s">
        <v>182</v>
      </c>
      <c r="D11" s="3"/>
      <c r="E11" s="743" t="e">
        <f>IF(VL_TAZ!$O$9="Land use intensity too low for application of VMT tool","N/A",INDEX(VL_TAZ!$O$9:$AD$9,1,MATCH($C11,VL_TAZ!$O$10:$AD$10,0)))</f>
        <v>#N/A</v>
      </c>
      <c r="F11" s="744"/>
      <c r="G11" s="3"/>
      <c r="H11" s="48" t="s">
        <v>888</v>
      </c>
      <c r="I11" s="44"/>
      <c r="J11" s="5"/>
      <c r="K11" s="16"/>
    </row>
    <row r="12" spans="1:11" ht="7.35" customHeight="1" x14ac:dyDescent="0.25">
      <c r="A12" s="16"/>
      <c r="B12" s="88"/>
      <c r="C12" s="7"/>
      <c r="D12" s="3"/>
      <c r="E12" s="3"/>
      <c r="F12" s="3"/>
      <c r="G12" s="3"/>
      <c r="H12" s="9"/>
      <c r="I12" s="3"/>
      <c r="J12" s="5"/>
      <c r="K12" s="16"/>
    </row>
    <row r="13" spans="1:11" ht="15" customHeight="1" x14ac:dyDescent="0.25">
      <c r="A13" s="16"/>
      <c r="B13" s="88"/>
      <c r="C13" s="6" t="s">
        <v>4</v>
      </c>
      <c r="D13" s="3"/>
      <c r="E13" s="3"/>
      <c r="F13" s="71"/>
      <c r="G13" s="3"/>
      <c r="H13" s="35" t="s">
        <v>0</v>
      </c>
      <c r="I13" s="3"/>
      <c r="J13" s="5"/>
      <c r="K13" s="16"/>
    </row>
    <row r="14" spans="1:11" ht="7.35" customHeight="1" x14ac:dyDescent="0.25">
      <c r="A14" s="16"/>
      <c r="B14" s="88"/>
      <c r="C14" s="7"/>
      <c r="D14" s="3"/>
      <c r="E14" s="3"/>
      <c r="F14" s="3"/>
      <c r="G14" s="3"/>
      <c r="H14" s="9"/>
      <c r="I14" s="3"/>
      <c r="J14" s="5"/>
      <c r="K14" s="16"/>
    </row>
    <row r="15" spans="1:11" ht="15" customHeight="1" x14ac:dyDescent="0.25">
      <c r="A15" s="16"/>
      <c r="B15" s="88"/>
      <c r="C15" s="6" t="s">
        <v>668</v>
      </c>
      <c r="D15" s="3"/>
      <c r="E15" s="3"/>
      <c r="F15" s="73" t="e">
        <f>VL_REF!C3</f>
        <v>#N/A</v>
      </c>
      <c r="G15" s="3"/>
      <c r="H15" s="34" t="s">
        <v>863</v>
      </c>
      <c r="I15" s="3"/>
      <c r="J15" s="5"/>
      <c r="K15" s="16"/>
    </row>
    <row r="16" spans="1:11" ht="7.35" customHeight="1" x14ac:dyDescent="0.25">
      <c r="A16" s="16"/>
      <c r="B16" s="88"/>
      <c r="C16" s="7"/>
      <c r="D16" s="3"/>
      <c r="E16" s="3"/>
      <c r="F16" s="3"/>
      <c r="G16" s="3"/>
      <c r="H16" s="9"/>
      <c r="I16" s="3"/>
      <c r="J16" s="5"/>
      <c r="K16" s="16"/>
    </row>
    <row r="17" spans="1:11" ht="15" customHeight="1" x14ac:dyDescent="0.25">
      <c r="A17" s="16"/>
      <c r="B17" s="88"/>
      <c r="C17" s="6" t="s">
        <v>5</v>
      </c>
      <c r="D17" s="3"/>
      <c r="E17" s="3"/>
      <c r="F17" s="46" t="str">
        <f>IF(OR(ISBLANK(E11),ISBLANK(F13)),"",IFERROR(F13*F15, ""))</f>
        <v/>
      </c>
      <c r="G17" s="20"/>
      <c r="H17" s="14" t="b">
        <v>0</v>
      </c>
      <c r="I17" s="207" t="str">
        <f>IF(OR(H17=TRUE,F17=""),"Not Active","Active")</f>
        <v>Not Active</v>
      </c>
      <c r="J17" s="5"/>
      <c r="K17" s="16"/>
    </row>
    <row r="18" spans="1:11" ht="15" customHeight="1" x14ac:dyDescent="0.25">
      <c r="A18" s="16"/>
      <c r="B18" s="88"/>
      <c r="C18" s="9"/>
      <c r="D18" s="3"/>
      <c r="E18" s="3"/>
      <c r="F18" s="4"/>
      <c r="G18" s="3"/>
      <c r="H18" s="3"/>
      <c r="I18" s="3"/>
      <c r="J18" s="5"/>
      <c r="K18" s="16"/>
    </row>
    <row r="19" spans="1:11" ht="17.850000000000001" customHeight="1" x14ac:dyDescent="0.25">
      <c r="A19" s="16"/>
      <c r="B19" s="88"/>
      <c r="C19" s="737" t="str">
        <f>CONCATENATE("Formula:  % Change in VMT = ",C13," * ",C15)</f>
        <v>Formula:  % Change in VMT = % of employees eligible * % reduction in employee commute VMT</v>
      </c>
      <c r="D19" s="738"/>
      <c r="E19" s="738"/>
      <c r="F19" s="738"/>
      <c r="G19" s="738"/>
      <c r="H19" s="738"/>
      <c r="I19" s="739"/>
      <c r="J19" s="5"/>
      <c r="K19" s="16"/>
    </row>
    <row r="20" spans="1:11" ht="15" customHeight="1" x14ac:dyDescent="0.25">
      <c r="A20" s="16"/>
      <c r="B20" s="88"/>
      <c r="C20" s="3"/>
      <c r="D20" s="3"/>
      <c r="E20" s="3"/>
      <c r="F20" s="4"/>
      <c r="G20" s="3"/>
      <c r="H20" s="3"/>
      <c r="I20" s="3"/>
      <c r="J20" s="5"/>
      <c r="K20" s="16"/>
    </row>
    <row r="21" spans="1:11" ht="15" customHeight="1" x14ac:dyDescent="0.25">
      <c r="A21" s="16"/>
      <c r="B21" s="88"/>
      <c r="C21" s="8" t="s">
        <v>6</v>
      </c>
      <c r="D21" s="8"/>
      <c r="E21" s="8"/>
      <c r="F21" s="8"/>
      <c r="G21" s="8"/>
      <c r="H21" s="8"/>
      <c r="I21" s="8"/>
      <c r="J21" s="5"/>
      <c r="K21" s="16"/>
    </row>
    <row r="22" spans="1:11" ht="61.5" customHeight="1" x14ac:dyDescent="0.25">
      <c r="A22" s="16"/>
      <c r="B22" s="88"/>
      <c r="C22" s="740" t="str">
        <f>INDEX(VL_TDM!$AG$11:$AG$41,MATCH($A$3,VL_TDM!$B$11:$B$41,0),1)</f>
        <v>(1) San Diego Association of Governments (SANDAG). 2019. Mobility Management VMT Reduction
Calculator Tool – Design Document. June. Available:
https://www.icommutesd.com/docs/default-source/planning/tool-design-document_final_7-
17-19.pdf?sfvrsn=ec39eb3b_2. Accessed: January 2021.</v>
      </c>
      <c r="D22" s="740"/>
      <c r="E22" s="740"/>
      <c r="F22" s="740"/>
      <c r="G22" s="740"/>
      <c r="H22" s="740"/>
      <c r="I22" s="740"/>
      <c r="J22" s="5"/>
      <c r="K22" s="16"/>
    </row>
    <row r="23" spans="1:11" ht="15" customHeight="1" x14ac:dyDescent="0.25">
      <c r="A23" s="16"/>
      <c r="B23" s="15"/>
      <c r="C23" s="736"/>
      <c r="D23" s="736"/>
      <c r="E23" s="736"/>
      <c r="F23" s="736"/>
      <c r="G23" s="736"/>
      <c r="H23" s="12"/>
      <c r="I23" s="12"/>
      <c r="J23" s="13"/>
      <c r="K23" s="16"/>
    </row>
    <row r="24" spans="1:11" ht="22.35" customHeight="1" x14ac:dyDescent="0.25">
      <c r="A24" s="16"/>
      <c r="B24" s="45"/>
      <c r="C24" s="45"/>
      <c r="D24" s="45"/>
      <c r="E24" s="45"/>
      <c r="F24" s="17"/>
      <c r="G24" s="16"/>
      <c r="H24" s="16"/>
      <c r="I24" s="16"/>
      <c r="J24" s="16"/>
      <c r="K24" s="16"/>
    </row>
  </sheetData>
  <sheetProtection algorithmName="SHA-512" hashValue="fjBcL2U1ddnO85vvppnxqlhiC77/v6Fod/XVYRnIjrJ17mA0zUMtnjrxK1PEaTcibqrcD7mL4D72qpbJTwuc7g==" saltValue="7kO2qEGOdd4sxdbcfRjmHA==" spinCount="100000" sheet="1" objects="1" scenarios="1" selectLockedCells="1"/>
  <mergeCells count="7">
    <mergeCell ref="B1:I1"/>
    <mergeCell ref="B3:J3"/>
    <mergeCell ref="C23:G23"/>
    <mergeCell ref="C19:I19"/>
    <mergeCell ref="C22:I22"/>
    <mergeCell ref="C9:I9"/>
    <mergeCell ref="E11:F11"/>
  </mergeCells>
  <conditionalFormatting sqref="F17">
    <cfRule type="expression" dxfId="53" priority="12">
      <formula>-ROUND($D$7,3)=ROUND($F$17,3)</formula>
    </cfRule>
    <cfRule type="expression" dxfId="52" priority="13">
      <formula>AND(F17&lt;&gt;"",F17&gt;0)</formula>
    </cfRule>
  </conditionalFormatting>
  <dataValidations count="1">
    <dataValidation type="decimal" allowBlank="1" showErrorMessage="1" errorTitle="Restriction" error="Value must be between 0% and 100%_x000a_" promptTitle="Restriction" prompt="Value must be between 0% and 100%_x000a_" sqref="F13" xr:uid="{00000000-0002-0000-0600-000000000000}">
      <formula1>0</formula1>
      <formula2>1</formula2>
    </dataValidation>
  </dataValidations>
  <hyperlinks>
    <hyperlink ref="I6" location="Results!A1" display="Results Summary" xr:uid="{00000000-0004-0000-0600-000000000000}"/>
    <hyperlink ref="I5" location="Main!E65" display="Return to Main É" xr:uid="{00000000-0004-0000-06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ltText="Exclude From Results Summary">
                <anchor moveWithCells="1">
                  <from>
                    <xdr:col>7</xdr:col>
                    <xdr:colOff>0</xdr:colOff>
                    <xdr:row>15</xdr:row>
                    <xdr:rowOff>66675</xdr:rowOff>
                  </from>
                  <to>
                    <xdr:col>8</xdr:col>
                    <xdr:colOff>0</xdr:colOff>
                    <xdr:row>17</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D696E-315C-48B6-A7FB-77268205A973}">
  <sheetPr codeName="Sheet33">
    <tabColor rgb="FFCC00CC"/>
  </sheetPr>
  <dimension ref="A1:J40"/>
  <sheetViews>
    <sheetView showGridLines="0" showRowColHeaders="0" topLeftCell="A3" zoomScaleNormal="100" workbookViewId="0">
      <selection activeCell="E12" sqref="E12"/>
    </sheetView>
  </sheetViews>
  <sheetFormatPr defaultColWidth="0" defaultRowHeight="15" customHeight="1" zeroHeight="1" x14ac:dyDescent="0.25"/>
  <cols>
    <col min="1" max="1" width="4.42578125" style="115" customWidth="1"/>
    <col min="2" max="2" width="8.85546875" style="115" customWidth="1"/>
    <col min="3" max="3" width="20" style="115" customWidth="1"/>
    <col min="4" max="4" width="52.42578125" style="115" customWidth="1"/>
    <col min="5" max="5" width="15.140625" style="115" bestFit="1" customWidth="1"/>
    <col min="6" max="6" width="5.5703125" style="115" customWidth="1"/>
    <col min="7" max="7" width="19" style="116" customWidth="1"/>
    <col min="8" max="8" width="17.5703125" style="115" customWidth="1"/>
    <col min="9" max="9" width="8.85546875" style="115" customWidth="1"/>
    <col min="10" max="10" width="4.5703125" style="115" customWidth="1"/>
    <col min="11" max="16384" width="8.85546875" style="115" hidden="1"/>
  </cols>
  <sheetData>
    <row r="1" spans="1:10" hidden="1" x14ac:dyDescent="0.25">
      <c r="A1" s="77"/>
      <c r="B1" s="77"/>
      <c r="C1" s="77"/>
      <c r="D1" s="77"/>
      <c r="E1" s="77"/>
      <c r="F1" s="77"/>
      <c r="G1" s="103"/>
      <c r="H1" s="77"/>
      <c r="I1" s="77"/>
      <c r="J1" s="77"/>
    </row>
    <row r="2" spans="1:10" ht="18.75" hidden="1" x14ac:dyDescent="0.3">
      <c r="A2" s="77"/>
      <c r="B2" s="745"/>
      <c r="C2" s="746"/>
      <c r="D2" s="746"/>
      <c r="E2" s="746"/>
      <c r="F2" s="746"/>
      <c r="G2" s="746"/>
      <c r="H2" s="746"/>
      <c r="I2" s="746"/>
      <c r="J2" s="461"/>
    </row>
    <row r="3" spans="1:10" ht="18.75" x14ac:dyDescent="0.25">
      <c r="A3" s="77"/>
      <c r="B3" s="51"/>
      <c r="C3" s="77"/>
      <c r="D3" s="77"/>
      <c r="E3" s="77"/>
      <c r="F3" s="77"/>
      <c r="G3" s="103"/>
      <c r="H3" s="77"/>
      <c r="I3" s="77"/>
      <c r="J3" s="77"/>
    </row>
    <row r="4" spans="1:10" ht="18.75" x14ac:dyDescent="0.25">
      <c r="A4" s="239" t="s">
        <v>760</v>
      </c>
      <c r="B4" s="721" t="str">
        <f>A4&amp;". "&amp;INDEX(VL_TDM!$E$11:$E$41,MATCH($A$4,VL_TDM!$B$11:$B$41,0),1)</f>
        <v>1D1. Implement Subsidized or Discounted Transit Program (for Employees)</v>
      </c>
      <c r="C4" s="722"/>
      <c r="D4" s="722"/>
      <c r="E4" s="722"/>
      <c r="F4" s="722"/>
      <c r="G4" s="722"/>
      <c r="H4" s="722"/>
      <c r="I4" s="723"/>
      <c r="J4" s="77"/>
    </row>
    <row r="5" spans="1:10" ht="15" customHeight="1" x14ac:dyDescent="0.25">
      <c r="A5" s="77"/>
      <c r="B5" s="85"/>
      <c r="C5" s="110"/>
      <c r="D5" s="110"/>
      <c r="E5" s="110"/>
      <c r="F5" s="98"/>
      <c r="G5" s="100"/>
      <c r="H5" s="98"/>
      <c r="I5" s="83"/>
      <c r="J5" s="77"/>
    </row>
    <row r="6" spans="1:10" ht="15" customHeight="1" x14ac:dyDescent="0.25">
      <c r="A6" s="77"/>
      <c r="B6" s="85"/>
      <c r="C6" s="98" t="s">
        <v>1</v>
      </c>
      <c r="D6" s="462" t="str">
        <f>INDEX(VL_TDM!$AC$11:$AC$41,MATCH($A$4,VL_TDM!$B$11:$B$41,0),1)</f>
        <v>Project/Site</v>
      </c>
      <c r="E6" s="100"/>
      <c r="F6" s="100"/>
      <c r="G6" s="100"/>
      <c r="H6" s="617" t="s">
        <v>89</v>
      </c>
      <c r="I6" s="83"/>
      <c r="J6" s="77"/>
    </row>
    <row r="7" spans="1:10" ht="15" customHeight="1" x14ac:dyDescent="0.25">
      <c r="A7" s="77"/>
      <c r="B7" s="85"/>
      <c r="C7" s="109" t="s">
        <v>2</v>
      </c>
      <c r="D7" s="113" t="str">
        <f>INDEX(VL_TDM!$AD$11:$AD$41,MATCH($A$4,VL_TDM!$B$11:$B$41,0),1)</f>
        <v>Employee commute trips</v>
      </c>
      <c r="E7" s="100"/>
      <c r="F7" s="100"/>
      <c r="G7" s="98"/>
      <c r="H7" s="617" t="s">
        <v>105</v>
      </c>
      <c r="I7" s="83"/>
      <c r="J7" s="77"/>
    </row>
    <row r="8" spans="1:10" ht="15" customHeight="1" x14ac:dyDescent="0.25">
      <c r="A8" s="77"/>
      <c r="B8" s="85"/>
      <c r="C8" s="109" t="s">
        <v>149</v>
      </c>
      <c r="D8" s="114">
        <f>INDEX(VL_TDM!$AE$11:$AE$41,MATCH($A$4,VL_TDM!$B$11:$B$41,0),1)</f>
        <v>5.5E-2</v>
      </c>
      <c r="E8" s="110"/>
      <c r="F8" s="98"/>
      <c r="G8" s="100"/>
      <c r="H8" s="98"/>
      <c r="I8" s="83"/>
      <c r="J8" s="77"/>
    </row>
    <row r="9" spans="1:10" ht="15" customHeight="1" x14ac:dyDescent="0.25">
      <c r="A9" s="77"/>
      <c r="B9" s="85"/>
      <c r="C9" s="98"/>
      <c r="D9" s="98"/>
      <c r="E9" s="98"/>
      <c r="F9" s="98"/>
      <c r="G9" s="100"/>
      <c r="H9" s="98"/>
      <c r="I9" s="83"/>
      <c r="J9" s="77"/>
    </row>
    <row r="10" spans="1:10" ht="172.5" customHeight="1" x14ac:dyDescent="0.25">
      <c r="A10" s="77"/>
      <c r="B10" s="85"/>
      <c r="C10" s="724" t="str">
        <f>INDEX(VL_TDM!$AF$11:$AF$41,MATCH($A$4,VL_TDM!$B$11:$B$41,0),1)</f>
        <v xml:space="preserve">This strategy will provide subsidized, discounted, or free transit passes for employees.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v>
      </c>
      <c r="D10" s="710"/>
      <c r="E10" s="710"/>
      <c r="F10" s="710"/>
      <c r="G10" s="710"/>
      <c r="H10" s="710"/>
      <c r="I10" s="83"/>
      <c r="J10" s="77"/>
    </row>
    <row r="11" spans="1:10" ht="15" customHeight="1" x14ac:dyDescent="0.25">
      <c r="A11" s="77"/>
      <c r="B11" s="85"/>
      <c r="C11" s="463"/>
      <c r="D11" s="257"/>
      <c r="E11" s="257"/>
      <c r="F11" s="257"/>
      <c r="G11" s="257"/>
      <c r="H11" s="257"/>
      <c r="I11" s="83"/>
      <c r="J11" s="77"/>
    </row>
    <row r="12" spans="1:10" ht="15" customHeight="1" x14ac:dyDescent="0.25">
      <c r="A12" s="77"/>
      <c r="B12" s="85"/>
      <c r="C12" s="104" t="s">
        <v>59</v>
      </c>
      <c r="D12" s="262"/>
      <c r="E12" s="66"/>
      <c r="F12" s="100"/>
      <c r="G12" s="262" t="s">
        <v>0</v>
      </c>
      <c r="H12" s="98"/>
      <c r="I12" s="83"/>
      <c r="J12" s="77"/>
    </row>
    <row r="13" spans="1:10" ht="4.3499999999999996" customHeight="1" x14ac:dyDescent="0.25">
      <c r="A13" s="77"/>
      <c r="B13" s="85"/>
      <c r="C13" s="104"/>
      <c r="D13" s="98"/>
      <c r="E13" s="464"/>
      <c r="F13" s="100"/>
      <c r="G13" s="263"/>
      <c r="H13" s="98"/>
      <c r="I13" s="83"/>
      <c r="J13" s="77"/>
    </row>
    <row r="14" spans="1:10" ht="15" customHeight="1" x14ac:dyDescent="0.25">
      <c r="A14" s="77"/>
      <c r="B14" s="85"/>
      <c r="C14" s="104" t="s">
        <v>567</v>
      </c>
      <c r="D14" s="262"/>
      <c r="E14" s="66"/>
      <c r="F14" s="100"/>
      <c r="G14" s="262" t="s">
        <v>0</v>
      </c>
      <c r="H14" s="98"/>
      <c r="I14" s="83"/>
      <c r="J14" s="78"/>
    </row>
    <row r="15" spans="1:10" ht="4.3499999999999996" customHeight="1" x14ac:dyDescent="0.25">
      <c r="A15" s="77"/>
      <c r="B15" s="85"/>
      <c r="C15" s="104"/>
      <c r="D15" s="98"/>
      <c r="E15" s="464"/>
      <c r="F15" s="100"/>
      <c r="G15" s="263"/>
      <c r="H15" s="98"/>
      <c r="I15" s="83"/>
      <c r="J15" s="77"/>
    </row>
    <row r="16" spans="1:10" ht="15" customHeight="1" x14ac:dyDescent="0.25">
      <c r="A16" s="77"/>
      <c r="B16" s="85"/>
      <c r="C16" s="104" t="s">
        <v>568</v>
      </c>
      <c r="D16" s="262"/>
      <c r="E16" s="66"/>
      <c r="F16" s="100"/>
      <c r="G16" s="262" t="s">
        <v>0</v>
      </c>
      <c r="H16" s="98"/>
      <c r="I16" s="83"/>
      <c r="J16" s="78"/>
    </row>
    <row r="17" spans="1:10" ht="4.3499999999999996" customHeight="1" x14ac:dyDescent="0.25">
      <c r="A17" s="77"/>
      <c r="B17" s="85"/>
      <c r="C17" s="104"/>
      <c r="D17" s="98"/>
      <c r="E17" s="98"/>
      <c r="F17" s="100"/>
      <c r="G17" s="263"/>
      <c r="H17" s="98"/>
      <c r="I17" s="83"/>
      <c r="J17" s="77"/>
    </row>
    <row r="18" spans="1:10" ht="15" customHeight="1" x14ac:dyDescent="0.25">
      <c r="A18" s="77"/>
      <c r="B18" s="85"/>
      <c r="C18" s="104" t="s">
        <v>781</v>
      </c>
      <c r="D18" s="262"/>
      <c r="E18" s="72"/>
      <c r="F18" s="100"/>
      <c r="G18" s="265" t="s">
        <v>0</v>
      </c>
      <c r="H18" s="98"/>
      <c r="I18" s="83"/>
      <c r="J18" s="78"/>
    </row>
    <row r="19" spans="1:10" ht="4.3499999999999996" customHeight="1" x14ac:dyDescent="0.25">
      <c r="A19" s="77"/>
      <c r="B19" s="85"/>
      <c r="C19" s="104"/>
      <c r="D19" s="98"/>
      <c r="E19" s="98"/>
      <c r="F19" s="100"/>
      <c r="G19" s="263"/>
      <c r="H19" s="98"/>
      <c r="I19" s="83"/>
      <c r="J19" s="77"/>
    </row>
    <row r="20" spans="1:10" ht="15" customHeight="1" x14ac:dyDescent="0.25">
      <c r="A20" s="77"/>
      <c r="B20" s="85"/>
      <c r="C20" s="104" t="s">
        <v>820</v>
      </c>
      <c r="D20" s="465"/>
      <c r="E20" s="266" t="e">
        <f>INDEX(VL_TAZ!$O$9:$AD$9,1,MATCH($C20,VL_TAZ!$O$10:$AD$10,0))</f>
        <v>#N/A</v>
      </c>
      <c r="F20" s="100"/>
      <c r="G20" s="98" t="str">
        <f>CONCATENATE("Alameda CTC model",IF(NOT(ISBLANK(E22)),", overridden",""))</f>
        <v>Alameda CTC model</v>
      </c>
      <c r="H20" s="98"/>
      <c r="I20" s="83"/>
      <c r="J20" s="77"/>
    </row>
    <row r="21" spans="1:10" ht="4.3499999999999996" customHeight="1" x14ac:dyDescent="0.25">
      <c r="A21" s="77"/>
      <c r="B21" s="85"/>
      <c r="C21" s="104"/>
      <c r="D21" s="98"/>
      <c r="E21" s="98"/>
      <c r="F21" s="100"/>
      <c r="G21" s="263"/>
      <c r="H21" s="98"/>
      <c r="I21" s="83"/>
      <c r="J21" s="77"/>
    </row>
    <row r="22" spans="1:10" ht="15" customHeight="1" x14ac:dyDescent="0.25">
      <c r="A22" s="77"/>
      <c r="B22" s="85"/>
      <c r="C22" s="104" t="s">
        <v>819</v>
      </c>
      <c r="D22" s="465"/>
      <c r="E22" s="74"/>
      <c r="F22" s="100"/>
      <c r="G22" s="265" t="s">
        <v>11</v>
      </c>
      <c r="H22" s="98"/>
      <c r="I22" s="83"/>
      <c r="J22" s="77"/>
    </row>
    <row r="23" spans="1:10" ht="4.3499999999999996" customHeight="1" x14ac:dyDescent="0.25">
      <c r="A23" s="77"/>
      <c r="B23" s="85"/>
      <c r="C23" s="104"/>
      <c r="D23" s="465"/>
      <c r="E23" s="466"/>
      <c r="F23" s="100"/>
      <c r="G23" s="262"/>
      <c r="H23" s="98"/>
      <c r="I23" s="83"/>
      <c r="J23" s="77"/>
    </row>
    <row r="24" spans="1:10" x14ac:dyDescent="0.25">
      <c r="A24" s="77"/>
      <c r="B24" s="85"/>
      <c r="C24" s="104" t="s">
        <v>782</v>
      </c>
      <c r="D24" s="465"/>
      <c r="E24" s="467" t="str">
        <f>IFERROR(IF(ISBLANK(E22),E20,E22),"")</f>
        <v/>
      </c>
      <c r="F24" s="100"/>
      <c r="G24" s="262" t="s">
        <v>10</v>
      </c>
      <c r="H24" s="98"/>
      <c r="I24" s="83"/>
      <c r="J24" s="78"/>
    </row>
    <row r="25" spans="1:10" ht="7.35" customHeight="1" x14ac:dyDescent="0.25">
      <c r="A25" s="77"/>
      <c r="B25" s="85"/>
      <c r="C25" s="104"/>
      <c r="D25" s="465"/>
      <c r="E25" s="465"/>
      <c r="F25" s="465"/>
      <c r="G25" s="262"/>
      <c r="H25" s="98"/>
      <c r="I25" s="83"/>
      <c r="J25" s="77"/>
    </row>
    <row r="26" spans="1:10" x14ac:dyDescent="0.25">
      <c r="A26" s="77"/>
      <c r="B26" s="85"/>
      <c r="C26" s="104" t="s">
        <v>569</v>
      </c>
      <c r="D26" s="465"/>
      <c r="E26" s="468">
        <v>-0.43</v>
      </c>
      <c r="F26" s="100"/>
      <c r="G26" s="108" t="s">
        <v>885</v>
      </c>
      <c r="H26" s="98"/>
      <c r="I26" s="83"/>
      <c r="J26" s="78"/>
    </row>
    <row r="27" spans="1:10" ht="4.3499999999999996" customHeight="1" x14ac:dyDescent="0.25">
      <c r="A27" s="77"/>
      <c r="B27" s="85"/>
      <c r="C27" s="104"/>
      <c r="D27" s="98"/>
      <c r="E27" s="98"/>
      <c r="F27" s="100"/>
      <c r="G27" s="263"/>
      <c r="H27" s="98"/>
      <c r="I27" s="83"/>
      <c r="J27" s="77"/>
    </row>
    <row r="28" spans="1:10" ht="15" customHeight="1" x14ac:dyDescent="0.25">
      <c r="A28" s="77"/>
      <c r="B28" s="85"/>
      <c r="C28" s="104" t="s">
        <v>570</v>
      </c>
      <c r="D28" s="465"/>
      <c r="E28" s="469">
        <v>0.5</v>
      </c>
      <c r="F28" s="100"/>
      <c r="G28" s="108" t="s">
        <v>9</v>
      </c>
      <c r="H28" s="98"/>
      <c r="I28" s="83"/>
      <c r="J28" s="78"/>
    </row>
    <row r="29" spans="1:10" ht="4.3499999999999996" customHeight="1" x14ac:dyDescent="0.25">
      <c r="A29" s="77"/>
      <c r="B29" s="85"/>
      <c r="C29" s="104"/>
      <c r="D29" s="98"/>
      <c r="E29" s="98"/>
      <c r="F29" s="100"/>
      <c r="G29" s="263"/>
      <c r="H29" s="98"/>
      <c r="I29" s="83"/>
      <c r="J29" s="77"/>
    </row>
    <row r="30" spans="1:10" ht="15" customHeight="1" x14ac:dyDescent="0.25">
      <c r="A30" s="77"/>
      <c r="B30" s="85"/>
      <c r="C30" s="104" t="s">
        <v>571</v>
      </c>
      <c r="D30" s="262"/>
      <c r="E30" s="468">
        <v>1</v>
      </c>
      <c r="F30" s="100"/>
      <c r="G30" s="108" t="s">
        <v>911</v>
      </c>
      <c r="H30" s="98"/>
      <c r="I30" s="83"/>
      <c r="J30" s="78"/>
    </row>
    <row r="31" spans="1:10" ht="4.3499999999999996" customHeight="1" x14ac:dyDescent="0.25">
      <c r="A31" s="77"/>
      <c r="B31" s="85"/>
      <c r="C31" s="104"/>
      <c r="D31" s="98"/>
      <c r="E31" s="98"/>
      <c r="F31" s="100"/>
      <c r="G31" s="263"/>
      <c r="H31" s="98"/>
      <c r="I31" s="83"/>
      <c r="J31" s="77"/>
    </row>
    <row r="32" spans="1:10" ht="15" customHeight="1" x14ac:dyDescent="0.25">
      <c r="A32" s="77"/>
      <c r="B32" s="85"/>
      <c r="C32" s="104" t="s">
        <v>5</v>
      </c>
      <c r="D32" s="262"/>
      <c r="E32" s="129" t="str">
        <f>IF(OR(ISBLANK(E14),ISBLANK(E16)),"",IFERROR(MAX(-D8,(MIN(E16/E14,1)*E26)*E18*E24*E28*E30),""))</f>
        <v/>
      </c>
      <c r="F32" s="470"/>
      <c r="G32" s="53" t="b">
        <v>0</v>
      </c>
      <c r="H32" s="207" t="str">
        <f>IF(OR(G32=TRUE,E32=""),"Not Active","Active")</f>
        <v>Not Active</v>
      </c>
      <c r="I32" s="83"/>
      <c r="J32" s="77"/>
    </row>
    <row r="33" spans="1:10" ht="15" customHeight="1" x14ac:dyDescent="0.25">
      <c r="A33" s="77"/>
      <c r="B33" s="85"/>
      <c r="C33" s="98"/>
      <c r="D33" s="98"/>
      <c r="E33" s="98"/>
      <c r="F33" s="98"/>
      <c r="G33" s="100"/>
      <c r="H33" s="98"/>
      <c r="I33" s="83"/>
      <c r="J33" s="77"/>
    </row>
    <row r="34" spans="1:10" ht="69.95" customHeight="1" x14ac:dyDescent="0.25">
      <c r="A34" s="77"/>
      <c r="B34" s="85"/>
      <c r="C34" s="748" t="str">
        <f>"Formula:  % Change in VMT =   " &amp; SUBSTITUTE("(( " &amp; C16 &amp; " / " &amp; C14 &amp; " )* " &amp; C26 &amp; " ) * " &amp; C18 &amp; " * " &amp; C24 &amp; " * " &amp; C28 &amp; " * " &amp; C30 &amp; " "," used for calculation","")</f>
        <v xml:space="preserve">Formula:  % Change in VMT =   (( Subsidy amount / Average transit fare without subsidy )* Elasticity of transit boardings with respect to transit fare price ) * Percent of employees eligible for subsidy * Transit mode share of work trips * Percent of transit trips that would otherwise be made in a vehicle * Conversion factor of vehicle trips to VMT </v>
      </c>
      <c r="D34" s="749"/>
      <c r="E34" s="749"/>
      <c r="F34" s="749"/>
      <c r="G34" s="749"/>
      <c r="H34" s="750"/>
      <c r="I34" s="83"/>
      <c r="J34" s="77"/>
    </row>
    <row r="35" spans="1:10" ht="22.5" customHeight="1" x14ac:dyDescent="0.25">
      <c r="A35" s="77"/>
      <c r="B35" s="85"/>
      <c r="C35" s="751" t="s">
        <v>929</v>
      </c>
      <c r="D35" s="752"/>
      <c r="E35" s="752"/>
      <c r="F35" s="752"/>
      <c r="G35" s="752"/>
      <c r="H35" s="753"/>
      <c r="I35" s="83"/>
      <c r="J35" s="77"/>
    </row>
    <row r="36" spans="1:10" ht="15" customHeight="1" x14ac:dyDescent="0.25">
      <c r="A36" s="77"/>
      <c r="B36" s="85"/>
      <c r="C36" s="329"/>
      <c r="D36" s="97"/>
      <c r="E36" s="97"/>
      <c r="F36" s="97"/>
      <c r="G36" s="97"/>
      <c r="H36" s="97"/>
      <c r="I36" s="83"/>
      <c r="J36" s="77"/>
    </row>
    <row r="37" spans="1:10" ht="15" customHeight="1" x14ac:dyDescent="0.25">
      <c r="A37" s="77"/>
      <c r="B37" s="85"/>
      <c r="C37" s="98" t="s">
        <v>6</v>
      </c>
      <c r="D37" s="98"/>
      <c r="E37" s="98"/>
      <c r="F37" s="98"/>
      <c r="G37" s="100"/>
      <c r="H37" s="98"/>
      <c r="I37" s="83"/>
      <c r="J37" s="77"/>
    </row>
    <row r="38" spans="1:10" ht="200.1" customHeight="1" x14ac:dyDescent="0.25">
      <c r="A38" s="77"/>
      <c r="B38" s="85"/>
      <c r="C38" s="747" t="str">
        <f>INDEX(VL_TDM!$AG$11:$AG$41,MATCH($A$4,VL_TDM!$B$11:$B$41,0),1)</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38" s="719"/>
      <c r="E38" s="719"/>
      <c r="F38" s="719"/>
      <c r="G38" s="719"/>
      <c r="H38" s="719"/>
      <c r="I38" s="83"/>
      <c r="J38" s="77"/>
    </row>
    <row r="39" spans="1:10" ht="15" customHeight="1" x14ac:dyDescent="0.25">
      <c r="A39" s="77"/>
      <c r="B39" s="101"/>
      <c r="C39" s="226"/>
      <c r="D39" s="226"/>
      <c r="E39" s="226"/>
      <c r="F39" s="226"/>
      <c r="G39" s="471"/>
      <c r="H39" s="226"/>
      <c r="I39" s="472"/>
      <c r="J39" s="77"/>
    </row>
    <row r="40" spans="1:10" ht="22.35" customHeight="1" x14ac:dyDescent="0.25">
      <c r="A40" s="77"/>
      <c r="B40" s="78"/>
      <c r="C40" s="78"/>
      <c r="D40" s="77"/>
      <c r="E40" s="77"/>
      <c r="F40" s="77"/>
      <c r="G40" s="103"/>
      <c r="H40" s="77"/>
      <c r="I40" s="77"/>
      <c r="J40" s="77"/>
    </row>
  </sheetData>
  <sheetProtection algorithmName="SHA-512" hashValue="HoRfA9mmfYYbppL2LyVHz5bRHXhHyYjoaNOp7unN41yyrSqnaCD9/5cIdI7yWxDrHfkmDZDBQvAUjrcIj8AI+A==" saltValue="YX7PlUbVGA9gh7/cJ9/KcA==" spinCount="100000" sheet="1" objects="1" scenarios="1" selectLockedCells="1"/>
  <mergeCells count="6">
    <mergeCell ref="B2:I2"/>
    <mergeCell ref="C38:H38"/>
    <mergeCell ref="B4:I4"/>
    <mergeCell ref="C10:H10"/>
    <mergeCell ref="C34:H34"/>
    <mergeCell ref="C35:H35"/>
  </mergeCells>
  <conditionalFormatting sqref="E32">
    <cfRule type="expression" dxfId="51" priority="8">
      <formula>-ROUND($D$8,3)=ROUND($E$32,3)</formula>
    </cfRule>
    <cfRule type="expression" dxfId="50" priority="9">
      <formula>AND(E32&lt;&gt;"",E32&gt;0)</formula>
    </cfRule>
  </conditionalFormatting>
  <dataValidations count="2">
    <dataValidation type="decimal" operator="greaterThanOrEqual" allowBlank="1" showErrorMessage="1" error="Value must not be negative" sqref="E14 E16 E18" xr:uid="{3A7EE8AF-D981-48A3-A6BA-0A0D669A981F}">
      <formula1>0</formula1>
    </dataValidation>
    <dataValidation type="decimal" allowBlank="1" showErrorMessage="1" errorTitle="Restriction" error="Value must be between 0% and 100%_x000a_" promptTitle="Restriction" prompt="If value exceeds maximum of 25%, default value will be used below." sqref="E22" xr:uid="{0C911ADC-2EFD-44E7-8CEA-763B1F8DA99A}">
      <formula1>0</formula1>
      <formula2>1</formula2>
    </dataValidation>
  </dataValidations>
  <hyperlinks>
    <hyperlink ref="H7" location="Results!A1" display="Results Summary" xr:uid="{60E86CFA-A910-4CC9-A48A-4A23C3D3C6EF}"/>
    <hyperlink ref="H6" location="Main!L65" display="Return to Main É" xr:uid="{2349F5A3-FB96-4B22-B5B1-C42A7D63CF5C}"/>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Check Box 1">
              <controlPr defaultSize="0" autoFill="0" autoLine="0" autoPict="0" altText="Exclude From Results Summary">
                <anchor moveWithCells="1">
                  <from>
                    <xdr:col>6</xdr:col>
                    <xdr:colOff>0</xdr:colOff>
                    <xdr:row>30</xdr:row>
                    <xdr:rowOff>66675</xdr:rowOff>
                  </from>
                  <to>
                    <xdr:col>7</xdr:col>
                    <xdr:colOff>28575</xdr:colOff>
                    <xdr:row>32</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C1073DF0-AC9C-430E-B2CE-5C06ECC5342B}">
          <x14:formula1>
            <xm:f>VL_REF!$CE$11:$CE$16</xm:f>
          </x14:formula1>
          <xm:sqref>E12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5401C-A59E-4C36-9181-8AB8EDACC50B}">
  <sheetPr codeName="Sheet43">
    <tabColor rgb="FFCC00CC"/>
  </sheetPr>
  <dimension ref="A1:J42"/>
  <sheetViews>
    <sheetView showGridLines="0" showRowColHeaders="0" topLeftCell="A3" zoomScaleNormal="100" workbookViewId="0">
      <selection activeCell="E12" sqref="E12"/>
    </sheetView>
  </sheetViews>
  <sheetFormatPr defaultColWidth="0" defaultRowHeight="15" customHeight="1" zeroHeight="1" x14ac:dyDescent="0.25"/>
  <cols>
    <col min="1" max="1" width="4.42578125" style="115" customWidth="1"/>
    <col min="2" max="2" width="8.85546875" style="115" customWidth="1"/>
    <col min="3" max="3" width="20" style="115" customWidth="1"/>
    <col min="4" max="4" width="52.42578125" style="115" customWidth="1"/>
    <col min="5" max="5" width="15.140625" style="115" bestFit="1" customWidth="1"/>
    <col min="6" max="6" width="5.5703125" style="115" customWidth="1"/>
    <col min="7" max="7" width="19" style="116" customWidth="1"/>
    <col min="8" max="8" width="17.5703125" style="115" customWidth="1"/>
    <col min="9" max="9" width="8.85546875" style="115" customWidth="1"/>
    <col min="10" max="10" width="4.5703125" style="115" customWidth="1"/>
    <col min="11" max="16384" width="8.85546875" style="115" hidden="1"/>
  </cols>
  <sheetData>
    <row r="1" spans="1:10" hidden="1" x14ac:dyDescent="0.25">
      <c r="A1" s="77"/>
      <c r="B1" s="77"/>
      <c r="C1" s="77"/>
      <c r="D1" s="77"/>
      <c r="E1" s="77"/>
      <c r="F1" s="77"/>
      <c r="G1" s="103"/>
      <c r="H1" s="77"/>
      <c r="I1" s="77"/>
      <c r="J1" s="77"/>
    </row>
    <row r="2" spans="1:10" ht="18.75" hidden="1" x14ac:dyDescent="0.3">
      <c r="A2" s="77"/>
      <c r="B2" s="745"/>
      <c r="C2" s="746"/>
      <c r="D2" s="746"/>
      <c r="E2" s="746"/>
      <c r="F2" s="746"/>
      <c r="G2" s="746"/>
      <c r="H2" s="746"/>
      <c r="I2" s="746"/>
      <c r="J2" s="461"/>
    </row>
    <row r="3" spans="1:10" ht="18.75" x14ac:dyDescent="0.25">
      <c r="A3" s="77"/>
      <c r="B3" s="51"/>
      <c r="C3" s="77"/>
      <c r="D3" s="77"/>
      <c r="E3" s="77"/>
      <c r="F3" s="77"/>
      <c r="G3" s="103"/>
      <c r="H3" s="77"/>
      <c r="I3" s="77"/>
      <c r="J3" s="77"/>
    </row>
    <row r="4" spans="1:10" ht="18.75" x14ac:dyDescent="0.25">
      <c r="A4" s="239" t="s">
        <v>761</v>
      </c>
      <c r="B4" s="721" t="str">
        <f>A4&amp;". "&amp;INDEX(VL_TDM!$E$11:$E$41,MATCH($A$4,VL_TDM!$B$11:$B$41,0),1)</f>
        <v>1D2. Implement Subsidized or Discounted Transit Program (for Residents)</v>
      </c>
      <c r="C4" s="722"/>
      <c r="D4" s="722"/>
      <c r="E4" s="722"/>
      <c r="F4" s="722"/>
      <c r="G4" s="722"/>
      <c r="H4" s="722"/>
      <c r="I4" s="723"/>
      <c r="J4" s="77"/>
    </row>
    <row r="5" spans="1:10" ht="15" customHeight="1" x14ac:dyDescent="0.25">
      <c r="A5" s="77"/>
      <c r="B5" s="85"/>
      <c r="C5" s="110"/>
      <c r="D5" s="110"/>
      <c r="E5" s="110"/>
      <c r="F5" s="98"/>
      <c r="G5" s="100"/>
      <c r="H5" s="98"/>
      <c r="I5" s="83"/>
      <c r="J5" s="77"/>
    </row>
    <row r="6" spans="1:10" ht="15" customHeight="1" x14ac:dyDescent="0.25">
      <c r="A6" s="77"/>
      <c r="B6" s="85"/>
      <c r="C6" s="98" t="s">
        <v>1</v>
      </c>
      <c r="D6" s="462" t="str">
        <f>INDEX(VL_TDM!$AC$11:$AC$41,MATCH($A$4,VL_TDM!$B$11:$B$41,0),1)</f>
        <v>Project/Site</v>
      </c>
      <c r="E6" s="100"/>
      <c r="F6" s="100"/>
      <c r="G6" s="100"/>
      <c r="H6" s="617" t="s">
        <v>89</v>
      </c>
      <c r="I6" s="83"/>
      <c r="J6" s="77"/>
    </row>
    <row r="7" spans="1:10" ht="15" customHeight="1" x14ac:dyDescent="0.25">
      <c r="A7" s="77"/>
      <c r="B7" s="85"/>
      <c r="C7" s="109" t="s">
        <v>2</v>
      </c>
      <c r="D7" s="113" t="str">
        <f>INDEX(VL_TDM!$AD$11:$AD$41,MATCH($A$4,VL_TDM!$B$11:$B$41,0),1)</f>
        <v>Project-generated trips</v>
      </c>
      <c r="E7" s="100"/>
      <c r="F7" s="100"/>
      <c r="G7" s="98"/>
      <c r="H7" s="617" t="s">
        <v>105</v>
      </c>
      <c r="I7" s="83"/>
      <c r="J7" s="77"/>
    </row>
    <row r="8" spans="1:10" ht="15" customHeight="1" x14ac:dyDescent="0.25">
      <c r="A8" s="77"/>
      <c r="B8" s="85"/>
      <c r="C8" s="109" t="s">
        <v>149</v>
      </c>
      <c r="D8" s="114">
        <f>INDEX(VL_TDM!$AE$11:$AE$41,MATCH($A$4,VL_TDM!$B$11:$B$41,0),1)</f>
        <v>5.5E-2</v>
      </c>
      <c r="E8" s="110"/>
      <c r="F8" s="98"/>
      <c r="G8" s="100"/>
      <c r="H8" s="98"/>
      <c r="I8" s="83"/>
      <c r="J8" s="77"/>
    </row>
    <row r="9" spans="1:10" ht="15" customHeight="1" x14ac:dyDescent="0.25">
      <c r="A9" s="77"/>
      <c r="B9" s="85"/>
      <c r="C9" s="98"/>
      <c r="D9" s="98"/>
      <c r="E9" s="98"/>
      <c r="F9" s="98"/>
      <c r="G9" s="100"/>
      <c r="H9" s="98"/>
      <c r="I9" s="83"/>
      <c r="J9" s="77"/>
    </row>
    <row r="10" spans="1:10" ht="228.75" customHeight="1" x14ac:dyDescent="0.25">
      <c r="A10" s="77"/>
      <c r="B10" s="85"/>
      <c r="C10" s="724" t="str">
        <f>INDEX(VL_TDM!$AF$11:$AF$41,MATCH($A$4,VL_TDM!$B$11:$B$41,0),1)</f>
        <v>This strategy will provide subsidized, discounted, or free transit passes for residents.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v>
      </c>
      <c r="D10" s="710"/>
      <c r="E10" s="710"/>
      <c r="F10" s="710"/>
      <c r="G10" s="710"/>
      <c r="H10" s="710"/>
      <c r="I10" s="83"/>
      <c r="J10" s="77"/>
    </row>
    <row r="11" spans="1:10" ht="15" customHeight="1" x14ac:dyDescent="0.25">
      <c r="A11" s="77"/>
      <c r="B11" s="85"/>
      <c r="C11" s="463"/>
      <c r="D11" s="257"/>
      <c r="E11" s="257"/>
      <c r="F11" s="257"/>
      <c r="G11" s="257"/>
      <c r="H11" s="257"/>
      <c r="I11" s="83"/>
      <c r="J11" s="77"/>
    </row>
    <row r="12" spans="1:10" ht="15" customHeight="1" x14ac:dyDescent="0.25">
      <c r="A12" s="77"/>
      <c r="B12" s="85"/>
      <c r="C12" s="104" t="s">
        <v>59</v>
      </c>
      <c r="D12" s="262"/>
      <c r="E12" s="66"/>
      <c r="F12" s="100"/>
      <c r="G12" s="262" t="s">
        <v>0</v>
      </c>
      <c r="H12" s="98"/>
      <c r="I12" s="83"/>
      <c r="J12" s="77"/>
    </row>
    <row r="13" spans="1:10" ht="4.3499999999999996" customHeight="1" x14ac:dyDescent="0.25">
      <c r="A13" s="77"/>
      <c r="B13" s="85"/>
      <c r="C13" s="104"/>
      <c r="D13" s="98"/>
      <c r="E13" s="464"/>
      <c r="F13" s="100"/>
      <c r="G13" s="263"/>
      <c r="H13" s="98"/>
      <c r="I13" s="83"/>
      <c r="J13" s="77"/>
    </row>
    <row r="14" spans="1:10" ht="15" customHeight="1" x14ac:dyDescent="0.25">
      <c r="A14" s="77"/>
      <c r="B14" s="85"/>
      <c r="C14" s="104" t="s">
        <v>567</v>
      </c>
      <c r="D14" s="262"/>
      <c r="E14" s="66"/>
      <c r="F14" s="100"/>
      <c r="G14" s="262" t="s">
        <v>0</v>
      </c>
      <c r="H14" s="98"/>
      <c r="I14" s="83"/>
      <c r="J14" s="78"/>
    </row>
    <row r="15" spans="1:10" ht="4.3499999999999996" customHeight="1" x14ac:dyDescent="0.25">
      <c r="A15" s="77"/>
      <c r="B15" s="85"/>
      <c r="C15" s="104"/>
      <c r="D15" s="98"/>
      <c r="E15" s="464"/>
      <c r="F15" s="100"/>
      <c r="G15" s="263"/>
      <c r="H15" s="98"/>
      <c r="I15" s="83"/>
      <c r="J15" s="77"/>
    </row>
    <row r="16" spans="1:10" ht="15" customHeight="1" x14ac:dyDescent="0.25">
      <c r="A16" s="77"/>
      <c r="B16" s="85"/>
      <c r="C16" s="104" t="s">
        <v>568</v>
      </c>
      <c r="D16" s="262"/>
      <c r="E16" s="66"/>
      <c r="F16" s="100"/>
      <c r="G16" s="262" t="s">
        <v>0</v>
      </c>
      <c r="H16" s="98"/>
      <c r="I16" s="83"/>
      <c r="J16" s="78"/>
    </row>
    <row r="17" spans="1:10" ht="4.3499999999999996" customHeight="1" x14ac:dyDescent="0.25">
      <c r="A17" s="77"/>
      <c r="B17" s="85"/>
      <c r="C17" s="104"/>
      <c r="D17" s="98"/>
      <c r="E17" s="98"/>
      <c r="F17" s="100"/>
      <c r="G17" s="263"/>
      <c r="H17" s="98"/>
      <c r="I17" s="83"/>
      <c r="J17" s="77"/>
    </row>
    <row r="18" spans="1:10" ht="15" customHeight="1" x14ac:dyDescent="0.25">
      <c r="A18" s="77"/>
      <c r="B18" s="85"/>
      <c r="C18" s="104" t="s">
        <v>780</v>
      </c>
      <c r="D18" s="262"/>
      <c r="E18" s="72"/>
      <c r="F18" s="100"/>
      <c r="G18" s="262" t="s">
        <v>0</v>
      </c>
      <c r="H18" s="98"/>
      <c r="I18" s="83"/>
      <c r="J18" s="78"/>
    </row>
    <row r="19" spans="1:10" ht="4.3499999999999996" customHeight="1" x14ac:dyDescent="0.25">
      <c r="A19" s="77"/>
      <c r="B19" s="85"/>
      <c r="C19" s="104"/>
      <c r="D19" s="98"/>
      <c r="E19" s="98"/>
      <c r="F19" s="100"/>
      <c r="G19" s="263"/>
      <c r="H19" s="98"/>
      <c r="I19" s="83"/>
      <c r="J19" s="77"/>
    </row>
    <row r="20" spans="1:10" ht="15" customHeight="1" x14ac:dyDescent="0.25">
      <c r="A20" s="77"/>
      <c r="B20" s="85"/>
      <c r="C20" s="104" t="s">
        <v>779</v>
      </c>
      <c r="D20" s="98"/>
      <c r="E20" s="72"/>
      <c r="F20" s="100"/>
      <c r="G20" s="262" t="s">
        <v>0</v>
      </c>
      <c r="H20" s="98"/>
      <c r="I20" s="83"/>
      <c r="J20" s="78"/>
    </row>
    <row r="21" spans="1:10" ht="4.3499999999999996" customHeight="1" x14ac:dyDescent="0.25">
      <c r="A21" s="77"/>
      <c r="B21" s="85"/>
      <c r="C21" s="104"/>
      <c r="D21" s="98"/>
      <c r="E21" s="98"/>
      <c r="F21" s="100"/>
      <c r="G21" s="263"/>
      <c r="H21" s="98"/>
      <c r="I21" s="83"/>
      <c r="J21" s="77"/>
    </row>
    <row r="22" spans="1:10" ht="15" customHeight="1" x14ac:dyDescent="0.25">
      <c r="A22" s="77"/>
      <c r="B22" s="85"/>
      <c r="C22" s="104" t="s">
        <v>684</v>
      </c>
      <c r="D22" s="465"/>
      <c r="E22" s="266" t="e">
        <f>INDEX(VL_TAZ!$O$9:$AD$9,1,MATCH($C22,VL_TAZ!$O$10:$AD$10,0))</f>
        <v>#N/A</v>
      </c>
      <c r="F22" s="100"/>
      <c r="G22" s="98" t="str">
        <f>CONCATENATE("Alameda CTC model",IF(NOT(ISBLANK(E24)),", overridden",""))</f>
        <v>Alameda CTC model</v>
      </c>
      <c r="H22" s="98"/>
      <c r="I22" s="83"/>
      <c r="J22" s="77"/>
    </row>
    <row r="23" spans="1:10" ht="4.3499999999999996" customHeight="1" x14ac:dyDescent="0.25">
      <c r="A23" s="77"/>
      <c r="B23" s="85"/>
      <c r="C23" s="104"/>
      <c r="D23" s="98"/>
      <c r="E23" s="98"/>
      <c r="F23" s="100"/>
      <c r="G23" s="263"/>
      <c r="H23" s="98"/>
      <c r="I23" s="83"/>
      <c r="J23" s="77"/>
    </row>
    <row r="24" spans="1:10" ht="15" customHeight="1" x14ac:dyDescent="0.25">
      <c r="A24" s="77"/>
      <c r="B24" s="85"/>
      <c r="C24" s="104" t="s">
        <v>685</v>
      </c>
      <c r="D24" s="465"/>
      <c r="E24" s="74"/>
      <c r="F24" s="100"/>
      <c r="G24" s="265" t="s">
        <v>11</v>
      </c>
      <c r="H24" s="98"/>
      <c r="I24" s="83"/>
      <c r="J24" s="77"/>
    </row>
    <row r="25" spans="1:10" ht="4.3499999999999996" customHeight="1" x14ac:dyDescent="0.25">
      <c r="A25" s="77"/>
      <c r="B25" s="85"/>
      <c r="C25" s="104"/>
      <c r="D25" s="465"/>
      <c r="E25" s="466"/>
      <c r="F25" s="100"/>
      <c r="G25" s="262"/>
      <c r="H25" s="98"/>
      <c r="I25" s="83"/>
      <c r="J25" s="77"/>
    </row>
    <row r="26" spans="1:10" x14ac:dyDescent="0.25">
      <c r="A26" s="77"/>
      <c r="B26" s="85"/>
      <c r="C26" s="104" t="s">
        <v>821</v>
      </c>
      <c r="D26" s="465"/>
      <c r="E26" s="467" t="str">
        <f>IFERROR(IF(ISBLANK(E24),E22,E24),"")</f>
        <v/>
      </c>
      <c r="F26" s="100"/>
      <c r="G26" s="262" t="s">
        <v>10</v>
      </c>
      <c r="H26" s="98"/>
      <c r="I26" s="83"/>
      <c r="J26" s="78"/>
    </row>
    <row r="27" spans="1:10" ht="7.35" customHeight="1" x14ac:dyDescent="0.25">
      <c r="A27" s="77"/>
      <c r="B27" s="85"/>
      <c r="C27" s="104"/>
      <c r="D27" s="465"/>
      <c r="E27" s="465"/>
      <c r="F27" s="465"/>
      <c r="G27" s="262"/>
      <c r="H27" s="98"/>
      <c r="I27" s="83"/>
      <c r="J27" s="77"/>
    </row>
    <row r="28" spans="1:10" x14ac:dyDescent="0.25">
      <c r="A28" s="77"/>
      <c r="B28" s="85"/>
      <c r="C28" s="104" t="s">
        <v>569</v>
      </c>
      <c r="D28" s="465"/>
      <c r="E28" s="468">
        <v>-0.43</v>
      </c>
      <c r="F28" s="100"/>
      <c r="G28" s="108" t="s">
        <v>885</v>
      </c>
      <c r="H28" s="98"/>
      <c r="I28" s="83"/>
      <c r="J28" s="78"/>
    </row>
    <row r="29" spans="1:10" ht="4.3499999999999996" customHeight="1" x14ac:dyDescent="0.25">
      <c r="A29" s="77"/>
      <c r="B29" s="85"/>
      <c r="C29" s="104"/>
      <c r="D29" s="98"/>
      <c r="E29" s="98"/>
      <c r="F29" s="100"/>
      <c r="G29" s="263"/>
      <c r="H29" s="98"/>
      <c r="I29" s="83"/>
      <c r="J29" s="77"/>
    </row>
    <row r="30" spans="1:10" ht="15" customHeight="1" x14ac:dyDescent="0.25">
      <c r="A30" s="77"/>
      <c r="B30" s="85"/>
      <c r="C30" s="104" t="s">
        <v>570</v>
      </c>
      <c r="D30" s="465"/>
      <c r="E30" s="469">
        <v>0.5</v>
      </c>
      <c r="F30" s="100"/>
      <c r="G30" s="108" t="s">
        <v>9</v>
      </c>
      <c r="H30" s="98"/>
      <c r="I30" s="83"/>
      <c r="J30" s="78"/>
    </row>
    <row r="31" spans="1:10" ht="4.3499999999999996" customHeight="1" x14ac:dyDescent="0.25">
      <c r="A31" s="77"/>
      <c r="B31" s="85"/>
      <c r="C31" s="104"/>
      <c r="D31" s="98"/>
      <c r="E31" s="98"/>
      <c r="F31" s="100"/>
      <c r="G31" s="263"/>
      <c r="H31" s="98"/>
      <c r="I31" s="83"/>
      <c r="J31" s="77"/>
    </row>
    <row r="32" spans="1:10" ht="15" customHeight="1" x14ac:dyDescent="0.25">
      <c r="A32" s="77"/>
      <c r="B32" s="85"/>
      <c r="C32" s="104" t="s">
        <v>571</v>
      </c>
      <c r="D32" s="262"/>
      <c r="E32" s="468">
        <v>1</v>
      </c>
      <c r="F32" s="100"/>
      <c r="G32" s="108" t="s">
        <v>911</v>
      </c>
      <c r="H32" s="98"/>
      <c r="I32" s="83"/>
      <c r="J32" s="78"/>
    </row>
    <row r="33" spans="1:10" ht="4.3499999999999996" customHeight="1" x14ac:dyDescent="0.25">
      <c r="A33" s="77"/>
      <c r="B33" s="85"/>
      <c r="C33" s="104"/>
      <c r="D33" s="98"/>
      <c r="E33" s="98"/>
      <c r="F33" s="100"/>
      <c r="G33" s="263"/>
      <c r="H33" s="98"/>
      <c r="I33" s="83"/>
      <c r="J33" s="77"/>
    </row>
    <row r="34" spans="1:10" ht="15" customHeight="1" x14ac:dyDescent="0.25">
      <c r="A34" s="77"/>
      <c r="B34" s="85"/>
      <c r="C34" s="104" t="s">
        <v>5</v>
      </c>
      <c r="D34" s="262"/>
      <c r="E34" s="129" t="str">
        <f>IF(OR(ISBLANK(E14),ISBLANK(E16)),"",IFERROR(MAX(-D8,(MIN(E16/E14,1)*E28)*E18*E20*E26*E30*E32),""))</f>
        <v/>
      </c>
      <c r="F34" s="470"/>
      <c r="G34" s="53" t="b">
        <v>0</v>
      </c>
      <c r="H34" s="207" t="str">
        <f>IF(OR(G34=TRUE,E34=""),"Not Active","Active")</f>
        <v>Not Active</v>
      </c>
      <c r="I34" s="83"/>
      <c r="J34" s="77"/>
    </row>
    <row r="35" spans="1:10" ht="15" customHeight="1" x14ac:dyDescent="0.25">
      <c r="A35" s="77"/>
      <c r="B35" s="85"/>
      <c r="C35" s="98"/>
      <c r="D35" s="98"/>
      <c r="E35" s="98"/>
      <c r="F35" s="98"/>
      <c r="G35" s="100"/>
      <c r="H35" s="98"/>
      <c r="I35" s="83"/>
      <c r="J35" s="77"/>
    </row>
    <row r="36" spans="1:10" ht="69.95" customHeight="1" x14ac:dyDescent="0.25">
      <c r="A36" s="77"/>
      <c r="B36" s="85"/>
      <c r="C36" s="748" t="str">
        <f>"Formula:  % Change in VMT =   " &amp; SUBSTITUTE("(( " &amp; C16 &amp; " / " &amp; C14 &amp; " )* " &amp; C28 &amp; " ) * " &amp; C18 &amp; " * " &amp; C20 &amp; " * " &amp; C26 &amp; " * " &amp; C30 &amp; " * " &amp; C32 &amp; " "," used for calculation","")</f>
        <v xml:space="preserve">Formula:  % Change in VMT =   (( Subsidy amount / Average transit fare without subsidy )* Elasticity of transit boardings with respect to transit fare price ) * Percent of residents eligible for subsidy * Percent of project-generated VMT from residents * Transit mode share in neighborhood/city * Percent of transit trips that would otherwise be made in a vehicle * Conversion factor of vehicle trips to VMT </v>
      </c>
      <c r="D36" s="749"/>
      <c r="E36" s="749"/>
      <c r="F36" s="749"/>
      <c r="G36" s="749"/>
      <c r="H36" s="750"/>
      <c r="I36" s="83"/>
      <c r="J36" s="77"/>
    </row>
    <row r="37" spans="1:10" ht="22.5" customHeight="1" x14ac:dyDescent="0.25">
      <c r="A37" s="77"/>
      <c r="B37" s="85"/>
      <c r="C37" s="754" t="s">
        <v>929</v>
      </c>
      <c r="D37" s="755"/>
      <c r="E37" s="755"/>
      <c r="F37" s="755"/>
      <c r="G37" s="755"/>
      <c r="H37" s="756"/>
      <c r="I37" s="83"/>
      <c r="J37" s="77"/>
    </row>
    <row r="38" spans="1:10" ht="15" customHeight="1" x14ac:dyDescent="0.25">
      <c r="A38" s="77"/>
      <c r="B38" s="85"/>
      <c r="C38" s="329"/>
      <c r="D38" s="97"/>
      <c r="E38" s="97"/>
      <c r="F38" s="97"/>
      <c r="G38" s="97"/>
      <c r="H38" s="97"/>
      <c r="I38" s="83"/>
      <c r="J38" s="77"/>
    </row>
    <row r="39" spans="1:10" ht="15" customHeight="1" x14ac:dyDescent="0.25">
      <c r="A39" s="77"/>
      <c r="B39" s="85"/>
      <c r="C39" s="98" t="s">
        <v>6</v>
      </c>
      <c r="D39" s="98"/>
      <c r="E39" s="98"/>
      <c r="F39" s="98"/>
      <c r="G39" s="100"/>
      <c r="H39" s="98"/>
      <c r="I39" s="83"/>
      <c r="J39" s="77"/>
    </row>
    <row r="40" spans="1:10" ht="200.1" customHeight="1" x14ac:dyDescent="0.25">
      <c r="A40" s="77"/>
      <c r="B40" s="85"/>
      <c r="C40" s="747" t="str">
        <f>INDEX(VL_TDM!$AG$11:$AG$41,MATCH($A$4,VL_TDM!$B$11:$B$41,0),1)</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40" s="719"/>
      <c r="E40" s="719"/>
      <c r="F40" s="719"/>
      <c r="G40" s="719"/>
      <c r="H40" s="719"/>
      <c r="I40" s="83"/>
      <c r="J40" s="77"/>
    </row>
    <row r="41" spans="1:10" ht="15" customHeight="1" x14ac:dyDescent="0.25">
      <c r="A41" s="77"/>
      <c r="B41" s="101"/>
      <c r="C41" s="226"/>
      <c r="D41" s="226"/>
      <c r="E41" s="226"/>
      <c r="F41" s="226"/>
      <c r="G41" s="471"/>
      <c r="H41" s="226"/>
      <c r="I41" s="472"/>
      <c r="J41" s="77"/>
    </row>
    <row r="42" spans="1:10" ht="22.35" customHeight="1" x14ac:dyDescent="0.25">
      <c r="A42" s="77"/>
      <c r="B42" s="78"/>
      <c r="C42" s="78"/>
      <c r="D42" s="77"/>
      <c r="E42" s="77"/>
      <c r="F42" s="77"/>
      <c r="G42" s="103"/>
      <c r="H42" s="77"/>
      <c r="I42" s="77"/>
      <c r="J42" s="77"/>
    </row>
  </sheetData>
  <sheetProtection algorithmName="SHA-512" hashValue="9WYNu3IjoHJcuTWMyAt0ra0QQk0Av9JN7hTuYRjXQ9YI4Ay8NZ3cbojX+piIa1zyF9oTHfyMM3QHzkw/WgS8uw==" saltValue="Pk2Y+WDKYbbTWMKhmMvG2A==" spinCount="100000" sheet="1" objects="1" scenarios="1" selectLockedCells="1"/>
  <mergeCells count="6">
    <mergeCell ref="B2:I2"/>
    <mergeCell ref="B4:I4"/>
    <mergeCell ref="C10:H10"/>
    <mergeCell ref="C36:H36"/>
    <mergeCell ref="C40:H40"/>
    <mergeCell ref="C37:H37"/>
  </mergeCells>
  <conditionalFormatting sqref="E34">
    <cfRule type="expression" dxfId="49" priority="1">
      <formula>-ROUND($D$8,3)=ROUND($E$34,3)</formula>
    </cfRule>
    <cfRule type="expression" dxfId="48" priority="2">
      <formula>AND(E34&lt;&gt;"",E34&gt;0)</formula>
    </cfRule>
  </conditionalFormatting>
  <dataValidations count="2">
    <dataValidation type="decimal" allowBlank="1" showErrorMessage="1" errorTitle="Restriction" error="Value must be between 0% and 100%_x000a_" promptTitle="Restriction" prompt="If value exceeds maximum of 25%, default value will be used below." sqref="E24" xr:uid="{30232BB1-80A1-45AC-8DE6-7401820F4378}">
      <formula1>0</formula1>
      <formula2>1</formula2>
    </dataValidation>
    <dataValidation type="decimal" operator="greaterThanOrEqual" allowBlank="1" showErrorMessage="1" error="Value must not be negative" sqref="E14 E16 E20 E18" xr:uid="{7427B53F-E2FA-48AE-94EA-E15205A1BD2C}">
      <formula1>0</formula1>
    </dataValidation>
  </dataValidations>
  <hyperlinks>
    <hyperlink ref="H7" location="Results!A1" display="Results Summary" xr:uid="{62836D87-A04A-4FC1-AA38-D9B57382C2CF}"/>
    <hyperlink ref="H6" location="Main!L65" display="Return to Main É" xr:uid="{BA7EB384-A59C-4638-9AA6-58ACC824975B}"/>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3105" r:id="rId4" name="Check Box 1">
              <controlPr defaultSize="0" autoFill="0" autoLine="0" autoPict="0" altText="Exclude From Results Summary">
                <anchor moveWithCells="1">
                  <from>
                    <xdr:col>6</xdr:col>
                    <xdr:colOff>0</xdr:colOff>
                    <xdr:row>32</xdr:row>
                    <xdr:rowOff>66675</xdr:rowOff>
                  </from>
                  <to>
                    <xdr:col>7</xdr:col>
                    <xdr:colOff>28575</xdr:colOff>
                    <xdr:row>34</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E5B03626-BFBE-4848-A57D-54D79EEA2140}">
          <x14:formula1>
            <xm:f>VL_REF!$CE$11:$CE$16</xm:f>
          </x14:formula1>
          <xm:sqref>E12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C00CC"/>
  </sheetPr>
  <dimension ref="A1:N70"/>
  <sheetViews>
    <sheetView showGridLines="0" showRowColHeaders="0" topLeftCell="A3" zoomScaleNormal="100" workbookViewId="0">
      <selection activeCell="E12" sqref="E12"/>
    </sheetView>
  </sheetViews>
  <sheetFormatPr defaultColWidth="0" defaultRowHeight="15" zeroHeight="1" x14ac:dyDescent="0.25"/>
  <cols>
    <col min="1" max="1" width="4.42578125" style="115" customWidth="1"/>
    <col min="2" max="2" width="8.85546875" style="115" customWidth="1"/>
    <col min="3" max="3" width="20" style="115" customWidth="1"/>
    <col min="4" max="4" width="55.5703125" style="115" customWidth="1"/>
    <col min="5" max="5" width="10.5703125" style="116" customWidth="1"/>
    <col min="6" max="6" width="5.5703125" style="115" customWidth="1"/>
    <col min="7" max="7" width="19" style="115" customWidth="1"/>
    <col min="8" max="8" width="17.5703125" style="115" customWidth="1"/>
    <col min="9" max="9" width="8.85546875" style="115" customWidth="1"/>
    <col min="10" max="10" width="4.5703125" style="115" customWidth="1"/>
    <col min="11" max="12" width="24.5703125" style="92" hidden="1" customWidth="1"/>
    <col min="13" max="16384" width="8.85546875" style="92" hidden="1"/>
  </cols>
  <sheetData>
    <row r="1" spans="1:11" s="78" customFormat="1" ht="18.75" hidden="1" x14ac:dyDescent="0.25">
      <c r="A1" s="77"/>
      <c r="B1" s="720"/>
      <c r="C1" s="720"/>
      <c r="D1" s="720"/>
      <c r="E1" s="720"/>
      <c r="F1" s="720"/>
      <c r="G1" s="720"/>
      <c r="H1" s="720"/>
      <c r="I1" s="720"/>
      <c r="J1" s="77"/>
      <c r="K1" s="92"/>
    </row>
    <row r="2" spans="1:11" ht="18.75" hidden="1" x14ac:dyDescent="0.25">
      <c r="A2" s="77"/>
      <c r="B2" s="720"/>
      <c r="C2" s="720"/>
      <c r="D2" s="720"/>
      <c r="E2" s="720"/>
      <c r="F2" s="720"/>
      <c r="G2" s="720"/>
      <c r="H2" s="720"/>
      <c r="I2" s="720"/>
      <c r="J2" s="77"/>
    </row>
    <row r="3" spans="1:11" ht="18.75" x14ac:dyDescent="0.25">
      <c r="A3" s="77"/>
      <c r="B3" s="51"/>
      <c r="C3" s="81"/>
      <c r="D3" s="81"/>
      <c r="E3" s="82"/>
      <c r="F3" s="81"/>
      <c r="G3" s="81"/>
      <c r="H3" s="81"/>
      <c r="I3" s="81"/>
      <c r="J3" s="77"/>
    </row>
    <row r="4" spans="1:11" ht="21.6" customHeight="1" x14ac:dyDescent="0.25">
      <c r="A4" s="239" t="s">
        <v>25</v>
      </c>
      <c r="B4" s="721" t="str">
        <f>A4&amp;". "&amp;INDEX(VL_TDM!$E$11:$E$41,MATCH($A$4,VL_TDM!$B$11:$B$41,0),1)</f>
        <v>1E. Employer Vanpool Program</v>
      </c>
      <c r="C4" s="722"/>
      <c r="D4" s="722"/>
      <c r="E4" s="722"/>
      <c r="F4" s="722"/>
      <c r="G4" s="722"/>
      <c r="H4" s="722"/>
      <c r="I4" s="723"/>
      <c r="J4" s="77"/>
    </row>
    <row r="5" spans="1:11" ht="15" customHeight="1" x14ac:dyDescent="0.25">
      <c r="A5" s="77"/>
      <c r="B5" s="85"/>
      <c r="C5" s="98"/>
      <c r="D5" s="98"/>
      <c r="E5" s="98"/>
      <c r="F5" s="98"/>
      <c r="G5" s="100"/>
      <c r="H5" s="98"/>
      <c r="I5" s="83"/>
      <c r="J5" s="77"/>
    </row>
    <row r="6" spans="1:11" ht="15" customHeight="1" x14ac:dyDescent="0.25">
      <c r="A6" s="77"/>
      <c r="B6" s="85"/>
      <c r="C6" s="109" t="s">
        <v>1</v>
      </c>
      <c r="D6" s="110" t="str">
        <f>INDEX(VL_TDM!$AC$11:$AC$41,MATCH($A$4,VL_TDM!$B$11:$B$41,0),1)</f>
        <v>Project/Site</v>
      </c>
      <c r="E6" s="111"/>
      <c r="F6" s="111"/>
      <c r="G6" s="111"/>
      <c r="H6" s="617" t="s">
        <v>89</v>
      </c>
      <c r="I6" s="83"/>
      <c r="J6" s="77"/>
    </row>
    <row r="7" spans="1:11" ht="15" customHeight="1" x14ac:dyDescent="0.25">
      <c r="A7" s="77"/>
      <c r="B7" s="85"/>
      <c r="C7" s="109" t="s">
        <v>2</v>
      </c>
      <c r="D7" s="113" t="str">
        <f>INDEX(VL_TDM!$AD$11:$AD$41,MATCH($A$4,VL_TDM!$B$11:$B$41,0),1)</f>
        <v>Employee commute trips</v>
      </c>
      <c r="E7" s="109"/>
      <c r="F7" s="110"/>
      <c r="G7" s="111"/>
      <c r="H7" s="617" t="s">
        <v>105</v>
      </c>
      <c r="I7" s="83"/>
      <c r="J7" s="77"/>
    </row>
    <row r="8" spans="1:11" ht="15" customHeight="1" x14ac:dyDescent="0.25">
      <c r="A8" s="77"/>
      <c r="B8" s="85"/>
      <c r="C8" s="109" t="s">
        <v>149</v>
      </c>
      <c r="D8" s="114">
        <f>INDEX(VL_TDM!$AE$11:$AE$41,MATCH($A$4,VL_TDM!$B$11:$B$41,0),1)</f>
        <v>0.104</v>
      </c>
      <c r="E8" s="98"/>
      <c r="F8" s="98"/>
      <c r="G8" s="100"/>
      <c r="H8" s="98"/>
      <c r="I8" s="83"/>
      <c r="J8" s="77"/>
    </row>
    <row r="9" spans="1:11" ht="15" customHeight="1" x14ac:dyDescent="0.25">
      <c r="A9" s="77"/>
      <c r="B9" s="85"/>
      <c r="C9" s="98"/>
      <c r="D9" s="98"/>
      <c r="E9" s="100"/>
      <c r="F9" s="98"/>
      <c r="G9" s="98"/>
      <c r="H9" s="110"/>
      <c r="I9" s="83"/>
      <c r="J9" s="106"/>
    </row>
    <row r="10" spans="1:11" ht="90" customHeight="1" x14ac:dyDescent="0.25">
      <c r="A10" s="77"/>
      <c r="B10" s="85"/>
      <c r="C10" s="757" t="str">
        <f>INDEX(VL_TDM!$AF$11:$AF$41,MATCH($A$4,VL_TDM!$B$11:$B$41,0),1)</f>
        <v>This strategy will implement an employer-sponsored vanpool service. Vanpooling is a flexible form of public transportation that provides groups of 5 to 15 people with a cost-effective and convenient rideshare option for commuting. The mode shift from long-distance, single-occupied vehicles to shared vehicles reduces overall commute VMT, thereby reducing GHG emissions. When implementing a vanpool service, best practice is to subsidize the cost for employees that have a similar origin and destination and provide priority parking for employees that vanpool.</v>
      </c>
      <c r="D10" s="719"/>
      <c r="E10" s="719"/>
      <c r="F10" s="719"/>
      <c r="G10" s="719"/>
      <c r="H10" s="719"/>
      <c r="I10" s="83"/>
      <c r="J10" s="106"/>
    </row>
    <row r="11" spans="1:11" ht="15" customHeight="1" x14ac:dyDescent="0.25">
      <c r="A11" s="77"/>
      <c r="B11" s="85"/>
      <c r="C11" s="98"/>
      <c r="D11" s="98"/>
      <c r="E11" s="100"/>
      <c r="F11" s="98"/>
      <c r="G11" s="98"/>
      <c r="H11" s="98"/>
      <c r="I11" s="83"/>
      <c r="J11" s="77"/>
    </row>
    <row r="12" spans="1:11" ht="15" customHeight="1" x14ac:dyDescent="0.25">
      <c r="A12" s="77"/>
      <c r="B12" s="85"/>
      <c r="C12" s="104" t="s">
        <v>156</v>
      </c>
      <c r="D12" s="98"/>
      <c r="E12" s="50"/>
      <c r="F12" s="98"/>
      <c r="G12" s="262" t="s">
        <v>0</v>
      </c>
      <c r="H12" s="98"/>
      <c r="I12" s="83"/>
      <c r="J12" s="77"/>
    </row>
    <row r="13" spans="1:11" ht="30" customHeight="1" x14ac:dyDescent="0.25">
      <c r="A13" s="77"/>
      <c r="B13" s="85"/>
      <c r="C13" s="105"/>
      <c r="D13" s="98"/>
      <c r="E13" s="98"/>
      <c r="F13" s="98"/>
      <c r="G13" s="717" t="str">
        <f>IF(E12="no","Strategy does not apply to project. No change in VMT.","")</f>
        <v/>
      </c>
      <c r="H13" s="717"/>
      <c r="I13" s="83"/>
      <c r="J13" s="77"/>
    </row>
    <row r="14" spans="1:11" ht="7.35" customHeight="1" x14ac:dyDescent="0.25">
      <c r="A14" s="77"/>
      <c r="B14" s="85"/>
      <c r="C14" s="105"/>
      <c r="D14" s="98"/>
      <c r="E14" s="98"/>
      <c r="F14" s="98"/>
      <c r="G14" s="473"/>
      <c r="H14" s="98"/>
      <c r="I14" s="83"/>
      <c r="J14" s="77"/>
    </row>
    <row r="15" spans="1:11" ht="15" customHeight="1" x14ac:dyDescent="0.25">
      <c r="A15" s="77"/>
      <c r="B15" s="85"/>
      <c r="C15" s="104" t="s">
        <v>670</v>
      </c>
      <c r="D15" s="98"/>
      <c r="E15" s="266">
        <v>2.7E-2</v>
      </c>
      <c r="F15" s="98"/>
      <c r="G15" s="108" t="s">
        <v>9</v>
      </c>
      <c r="H15" s="98"/>
      <c r="I15" s="83"/>
      <c r="J15" s="77"/>
    </row>
    <row r="16" spans="1:11" ht="7.35" customHeight="1" x14ac:dyDescent="0.25">
      <c r="A16" s="77"/>
      <c r="B16" s="85"/>
      <c r="C16" s="104"/>
      <c r="D16" s="98"/>
      <c r="E16" s="474"/>
      <c r="F16" s="98"/>
      <c r="G16" s="262"/>
      <c r="H16" s="98"/>
      <c r="I16" s="83"/>
      <c r="J16" s="77"/>
    </row>
    <row r="17" spans="1:10" ht="15" customHeight="1" x14ac:dyDescent="0.25">
      <c r="A17" s="77"/>
      <c r="B17" s="85"/>
      <c r="C17" s="104" t="s">
        <v>671</v>
      </c>
      <c r="D17" s="98"/>
      <c r="E17" s="74"/>
      <c r="F17" s="98"/>
      <c r="G17" s="265" t="s">
        <v>11</v>
      </c>
      <c r="H17" s="107"/>
      <c r="I17" s="83"/>
      <c r="J17" s="77"/>
    </row>
    <row r="18" spans="1:10" ht="7.35" customHeight="1" x14ac:dyDescent="0.25">
      <c r="A18" s="77"/>
      <c r="B18" s="85"/>
      <c r="C18" s="105"/>
      <c r="D18" s="98"/>
      <c r="E18" s="98"/>
      <c r="F18" s="98"/>
      <c r="G18" s="263"/>
      <c r="H18" s="98"/>
      <c r="I18" s="83"/>
      <c r="J18" s="77"/>
    </row>
    <row r="19" spans="1:10" x14ac:dyDescent="0.25">
      <c r="A19" s="77"/>
      <c r="B19" s="85"/>
      <c r="C19" s="104" t="s">
        <v>158</v>
      </c>
      <c r="D19" s="98"/>
      <c r="E19" s="60">
        <f>IFERROR(IF(ISBLANK(E17),E15,IF(E17&gt;0.15,E15,IF(E17&gt;=0,E17,E15))),"")</f>
        <v>2.7E-2</v>
      </c>
      <c r="F19" s="98"/>
      <c r="G19" s="262" t="s">
        <v>10</v>
      </c>
      <c r="H19" s="98"/>
      <c r="I19" s="83"/>
      <c r="J19" s="78"/>
    </row>
    <row r="20" spans="1:10" ht="7.35" customHeight="1" x14ac:dyDescent="0.25">
      <c r="A20" s="77"/>
      <c r="B20" s="85"/>
      <c r="C20" s="105"/>
      <c r="D20" s="98"/>
      <c r="E20" s="470"/>
      <c r="F20" s="98"/>
      <c r="G20" s="263"/>
      <c r="H20" s="98"/>
      <c r="I20" s="83"/>
      <c r="J20" s="77"/>
    </row>
    <row r="21" spans="1:10" ht="15" customHeight="1" x14ac:dyDescent="0.25">
      <c r="A21" s="77"/>
      <c r="B21" s="85"/>
      <c r="C21" s="104" t="s">
        <v>672</v>
      </c>
      <c r="D21" s="98"/>
      <c r="E21" s="475" t="e">
        <f>IF(J21="Use Capcoa 2021",VL_REF!$P$3,INDEX(VL_TAZ!$O$9:$AD$9,1,MATCH($C21,VL_TAZ!$O$10:$AD$10,0)))</f>
        <v>#N/A</v>
      </c>
      <c r="F21" s="98"/>
      <c r="G21" s="98" t="str">
        <f>CONCATENATE("Alameda CTC model",IF(NOT(ISBLANK(E23)),", overridden",""))</f>
        <v>Alameda CTC model</v>
      </c>
      <c r="H21" s="108"/>
      <c r="I21" s="83"/>
      <c r="J21" s="239" t="s">
        <v>683</v>
      </c>
    </row>
    <row r="22" spans="1:10" ht="7.35" customHeight="1" x14ac:dyDescent="0.25">
      <c r="A22" s="77"/>
      <c r="B22" s="85"/>
      <c r="C22" s="105"/>
      <c r="D22" s="98"/>
      <c r="E22" s="470"/>
      <c r="F22" s="98"/>
      <c r="G22" s="263"/>
      <c r="H22" s="98"/>
      <c r="I22" s="83"/>
      <c r="J22" s="77"/>
    </row>
    <row r="23" spans="1:10" ht="15" customHeight="1" x14ac:dyDescent="0.25">
      <c r="A23" s="77"/>
      <c r="B23" s="85"/>
      <c r="C23" s="104" t="s">
        <v>675</v>
      </c>
      <c r="D23" s="98"/>
      <c r="E23" s="52"/>
      <c r="F23" s="98"/>
      <c r="G23" s="265" t="s">
        <v>11</v>
      </c>
      <c r="H23" s="107"/>
      <c r="I23" s="83"/>
      <c r="J23" s="77"/>
    </row>
    <row r="24" spans="1:10" ht="7.35" customHeight="1" x14ac:dyDescent="0.25">
      <c r="A24" s="77"/>
      <c r="B24" s="85"/>
      <c r="C24" s="105"/>
      <c r="D24" s="98"/>
      <c r="E24" s="98"/>
      <c r="F24" s="98"/>
      <c r="G24" s="263"/>
      <c r="H24" s="98"/>
      <c r="I24" s="83"/>
      <c r="J24" s="77"/>
    </row>
    <row r="25" spans="1:10" x14ac:dyDescent="0.25">
      <c r="A25" s="77"/>
      <c r="B25" s="85"/>
      <c r="C25" s="104" t="s">
        <v>673</v>
      </c>
      <c r="D25" s="98"/>
      <c r="E25" s="476" t="str">
        <f>IFERROR(IF(ISBLANK(E23),E21,E23),"")</f>
        <v/>
      </c>
      <c r="F25" s="98"/>
      <c r="G25" s="262" t="s">
        <v>10</v>
      </c>
      <c r="H25" s="98"/>
      <c r="I25" s="83"/>
      <c r="J25" s="78"/>
    </row>
    <row r="26" spans="1:10" ht="7.35" customHeight="1" x14ac:dyDescent="0.25">
      <c r="A26" s="77"/>
      <c r="B26" s="85"/>
      <c r="C26" s="105"/>
      <c r="D26" s="98"/>
      <c r="E26" s="470"/>
      <c r="F26" s="98"/>
      <c r="G26" s="263"/>
      <c r="H26" s="98"/>
      <c r="I26" s="83"/>
      <c r="J26" s="77"/>
    </row>
    <row r="27" spans="1:10" ht="15" customHeight="1" x14ac:dyDescent="0.25">
      <c r="A27" s="77"/>
      <c r="B27" s="85"/>
      <c r="C27" s="104" t="s">
        <v>674</v>
      </c>
      <c r="D27" s="98"/>
      <c r="E27" s="475">
        <v>42</v>
      </c>
      <c r="F27" s="98"/>
      <c r="G27" s="108" t="s">
        <v>9</v>
      </c>
      <c r="H27" s="98"/>
      <c r="I27" s="83"/>
      <c r="J27" s="77"/>
    </row>
    <row r="28" spans="1:10" ht="7.35" customHeight="1" x14ac:dyDescent="0.25">
      <c r="A28" s="77"/>
      <c r="B28" s="85"/>
      <c r="C28" s="105"/>
      <c r="D28" s="98"/>
      <c r="E28" s="98"/>
      <c r="F28" s="98"/>
      <c r="G28" s="263"/>
      <c r="H28" s="98"/>
      <c r="I28" s="83"/>
      <c r="J28" s="77"/>
    </row>
    <row r="29" spans="1:10" ht="15" customHeight="1" x14ac:dyDescent="0.25">
      <c r="A29" s="77"/>
      <c r="B29" s="85"/>
      <c r="C29" s="104" t="s">
        <v>676</v>
      </c>
      <c r="D29" s="98"/>
      <c r="E29" s="52"/>
      <c r="F29" s="98"/>
      <c r="G29" s="265" t="s">
        <v>11</v>
      </c>
      <c r="H29" s="107"/>
      <c r="I29" s="83"/>
      <c r="J29" s="77"/>
    </row>
    <row r="30" spans="1:10" ht="7.35" customHeight="1" x14ac:dyDescent="0.25">
      <c r="A30" s="77"/>
      <c r="B30" s="85"/>
      <c r="C30" s="105"/>
      <c r="D30" s="98"/>
      <c r="E30" s="98"/>
      <c r="F30" s="98"/>
      <c r="G30" s="263"/>
      <c r="H30" s="98"/>
      <c r="I30" s="83"/>
      <c r="J30" s="77"/>
    </row>
    <row r="31" spans="1:10" x14ac:dyDescent="0.25">
      <c r="A31" s="77"/>
      <c r="B31" s="85"/>
      <c r="C31" s="104" t="s">
        <v>535</v>
      </c>
      <c r="D31" s="98"/>
      <c r="E31" s="476">
        <f>IFERROR(IF(ISBLANK(E29),E27,E29),"")</f>
        <v>42</v>
      </c>
      <c r="F31" s="98"/>
      <c r="G31" s="262" t="s">
        <v>10</v>
      </c>
      <c r="H31" s="98"/>
      <c r="I31" s="83"/>
      <c r="J31" s="78"/>
    </row>
    <row r="32" spans="1:10" ht="7.35" customHeight="1" x14ac:dyDescent="0.25">
      <c r="A32" s="77"/>
      <c r="B32" s="85"/>
      <c r="C32" s="105"/>
      <c r="D32" s="98"/>
      <c r="E32" s="98"/>
      <c r="F32" s="98"/>
      <c r="G32" s="263"/>
      <c r="H32" s="98"/>
      <c r="I32" s="83"/>
      <c r="J32" s="77"/>
    </row>
    <row r="33" spans="1:10" ht="15" customHeight="1" x14ac:dyDescent="0.25">
      <c r="A33" s="77"/>
      <c r="B33" s="85"/>
      <c r="C33" s="104" t="s">
        <v>114</v>
      </c>
      <c r="D33" s="98"/>
      <c r="E33" s="477">
        <v>6.25</v>
      </c>
      <c r="F33" s="98"/>
      <c r="G33" s="108" t="s">
        <v>9</v>
      </c>
      <c r="H33" s="98"/>
      <c r="I33" s="83"/>
      <c r="J33" s="78"/>
    </row>
    <row r="34" spans="1:10" ht="7.35" customHeight="1" x14ac:dyDescent="0.25">
      <c r="A34" s="77"/>
      <c r="B34" s="85"/>
      <c r="C34" s="105"/>
      <c r="D34" s="98"/>
      <c r="E34" s="98"/>
      <c r="F34" s="98"/>
      <c r="G34" s="263"/>
      <c r="H34" s="98"/>
      <c r="I34" s="83"/>
      <c r="J34" s="77"/>
    </row>
    <row r="35" spans="1:10" ht="15" customHeight="1" x14ac:dyDescent="0.25">
      <c r="A35" s="77"/>
      <c r="B35" s="85"/>
      <c r="C35" s="104" t="s">
        <v>5</v>
      </c>
      <c r="D35" s="100"/>
      <c r="E35" s="129" t="str">
        <f>IF(E12="yes",IFERROR(MAX(-D8,((((1-E19)*E25+E19*(E31/E33))/((1-E19)*E25+E19*E31))-1)),""),"")</f>
        <v/>
      </c>
      <c r="F35" s="470"/>
      <c r="G35" s="53" t="b">
        <v>0</v>
      </c>
      <c r="H35" s="207" t="str">
        <f>IF(OR(G35=TRUE,E35=""),"Not Active","Active")</f>
        <v>Not Active</v>
      </c>
      <c r="I35" s="83"/>
      <c r="J35" s="77"/>
    </row>
    <row r="36" spans="1:10" ht="15" customHeight="1" x14ac:dyDescent="0.25">
      <c r="A36" s="77"/>
      <c r="B36" s="85"/>
      <c r="C36" s="262"/>
      <c r="D36" s="98"/>
      <c r="E36" s="478"/>
      <c r="F36" s="98"/>
      <c r="G36" s="98"/>
      <c r="H36" s="98"/>
      <c r="I36" s="83"/>
      <c r="J36" s="77"/>
    </row>
    <row r="37" spans="1:10" s="480" customFormat="1" ht="51.95" customHeight="1" x14ac:dyDescent="0.25">
      <c r="A37" s="93"/>
      <c r="B37" s="94"/>
      <c r="C37" s="748" t="str">
        <f>"Formula:  % Change in VMT =  " &amp; SUBSTITUTE("((((1- " &amp; C19 &amp; " )* " &amp; C25 &amp; " + " &amp; C19 &amp; " *( " &amp; C31 &amp; " / " &amp; C33 &amp; " ))/((1- " &amp; C19 &amp; " )* " &amp; C25 &amp; " + " &amp; C19 &amp; " * " &amp; C31 &amp; " ))-1)"," used for calculation","")</f>
        <v>Formula:  % Change in VMT =  ((((1- Vanpool participation rate )* Length of one-way vehicle commute trip in region + Vanpool participation rate *( Length of one-way vanpool commute trip / Average vanpool occupancy (including driver) ))/((1- Vanpool participation rate )* Length of one-way vehicle commute trip in region + Vanpool participation rate * Length of one-way vanpool commute trip ))-1)</v>
      </c>
      <c r="D37" s="749"/>
      <c r="E37" s="749"/>
      <c r="F37" s="750"/>
      <c r="G37" s="749"/>
      <c r="H37" s="750"/>
      <c r="I37" s="479"/>
      <c r="J37" s="93"/>
    </row>
    <row r="38" spans="1:10" ht="15" customHeight="1" x14ac:dyDescent="0.25">
      <c r="A38" s="77"/>
      <c r="B38" s="95"/>
      <c r="C38" s="96"/>
      <c r="D38" s="226" t="s">
        <v>869</v>
      </c>
      <c r="E38" s="227"/>
      <c r="F38" s="227"/>
      <c r="G38" s="227"/>
      <c r="H38" s="225"/>
      <c r="I38" s="83"/>
      <c r="J38" s="77"/>
    </row>
    <row r="39" spans="1:10" ht="15" customHeight="1" x14ac:dyDescent="0.25">
      <c r="A39" s="77"/>
      <c r="B39" s="85"/>
      <c r="C39" s="97"/>
      <c r="D39" s="97"/>
      <c r="E39" s="97"/>
      <c r="F39" s="97"/>
      <c r="G39" s="97"/>
      <c r="H39" s="97"/>
      <c r="I39" s="83"/>
      <c r="J39" s="77"/>
    </row>
    <row r="40" spans="1:10" ht="15" customHeight="1" x14ac:dyDescent="0.25">
      <c r="A40" s="77"/>
      <c r="B40" s="85"/>
      <c r="C40" s="98" t="s">
        <v>6</v>
      </c>
      <c r="D40" s="99"/>
      <c r="E40" s="100"/>
      <c r="F40" s="98"/>
      <c r="G40" s="98"/>
      <c r="H40" s="98"/>
      <c r="I40" s="83"/>
      <c r="J40" s="77"/>
    </row>
    <row r="41" spans="1:10" ht="99.95" customHeight="1" x14ac:dyDescent="0.25">
      <c r="A41" s="77"/>
      <c r="B41" s="85"/>
      <c r="C41" s="747" t="str">
        <f>INDEX(VL_TDM!$AG$11:$AG$41,MATCH($A$4,VL_TDM!$B$11:$B$41,0),1)</f>
        <v>(1)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v>
      </c>
      <c r="D41" s="719"/>
      <c r="E41" s="719"/>
      <c r="F41" s="719"/>
      <c r="G41" s="719"/>
      <c r="H41" s="719"/>
      <c r="I41" s="83"/>
      <c r="J41" s="77"/>
    </row>
    <row r="42" spans="1:10" ht="15" customHeight="1" x14ac:dyDescent="0.25">
      <c r="A42" s="77"/>
      <c r="B42" s="101"/>
      <c r="C42" s="102"/>
      <c r="D42" s="102"/>
      <c r="E42" s="102"/>
      <c r="F42" s="102"/>
      <c r="G42" s="102"/>
      <c r="H42" s="102"/>
      <c r="I42" s="472"/>
      <c r="J42" s="77"/>
    </row>
    <row r="43" spans="1:10" ht="22.35" customHeight="1" x14ac:dyDescent="0.25">
      <c r="A43" s="77"/>
      <c r="B43" s="77"/>
      <c r="C43" s="77"/>
      <c r="D43" s="77"/>
      <c r="E43" s="103"/>
      <c r="F43" s="77"/>
      <c r="G43" s="77"/>
      <c r="H43" s="77"/>
      <c r="I43" s="77"/>
      <c r="J43" s="77"/>
    </row>
    <row r="50" spans="8:14" hidden="1" x14ac:dyDescent="0.25">
      <c r="I50" s="481"/>
      <c r="J50" s="482"/>
      <c r="K50" s="482"/>
      <c r="L50" s="483"/>
      <c r="M50" s="483"/>
      <c r="N50" s="484"/>
    </row>
    <row r="51" spans="8:14" hidden="1" x14ac:dyDescent="0.25">
      <c r="I51" s="481"/>
      <c r="J51" s="482"/>
      <c r="K51" s="481"/>
      <c r="L51" s="483"/>
      <c r="M51" s="483"/>
      <c r="N51" s="484"/>
    </row>
    <row r="52" spans="8:14" hidden="1" x14ac:dyDescent="0.25">
      <c r="I52" s="481"/>
      <c r="J52" s="482"/>
      <c r="K52" s="482"/>
      <c r="L52" s="483"/>
      <c r="M52" s="483"/>
      <c r="N52" s="484"/>
    </row>
    <row r="53" spans="8:14" hidden="1" x14ac:dyDescent="0.25">
      <c r="I53" s="481"/>
      <c r="J53" s="482"/>
      <c r="K53" s="482"/>
      <c r="L53" s="483"/>
      <c r="M53" s="483"/>
      <c r="N53" s="484"/>
    </row>
    <row r="54" spans="8:14" hidden="1" x14ac:dyDescent="0.25">
      <c r="I54" s="481"/>
      <c r="J54" s="482"/>
      <c r="K54" s="482"/>
      <c r="L54" s="483"/>
      <c r="M54" s="483"/>
      <c r="N54" s="484"/>
    </row>
    <row r="55" spans="8:14" hidden="1" x14ac:dyDescent="0.25">
      <c r="I55" s="481"/>
      <c r="J55" s="482"/>
      <c r="K55" s="482"/>
      <c r="L55" s="483"/>
      <c r="M55" s="483"/>
      <c r="N55" s="484"/>
    </row>
    <row r="56" spans="8:14" hidden="1" x14ac:dyDescent="0.25">
      <c r="I56" s="482"/>
      <c r="J56" s="482"/>
      <c r="K56" s="482"/>
      <c r="L56" s="483"/>
      <c r="M56" s="483"/>
    </row>
    <row r="57" spans="8:14" hidden="1" x14ac:dyDescent="0.25">
      <c r="I57" s="481"/>
      <c r="J57" s="482"/>
      <c r="K57" s="482"/>
      <c r="L57" s="483"/>
      <c r="M57" s="483"/>
    </row>
    <row r="58" spans="8:14" hidden="1" x14ac:dyDescent="0.25">
      <c r="I58" s="481"/>
      <c r="J58" s="482"/>
      <c r="K58" s="482"/>
      <c r="L58" s="483"/>
      <c r="M58" s="483"/>
    </row>
    <row r="59" spans="8:14" hidden="1" x14ac:dyDescent="0.25">
      <c r="I59" s="481"/>
      <c r="J59" s="482"/>
      <c r="K59" s="482"/>
      <c r="L59" s="483"/>
      <c r="M59" s="483"/>
    </row>
    <row r="60" spans="8:14" hidden="1" x14ac:dyDescent="0.25">
      <c r="I60" s="481"/>
      <c r="J60" s="482"/>
      <c r="K60" s="482"/>
      <c r="L60" s="483"/>
      <c r="M60" s="483"/>
    </row>
    <row r="61" spans="8:14" hidden="1" x14ac:dyDescent="0.25">
      <c r="I61" s="485"/>
      <c r="J61" s="485"/>
      <c r="K61" s="486"/>
      <c r="L61" s="485"/>
      <c r="M61" s="485"/>
    </row>
    <row r="62" spans="8:14" hidden="1" x14ac:dyDescent="0.25">
      <c r="H62" s="487"/>
      <c r="I62" s="482"/>
      <c r="J62" s="482"/>
      <c r="K62" s="482"/>
      <c r="L62" s="488"/>
      <c r="M62" s="483"/>
    </row>
    <row r="63" spans="8:14" hidden="1" x14ac:dyDescent="0.25">
      <c r="H63" s="487"/>
      <c r="I63" s="482"/>
      <c r="J63" s="482"/>
      <c r="K63" s="482"/>
      <c r="L63" s="488"/>
      <c r="M63" s="483"/>
    </row>
    <row r="64" spans="8:14" hidden="1" x14ac:dyDescent="0.25">
      <c r="H64" s="487"/>
      <c r="I64" s="481"/>
      <c r="J64" s="482"/>
      <c r="K64" s="482"/>
      <c r="L64" s="488"/>
      <c r="M64" s="483"/>
    </row>
    <row r="65" spans="8:13" hidden="1" x14ac:dyDescent="0.25">
      <c r="H65" s="487"/>
      <c r="I65" s="481"/>
      <c r="J65" s="482"/>
      <c r="K65" s="482"/>
      <c r="L65" s="488"/>
      <c r="M65" s="483"/>
    </row>
    <row r="66" spans="8:13" hidden="1" x14ac:dyDescent="0.25">
      <c r="H66" s="487"/>
      <c r="I66" s="482"/>
      <c r="J66" s="482"/>
      <c r="K66" s="489"/>
      <c r="L66" s="488"/>
      <c r="M66" s="483"/>
    </row>
    <row r="67" spans="8:13" hidden="1" x14ac:dyDescent="0.25">
      <c r="H67" s="487"/>
      <c r="I67" s="482"/>
      <c r="J67" s="482"/>
      <c r="K67" s="489"/>
      <c r="L67" s="488"/>
      <c r="M67" s="483"/>
    </row>
    <row r="68" spans="8:13" hidden="1" x14ac:dyDescent="0.25">
      <c r="H68" s="487"/>
      <c r="I68" s="482"/>
      <c r="J68" s="482"/>
      <c r="K68" s="482"/>
      <c r="L68" s="488"/>
      <c r="M68" s="483"/>
    </row>
    <row r="69" spans="8:13" hidden="1" x14ac:dyDescent="0.25">
      <c r="H69" s="487"/>
      <c r="I69" s="482"/>
      <c r="J69" s="482"/>
      <c r="K69" s="482"/>
      <c r="L69" s="488"/>
      <c r="M69" s="483"/>
    </row>
    <row r="70" spans="8:13" hidden="1" x14ac:dyDescent="0.25">
      <c r="K70" s="490"/>
      <c r="L70" s="491"/>
    </row>
  </sheetData>
  <sheetProtection algorithmName="SHA-512" hashValue="dwaWTu3+1jl2LgLbIwLobOqHmut2pwEC5Mgfs/hvG4FmmldkmHsy3paf9yVoI49dpG364SRLdsX8+qVloTN4qQ==" saltValue="fIYEnHFAdztrgQ0lW1l6zA==" spinCount="100000" sheet="1" objects="1" scenarios="1" selectLockedCells="1"/>
  <mergeCells count="7">
    <mergeCell ref="C41:H41"/>
    <mergeCell ref="B1:I1"/>
    <mergeCell ref="B2:I2"/>
    <mergeCell ref="B4:I4"/>
    <mergeCell ref="C37:H37"/>
    <mergeCell ref="C10:H10"/>
    <mergeCell ref="G13:H13"/>
  </mergeCells>
  <conditionalFormatting sqref="E35">
    <cfRule type="expression" dxfId="47" priority="75">
      <formula>-ROUND($D$8,3)=ROUND($E$35,3)</formula>
    </cfRule>
    <cfRule type="expression" dxfId="46" priority="76">
      <formula>AND(E35&lt;&gt;"",E35&gt;0)</formula>
    </cfRule>
  </conditionalFormatting>
  <dataValidations count="2">
    <dataValidation type="decimal" operator="greaterThanOrEqual" allowBlank="1" showErrorMessage="1" errorTitle="Restriction" error="Value must not be negative" promptTitle="Restriction" prompt="_x000a_" sqref="E29 E23" xr:uid="{00000000-0002-0000-0800-000000000000}">
      <formula1>0</formula1>
    </dataValidation>
    <dataValidation type="decimal" allowBlank="1" showErrorMessage="1" errorTitle="Restriction" error="Value must be between 0% and 100%" promptTitle="Restriction" prompt="_x000a_" sqref="E17" xr:uid="{00000000-0002-0000-0800-000001000000}">
      <formula1>0</formula1>
      <formula2>1</formula2>
    </dataValidation>
  </dataValidations>
  <hyperlinks>
    <hyperlink ref="H7" location="Results!A1" display="Results Summary" xr:uid="{00000000-0004-0000-0800-000000000000}"/>
    <hyperlink ref="H6" location="Main!E65" display="Return to Main É" xr:uid="{00000000-0004-0000-08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ltText="Exclude From Results Summary">
                <anchor moveWithCells="1">
                  <from>
                    <xdr:col>6</xdr:col>
                    <xdr:colOff>0</xdr:colOff>
                    <xdr:row>33</xdr:row>
                    <xdr:rowOff>76200</xdr:rowOff>
                  </from>
                  <to>
                    <xdr:col>7</xdr:col>
                    <xdr:colOff>9525</xdr:colOff>
                    <xdr:row>35</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800-000002000000}">
          <x14:formula1>
            <xm:f>VL_REF!$CB$11:$CB$13</xm:f>
          </x14:formula1>
          <xm:sqref>E12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CC00CC"/>
  </sheetPr>
  <dimension ref="A1:K24"/>
  <sheetViews>
    <sheetView showGridLines="0" showRowColHeaders="0" zoomScaleNormal="100" workbookViewId="0">
      <selection activeCell="E10" sqref="E10"/>
    </sheetView>
  </sheetViews>
  <sheetFormatPr defaultColWidth="0" defaultRowHeight="15" zeroHeight="1" x14ac:dyDescent="0.25"/>
  <cols>
    <col min="1" max="1" width="4.42578125" style="92" customWidth="1"/>
    <col min="2" max="2" width="8.85546875" style="92" customWidth="1"/>
    <col min="3" max="3" width="20" style="92" customWidth="1"/>
    <col min="4" max="4" width="37.5703125" style="92" customWidth="1"/>
    <col min="5" max="5" width="10.5703125" style="271" customWidth="1"/>
    <col min="6" max="6" width="5.42578125" style="92" customWidth="1"/>
    <col min="7" max="7" width="20.42578125" style="92" customWidth="1"/>
    <col min="8" max="8" width="17.5703125" style="92" customWidth="1"/>
    <col min="9" max="9" width="8.85546875" style="92" customWidth="1"/>
    <col min="10" max="10" width="4.42578125" style="92" customWidth="1"/>
    <col min="11" max="16384" width="8.85546875" style="92" hidden="1"/>
  </cols>
  <sheetData>
    <row r="1" spans="1:11" ht="18.75" x14ac:dyDescent="0.3">
      <c r="A1" s="78"/>
      <c r="B1" s="36"/>
      <c r="C1" s="78"/>
      <c r="D1" s="78"/>
      <c r="E1" s="80"/>
      <c r="F1" s="78"/>
      <c r="G1" s="78"/>
      <c r="H1" s="78"/>
      <c r="I1" s="78"/>
      <c r="J1" s="78"/>
    </row>
    <row r="2" spans="1:11" ht="21.6" customHeight="1" x14ac:dyDescent="0.25">
      <c r="A2" s="240" t="s">
        <v>53</v>
      </c>
      <c r="B2" s="721" t="s">
        <v>137</v>
      </c>
      <c r="C2" s="758"/>
      <c r="D2" s="758"/>
      <c r="E2" s="758"/>
      <c r="F2" s="758"/>
      <c r="G2" s="758"/>
      <c r="H2" s="758"/>
      <c r="I2" s="759"/>
      <c r="J2" s="78"/>
      <c r="K2" s="78"/>
    </row>
    <row r="3" spans="1:11" ht="15" customHeight="1" x14ac:dyDescent="0.25">
      <c r="A3" s="78"/>
      <c r="B3" s="88"/>
      <c r="C3" s="442"/>
      <c r="D3" s="442"/>
      <c r="E3" s="442"/>
      <c r="F3" s="442"/>
      <c r="G3" s="443"/>
      <c r="H3" s="442"/>
      <c r="I3" s="87"/>
      <c r="J3" s="78"/>
    </row>
    <row r="4" spans="1:11" ht="15" customHeight="1" x14ac:dyDescent="0.25">
      <c r="A4" s="78"/>
      <c r="B4" s="88"/>
      <c r="C4" s="444" t="s">
        <v>1</v>
      </c>
      <c r="D4" s="445" t="s">
        <v>39</v>
      </c>
      <c r="E4" s="443"/>
      <c r="F4" s="443"/>
      <c r="G4" s="443"/>
      <c r="H4" s="614" t="s">
        <v>89</v>
      </c>
      <c r="I4" s="87"/>
      <c r="J4" s="78"/>
    </row>
    <row r="5" spans="1:11" ht="15" customHeight="1" x14ac:dyDescent="0.25">
      <c r="A5" s="78"/>
      <c r="B5" s="88"/>
      <c r="C5" s="444" t="s">
        <v>2</v>
      </c>
      <c r="D5" s="447" t="s">
        <v>3</v>
      </c>
      <c r="E5" s="444"/>
      <c r="F5" s="492"/>
      <c r="G5" s="443"/>
      <c r="H5" s="614" t="s">
        <v>105</v>
      </c>
      <c r="I5" s="87"/>
      <c r="J5" s="78"/>
    </row>
    <row r="6" spans="1:11" ht="15" customHeight="1" x14ac:dyDescent="0.25">
      <c r="A6" s="78"/>
      <c r="B6" s="88"/>
      <c r="C6" s="444" t="s">
        <v>149</v>
      </c>
      <c r="D6" s="448">
        <v>0.44</v>
      </c>
      <c r="E6" s="442"/>
      <c r="F6" s="442"/>
      <c r="G6" s="443"/>
      <c r="H6" s="442"/>
      <c r="I6" s="87"/>
      <c r="J6" s="78"/>
    </row>
    <row r="7" spans="1:11" ht="15" customHeight="1" x14ac:dyDescent="0.25">
      <c r="A7" s="78"/>
      <c r="B7" s="88"/>
      <c r="C7" s="442"/>
      <c r="D7" s="442"/>
      <c r="E7" s="443"/>
      <c r="F7" s="442"/>
      <c r="G7" s="442"/>
      <c r="H7" s="442"/>
      <c r="I7" s="87"/>
      <c r="J7" s="78"/>
    </row>
    <row r="8" spans="1:11" ht="45" customHeight="1" x14ac:dyDescent="0.25">
      <c r="A8" s="78"/>
      <c r="B8" s="88"/>
      <c r="C8" s="760" t="s">
        <v>954</v>
      </c>
      <c r="D8" s="760"/>
      <c r="E8" s="760"/>
      <c r="F8" s="761"/>
      <c r="G8" s="762"/>
      <c r="H8" s="762"/>
      <c r="I8" s="87"/>
      <c r="J8" s="78"/>
    </row>
    <row r="9" spans="1:11" ht="15" customHeight="1" x14ac:dyDescent="0.25">
      <c r="A9" s="78"/>
      <c r="B9" s="88"/>
      <c r="C9" s="451"/>
      <c r="D9" s="451"/>
      <c r="E9" s="443"/>
      <c r="F9" s="442"/>
      <c r="G9" s="442"/>
      <c r="H9" s="442"/>
      <c r="I9" s="87"/>
      <c r="J9" s="78"/>
    </row>
    <row r="10" spans="1:11" ht="15" customHeight="1" x14ac:dyDescent="0.25">
      <c r="A10" s="78"/>
      <c r="B10" s="88"/>
      <c r="C10" s="449" t="s">
        <v>64</v>
      </c>
      <c r="D10" s="442"/>
      <c r="E10" s="70"/>
      <c r="F10" s="443"/>
      <c r="G10" s="453" t="s">
        <v>0</v>
      </c>
      <c r="H10" s="442"/>
      <c r="I10" s="87"/>
      <c r="J10" s="78"/>
    </row>
    <row r="11" spans="1:11" ht="7.35" customHeight="1" x14ac:dyDescent="0.25">
      <c r="A11" s="78"/>
      <c r="B11" s="88"/>
      <c r="C11" s="450"/>
      <c r="D11" s="442"/>
      <c r="E11" s="442"/>
      <c r="F11" s="443"/>
      <c r="G11" s="451"/>
      <c r="H11" s="442"/>
      <c r="I11" s="87"/>
      <c r="J11" s="78"/>
    </row>
    <row r="12" spans="1:11" ht="15" customHeight="1" x14ac:dyDescent="0.25">
      <c r="A12" s="78"/>
      <c r="B12" s="88"/>
      <c r="C12" s="449" t="s">
        <v>50</v>
      </c>
      <c r="D12" s="442"/>
      <c r="E12" s="26"/>
      <c r="F12" s="443"/>
      <c r="G12" s="453" t="s">
        <v>0</v>
      </c>
      <c r="H12" s="442"/>
      <c r="I12" s="87"/>
      <c r="J12" s="78"/>
    </row>
    <row r="13" spans="1:11" ht="7.35" customHeight="1" x14ac:dyDescent="0.25">
      <c r="A13" s="78"/>
      <c r="B13" s="88"/>
      <c r="C13" s="450"/>
      <c r="D13" s="442"/>
      <c r="E13" s="442"/>
      <c r="F13" s="443"/>
      <c r="G13" s="451"/>
      <c r="H13" s="442"/>
      <c r="I13" s="87"/>
      <c r="J13" s="78"/>
    </row>
    <row r="14" spans="1:11" ht="15" customHeight="1" x14ac:dyDescent="0.25">
      <c r="A14" s="78"/>
      <c r="B14" s="88"/>
      <c r="C14" s="449" t="str">
        <f>CONCATENATE("% change in commute VMT for 1% of employees ")</f>
        <v xml:space="preserve">% change in commute VMT for 1% of employees </v>
      </c>
      <c r="D14" s="442"/>
      <c r="E14" s="493" t="str">
        <f>IF(ISBLANK(E12),"",VL_REF!CH3)</f>
        <v/>
      </c>
      <c r="F14" s="494"/>
      <c r="G14" s="495" t="s">
        <v>95</v>
      </c>
      <c r="H14" s="98"/>
      <c r="I14" s="87"/>
      <c r="J14" s="78"/>
    </row>
    <row r="15" spans="1:11" ht="15" customHeight="1" x14ac:dyDescent="0.25">
      <c r="A15" s="78"/>
      <c r="B15" s="88"/>
      <c r="C15" s="449" t="str">
        <f>CONCATENATE("telecommuting @ ",E12," days/week","")</f>
        <v>telecommuting @  days/week</v>
      </c>
      <c r="D15" s="449"/>
      <c r="E15" s="496"/>
      <c r="F15" s="494"/>
      <c r="G15" s="495"/>
      <c r="H15" s="98"/>
      <c r="I15" s="87"/>
      <c r="J15" s="78"/>
    </row>
    <row r="16" spans="1:11" ht="7.35" customHeight="1" x14ac:dyDescent="0.25">
      <c r="A16" s="78"/>
      <c r="B16" s="88"/>
      <c r="C16" s="450"/>
      <c r="D16" s="442"/>
      <c r="E16" s="442"/>
      <c r="F16" s="443"/>
      <c r="G16" s="453"/>
      <c r="H16" s="442"/>
      <c r="I16" s="87"/>
      <c r="J16" s="78"/>
    </row>
    <row r="17" spans="1:10" ht="15" customHeight="1" x14ac:dyDescent="0.25">
      <c r="A17" s="78"/>
      <c r="B17" s="88"/>
      <c r="C17" s="449" t="s">
        <v>5</v>
      </c>
      <c r="D17" s="442"/>
      <c r="E17" s="456" t="str">
        <f>IF(ISBLANK(E10),"",IFERROR(MAX(-D6,E10*100*E14), ""))</f>
        <v/>
      </c>
      <c r="F17" s="497"/>
      <c r="G17" s="14" t="b">
        <v>0</v>
      </c>
      <c r="H17" s="207" t="str">
        <f>IF(OR(G17=TRUE,E17=""),"Not Active","Active")</f>
        <v>Not Active</v>
      </c>
      <c r="I17" s="87"/>
      <c r="J17" s="78"/>
    </row>
    <row r="18" spans="1:10" ht="15" customHeight="1" x14ac:dyDescent="0.25">
      <c r="A18" s="78"/>
      <c r="B18" s="88"/>
      <c r="C18" s="442"/>
      <c r="D18" s="442"/>
      <c r="E18" s="443"/>
      <c r="F18" s="442"/>
      <c r="G18" s="442"/>
      <c r="H18" s="442"/>
      <c r="I18" s="87"/>
      <c r="J18" s="78"/>
    </row>
    <row r="19" spans="1:10" ht="35.1" customHeight="1" x14ac:dyDescent="0.25">
      <c r="A19" s="78"/>
      <c r="B19" s="88"/>
      <c r="C19" s="763" t="str">
        <f>CONCATENATE("Formula:  % Change in VMT = ", C10," * ",C14, C15)</f>
        <v>Formula:  % Change in VMT = % of employees who participate * % change in commute VMT for 1% of employees telecommuting @  days/week</v>
      </c>
      <c r="D19" s="764"/>
      <c r="E19" s="764"/>
      <c r="F19" s="764"/>
      <c r="G19" s="764"/>
      <c r="H19" s="765"/>
      <c r="I19" s="87"/>
      <c r="J19" s="78"/>
    </row>
    <row r="20" spans="1:10" ht="15" customHeight="1" x14ac:dyDescent="0.25">
      <c r="A20" s="78"/>
      <c r="B20" s="88"/>
      <c r="C20" s="442"/>
      <c r="D20" s="442"/>
      <c r="E20" s="443"/>
      <c r="F20" s="442"/>
      <c r="G20" s="442"/>
      <c r="H20" s="442"/>
      <c r="I20" s="87"/>
      <c r="J20" s="78"/>
    </row>
    <row r="21" spans="1:10" ht="15" customHeight="1" x14ac:dyDescent="0.25">
      <c r="A21" s="78"/>
      <c r="B21" s="88"/>
      <c r="C21" s="442" t="s">
        <v>6</v>
      </c>
      <c r="D21" s="442"/>
      <c r="E21" s="443"/>
      <c r="F21" s="442"/>
      <c r="G21" s="442"/>
      <c r="H21" s="442"/>
      <c r="I21" s="87"/>
      <c r="J21" s="78"/>
    </row>
    <row r="22" spans="1:10" ht="99.95" customHeight="1" x14ac:dyDescent="0.25">
      <c r="A22" s="78"/>
      <c r="B22" s="88"/>
      <c r="C22" s="766" t="s">
        <v>757</v>
      </c>
      <c r="D22" s="767"/>
      <c r="E22" s="767"/>
      <c r="F22" s="767"/>
      <c r="G22" s="767"/>
      <c r="H22" s="768"/>
      <c r="I22" s="87"/>
      <c r="J22" s="78"/>
    </row>
    <row r="23" spans="1:10" ht="15" customHeight="1" x14ac:dyDescent="0.25">
      <c r="A23" s="78"/>
      <c r="B23" s="86"/>
      <c r="C23" s="102"/>
      <c r="D23" s="102"/>
      <c r="E23" s="459"/>
      <c r="F23" s="102"/>
      <c r="G23" s="102"/>
      <c r="H23" s="102"/>
      <c r="I23" s="498"/>
      <c r="J23" s="78"/>
    </row>
    <row r="24" spans="1:10" x14ac:dyDescent="0.25">
      <c r="A24" s="78"/>
      <c r="B24" s="78"/>
      <c r="C24" s="78"/>
      <c r="D24" s="78"/>
      <c r="E24" s="80"/>
      <c r="F24" s="78"/>
      <c r="G24" s="78"/>
      <c r="H24" s="78"/>
      <c r="I24" s="78"/>
      <c r="J24" s="78"/>
    </row>
  </sheetData>
  <sheetProtection algorithmName="SHA-512" hashValue="ZjN1ZFEBLGsqdmEbC3Kn1A67zHfoWKDmD9oySog76G0D369WahwcZwWROB+l7LXbVSneLmiSPYIj1ceH+/qjiQ==" saltValue="sze/I8+3RrZKX1wNzJC4Pw==" spinCount="100000" sheet="1" objects="1" scenarios="1" selectLockedCells="1"/>
  <mergeCells count="4">
    <mergeCell ref="B2:I2"/>
    <mergeCell ref="C8:H8"/>
    <mergeCell ref="C19:H19"/>
    <mergeCell ref="C22:H22"/>
  </mergeCells>
  <conditionalFormatting sqref="E17">
    <cfRule type="expression" dxfId="45" priority="9">
      <formula>-ROUND($D$6,3)=ROUND($E$17,3)</formula>
    </cfRule>
    <cfRule type="expression" dxfId="44" priority="10">
      <formula>AND(E17&lt;&gt;"",E17&gt;0)</formula>
    </cfRule>
  </conditionalFormatting>
  <dataValidations count="1">
    <dataValidation type="decimal" allowBlank="1" showErrorMessage="1" errorTitle="Restriction" error="Value must be between 0% and 100%_x000a_" promptTitle="Restriction" prompt="Value must be between 0% and 100%_x000a_" sqref="E10" xr:uid="{00000000-0002-0000-0900-000000000000}">
      <formula1>0</formula1>
      <formula2>1</formula2>
    </dataValidation>
  </dataValidations>
  <hyperlinks>
    <hyperlink ref="H5" location="Results!A1" display="Results Summary" xr:uid="{00000000-0004-0000-0900-000000000000}"/>
    <hyperlink ref="H4" location="Main!E65" display="Return to Main É" xr:uid="{00000000-0004-0000-09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ltText="Exclude From Results Summary">
                <anchor moveWithCells="1">
                  <from>
                    <xdr:col>6</xdr:col>
                    <xdr:colOff>9525</xdr:colOff>
                    <xdr:row>15</xdr:row>
                    <xdr:rowOff>66675</xdr:rowOff>
                  </from>
                  <to>
                    <xdr:col>6</xdr:col>
                    <xdr:colOff>1400175</xdr:colOff>
                    <xdr:row>17</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xr:uid="{00000000-0002-0000-0900-000001000000}">
          <x14:formula1>
            <xm:f>VL_REF!$CI$12:$CI$15</xm:f>
          </x14:formula1>
          <xm:sqref>E12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33CCCC"/>
  </sheetPr>
  <dimension ref="A1:M39"/>
  <sheetViews>
    <sheetView showGridLines="0" showRowColHeaders="0" topLeftCell="A3" zoomScaleNormal="100" workbookViewId="0">
      <selection activeCell="E12" sqref="E12"/>
    </sheetView>
  </sheetViews>
  <sheetFormatPr defaultColWidth="0" defaultRowHeight="15" zeroHeight="1" x14ac:dyDescent="0.25"/>
  <cols>
    <col min="1" max="1" width="4.42578125" style="115" customWidth="1"/>
    <col min="2" max="2" width="8.85546875" style="115" customWidth="1"/>
    <col min="3" max="3" width="20" style="115" customWidth="1"/>
    <col min="4" max="4" width="53.42578125" style="115" customWidth="1"/>
    <col min="5" max="5" width="10.5703125" style="115" customWidth="1"/>
    <col min="6" max="6" width="5.5703125" style="115" customWidth="1"/>
    <col min="7" max="7" width="19.5703125" style="115" customWidth="1"/>
    <col min="8" max="8" width="17.5703125" style="115" customWidth="1"/>
    <col min="9" max="9" width="8.85546875" style="115" customWidth="1"/>
    <col min="10" max="10" width="4.5703125" style="115" customWidth="1"/>
    <col min="11" max="13" width="29.42578125" style="92" hidden="1" customWidth="1"/>
    <col min="14" max="16384" width="8.85546875" style="92" hidden="1"/>
  </cols>
  <sheetData>
    <row r="1" spans="1:12" hidden="1" x14ac:dyDescent="0.25">
      <c r="A1" s="77"/>
      <c r="B1" s="77"/>
      <c r="C1" s="77"/>
      <c r="D1" s="77"/>
      <c r="E1" s="77"/>
      <c r="F1" s="77"/>
      <c r="G1" s="77"/>
      <c r="H1" s="77"/>
      <c r="I1" s="77"/>
      <c r="J1" s="77"/>
    </row>
    <row r="2" spans="1:12" s="78" customFormat="1" ht="18.75" hidden="1" x14ac:dyDescent="0.25">
      <c r="A2" s="77"/>
      <c r="B2" s="51"/>
      <c r="C2" s="77"/>
      <c r="D2" s="77"/>
      <c r="E2" s="77"/>
      <c r="F2" s="77"/>
      <c r="G2" s="77"/>
      <c r="H2" s="77"/>
      <c r="I2" s="77"/>
      <c r="J2" s="77"/>
      <c r="K2" s="92"/>
      <c r="L2" s="80"/>
    </row>
    <row r="3" spans="1:12" ht="18.75" x14ac:dyDescent="0.25">
      <c r="A3" s="77"/>
      <c r="B3" s="51"/>
      <c r="C3" s="77"/>
      <c r="D3" s="77"/>
      <c r="E3" s="77"/>
      <c r="F3" s="77"/>
      <c r="G3" s="77"/>
      <c r="H3" s="77"/>
      <c r="I3" s="77"/>
      <c r="J3" s="77"/>
    </row>
    <row r="4" spans="1:12" ht="21.6" customHeight="1" x14ac:dyDescent="0.25">
      <c r="A4" s="239" t="s">
        <v>26</v>
      </c>
      <c r="B4" s="769" t="str">
        <f>A4&amp;". "&amp;INDEX(VL_TDM!$E$11:$E$41,MATCH($A$4,VL_TDM!$B$11:$B$41,0),1)</f>
        <v>2A. Transit Oriented Development</v>
      </c>
      <c r="C4" s="722"/>
      <c r="D4" s="722"/>
      <c r="E4" s="722"/>
      <c r="F4" s="722"/>
      <c r="G4" s="722"/>
      <c r="H4" s="722"/>
      <c r="I4" s="723"/>
      <c r="J4" s="77"/>
    </row>
    <row r="5" spans="1:12" ht="15" customHeight="1" x14ac:dyDescent="0.25">
      <c r="A5" s="77"/>
      <c r="B5" s="85"/>
      <c r="C5" s="98"/>
      <c r="D5" s="98"/>
      <c r="E5" s="98"/>
      <c r="F5" s="100"/>
      <c r="G5" s="98"/>
      <c r="H5" s="329"/>
      <c r="I5" s="83"/>
    </row>
    <row r="6" spans="1:12" ht="15" customHeight="1" x14ac:dyDescent="0.25">
      <c r="A6" s="77"/>
      <c r="B6" s="85"/>
      <c r="C6" s="109" t="s">
        <v>1</v>
      </c>
      <c r="D6" s="110" t="str">
        <f>INDEX(VL_TDM!$AC$11:$AC$41,MATCH($A$4,VL_TDM!$B$11:$B$41,0),1)</f>
        <v>Project/Site</v>
      </c>
      <c r="E6" s="111"/>
      <c r="F6" s="111"/>
      <c r="G6" s="111"/>
      <c r="H6" s="617" t="s">
        <v>89</v>
      </c>
      <c r="I6" s="83"/>
      <c r="J6" s="77"/>
    </row>
    <row r="7" spans="1:12" ht="15" customHeight="1" x14ac:dyDescent="0.25">
      <c r="A7" s="77"/>
      <c r="B7" s="85"/>
      <c r="C7" s="109" t="s">
        <v>2</v>
      </c>
      <c r="D7" s="113" t="str">
        <f>INDEX(VL_TDM!$AD$11:$AD$41,MATCH($A$4,VL_TDM!$B$11:$B$41,0),1)</f>
        <v>Project-generated trips</v>
      </c>
      <c r="E7" s="113"/>
      <c r="F7" s="111"/>
      <c r="G7" s="111"/>
      <c r="H7" s="617" t="s">
        <v>105</v>
      </c>
      <c r="I7" s="83"/>
      <c r="J7" s="77"/>
    </row>
    <row r="8" spans="1:12" ht="15" customHeight="1" x14ac:dyDescent="0.25">
      <c r="A8" s="77"/>
      <c r="B8" s="85"/>
      <c r="C8" s="109" t="s">
        <v>149</v>
      </c>
      <c r="D8" s="114">
        <f>INDEX(VL_TDM!$AE$11:$AE$41,MATCH($A$4,VL_TDM!$B$11:$B$41,0),1)</f>
        <v>0.31</v>
      </c>
      <c r="E8" s="98"/>
      <c r="F8" s="100"/>
      <c r="G8" s="98"/>
      <c r="H8" s="329"/>
      <c r="I8" s="83"/>
    </row>
    <row r="9" spans="1:12" ht="15" customHeight="1" x14ac:dyDescent="0.25">
      <c r="A9" s="77"/>
      <c r="B9" s="85"/>
      <c r="C9" s="98"/>
      <c r="D9" s="98"/>
      <c r="E9" s="98"/>
      <c r="F9" s="98"/>
      <c r="G9" s="98"/>
      <c r="H9" s="98"/>
      <c r="I9" s="83"/>
      <c r="J9" s="77"/>
    </row>
    <row r="10" spans="1:12" ht="120" customHeight="1" x14ac:dyDescent="0.25">
      <c r="A10" s="77"/>
      <c r="B10" s="85"/>
      <c r="C10" s="757" t="str">
        <f>INDEX(VL_TDM!$AF$11:$AF$41,MATCH($A$4,VL_TDM!$B$11:$B$41,0),1)</f>
        <v>This strategy would reduce project VMT in the study area relative to the same project sited in a nontransit- oriented development (TOD) location. TOD refers to projects built in compact, walkable areas that have easy access to public transit, ideally in a location with a mix of uses, including housing, retail offices, and community facilities. TODs are generally described as places within a 10-minute walk (0.5 mile) of a high-frequency rail transit station (either rail, or bus with headways of no more than 15 minutes). Project site residents, employees, and visitors would have easy access to high-quality public transit, thereby encouraging transit and reducing the number of single occupancy vehicle trips and associated GHG emissions. When building TOD, a best practice is to incorporate bike and pedestrian access to increase the likelihood of transit use.</v>
      </c>
      <c r="D10" s="719"/>
      <c r="E10" s="719"/>
      <c r="F10" s="719"/>
      <c r="G10" s="719"/>
      <c r="H10" s="719"/>
      <c r="I10" s="83"/>
      <c r="J10" s="77"/>
    </row>
    <row r="11" spans="1:12" ht="15" customHeight="1" x14ac:dyDescent="0.25">
      <c r="A11" s="77"/>
      <c r="B11" s="85"/>
      <c r="C11" s="263"/>
      <c r="D11" s="263"/>
      <c r="E11" s="98"/>
      <c r="F11" s="98"/>
      <c r="G11" s="98"/>
      <c r="H11" s="98"/>
      <c r="I11" s="83"/>
    </row>
    <row r="12" spans="1:12" ht="15" customHeight="1" x14ac:dyDescent="0.25">
      <c r="A12" s="77"/>
      <c r="B12" s="85"/>
      <c r="C12" s="104" t="s">
        <v>180</v>
      </c>
      <c r="D12" s="98"/>
      <c r="E12" s="50"/>
      <c r="F12" s="98"/>
      <c r="G12" s="499" t="s">
        <v>862</v>
      </c>
      <c r="H12" s="500"/>
      <c r="I12" s="83"/>
      <c r="J12" s="77"/>
      <c r="K12" s="501"/>
    </row>
    <row r="13" spans="1:12" ht="30" customHeight="1" x14ac:dyDescent="0.25">
      <c r="A13" s="77"/>
      <c r="B13" s="85"/>
      <c r="C13" s="104" t="s">
        <v>800</v>
      </c>
      <c r="D13" s="98"/>
      <c r="E13" s="263"/>
      <c r="F13" s="98"/>
      <c r="G13" s="774" t="str">
        <f>IF(E12="no", "Strategy does not apply to project. No change in VMT.","")</f>
        <v/>
      </c>
      <c r="H13" s="775"/>
      <c r="I13" s="83"/>
      <c r="J13" s="77"/>
    </row>
    <row r="14" spans="1:12" ht="7.35" customHeight="1" x14ac:dyDescent="0.25">
      <c r="A14" s="77"/>
      <c r="B14" s="85"/>
      <c r="C14" s="264"/>
      <c r="D14" s="98"/>
      <c r="E14" s="263"/>
      <c r="F14" s="98"/>
      <c r="G14" s="98"/>
      <c r="H14" s="98"/>
      <c r="I14" s="83"/>
      <c r="J14" s="77"/>
    </row>
    <row r="15" spans="1:12" ht="15" customHeight="1" x14ac:dyDescent="0.25">
      <c r="A15" s="77"/>
      <c r="B15" s="85"/>
      <c r="C15" s="104" t="s">
        <v>677</v>
      </c>
      <c r="D15" s="98"/>
      <c r="E15" s="266" t="e">
        <f>IF(J15="Use Capcoa 2021",VL_REF!$G$3,INDEX(VL_TAZ!$O$9:$AD$9,1,MATCH($C15,VL_TAZ!$O$10:$AD$10,0)))</f>
        <v>#N/A</v>
      </c>
      <c r="F15" s="98"/>
      <c r="G15" s="98" t="str">
        <f>CONCATENATE("Alameda CTC model",IF(NOT(ISBLANK(E17)),", overridden",""))</f>
        <v>Alameda CTC model</v>
      </c>
      <c r="H15" s="98"/>
      <c r="I15" s="83"/>
      <c r="J15" s="239" t="s">
        <v>683</v>
      </c>
    </row>
    <row r="16" spans="1:12" ht="7.35" customHeight="1" x14ac:dyDescent="0.25">
      <c r="A16" s="77"/>
      <c r="B16" s="85"/>
      <c r="C16" s="264"/>
      <c r="D16" s="98"/>
      <c r="E16" s="263"/>
      <c r="F16" s="98"/>
      <c r="G16" s="98"/>
      <c r="H16" s="98"/>
      <c r="I16" s="83"/>
      <c r="J16" s="239"/>
    </row>
    <row r="17" spans="1:12" ht="14.45" customHeight="1" x14ac:dyDescent="0.25">
      <c r="A17" s="77"/>
      <c r="B17" s="85"/>
      <c r="C17" s="104" t="s">
        <v>678</v>
      </c>
      <c r="D17" s="98"/>
      <c r="E17" s="74"/>
      <c r="F17" s="98"/>
      <c r="G17" s="265" t="s">
        <v>11</v>
      </c>
      <c r="H17" s="107"/>
      <c r="I17" s="83"/>
      <c r="J17" s="239"/>
    </row>
    <row r="18" spans="1:12" ht="7.35" customHeight="1" x14ac:dyDescent="0.25">
      <c r="A18" s="77"/>
      <c r="B18" s="85"/>
      <c r="C18" s="264"/>
      <c r="D18" s="98"/>
      <c r="E18" s="263"/>
      <c r="F18" s="98"/>
      <c r="G18" s="98"/>
      <c r="H18" s="98"/>
      <c r="I18" s="83"/>
      <c r="J18" s="239"/>
    </row>
    <row r="19" spans="1:12" x14ac:dyDescent="0.25">
      <c r="A19" s="77"/>
      <c r="B19" s="85"/>
      <c r="C19" s="104" t="s">
        <v>14</v>
      </c>
      <c r="D19" s="465"/>
      <c r="E19" s="467" t="e">
        <f>IF(E17&gt;27%,27%,IF(E17&gt;0%,E17,E15))</f>
        <v>#N/A</v>
      </c>
      <c r="F19" s="98"/>
      <c r="G19" s="262" t="s">
        <v>10</v>
      </c>
      <c r="H19" s="98"/>
      <c r="I19" s="83"/>
      <c r="J19" s="240"/>
    </row>
    <row r="20" spans="1:12" ht="7.35" customHeight="1" x14ac:dyDescent="0.25">
      <c r="A20" s="77"/>
      <c r="B20" s="85"/>
      <c r="C20" s="264"/>
      <c r="D20" s="98"/>
      <c r="E20" s="263"/>
      <c r="F20" s="98"/>
      <c r="G20" s="98"/>
      <c r="H20" s="98"/>
      <c r="I20" s="83"/>
      <c r="J20" s="239"/>
    </row>
    <row r="21" spans="1:12" ht="15" customHeight="1" x14ac:dyDescent="0.25">
      <c r="A21" s="77"/>
      <c r="B21" s="85"/>
      <c r="C21" s="104" t="s">
        <v>680</v>
      </c>
      <c r="D21" s="261"/>
      <c r="E21" s="502">
        <v>4.9000000000000004</v>
      </c>
      <c r="F21" s="98"/>
      <c r="G21" s="98" t="s">
        <v>867</v>
      </c>
      <c r="H21" s="98"/>
      <c r="I21" s="83"/>
      <c r="J21" s="240"/>
    </row>
    <row r="22" spans="1:12" ht="15" customHeight="1" x14ac:dyDescent="0.25">
      <c r="A22" s="77"/>
      <c r="B22" s="85"/>
      <c r="C22" s="104" t="s">
        <v>679</v>
      </c>
      <c r="D22" s="463"/>
      <c r="E22" s="503"/>
      <c r="F22" s="98"/>
      <c r="G22" s="98"/>
      <c r="H22" s="98"/>
      <c r="I22" s="83"/>
      <c r="J22" s="239"/>
    </row>
    <row r="23" spans="1:12" ht="7.35" customHeight="1" x14ac:dyDescent="0.25">
      <c r="A23" s="77"/>
      <c r="B23" s="85"/>
      <c r="C23" s="264"/>
      <c r="D23" s="98"/>
      <c r="E23" s="263"/>
      <c r="F23" s="98"/>
      <c r="G23" s="98"/>
      <c r="H23" s="98"/>
      <c r="I23" s="83"/>
      <c r="J23" s="239"/>
    </row>
    <row r="24" spans="1:12" ht="15" customHeight="1" x14ac:dyDescent="0.25">
      <c r="A24" s="77"/>
      <c r="B24" s="85"/>
      <c r="C24" s="104" t="s">
        <v>681</v>
      </c>
      <c r="D24" s="98"/>
      <c r="E24" s="266" t="e">
        <f>IF(J24="Use Capcoa 2021",VL_REF!$H$3,INDEX(VL_TAZ!$O$9:$AD$9,1,MATCH($C24,VL_TAZ!$O$10:$AD$10,0)))</f>
        <v>#N/A</v>
      </c>
      <c r="F24" s="98"/>
      <c r="G24" s="98" t="str">
        <f>CONCATENATE("Alameda CTC model",IF(NOT(ISBLANK(E26)),", overridden",""))</f>
        <v>Alameda CTC model</v>
      </c>
      <c r="H24" s="98"/>
      <c r="I24" s="83"/>
      <c r="J24" s="239" t="s">
        <v>683</v>
      </c>
    </row>
    <row r="25" spans="1:12" ht="7.35" customHeight="1" x14ac:dyDescent="0.25">
      <c r="A25" s="77"/>
      <c r="B25" s="85"/>
      <c r="C25" s="264"/>
      <c r="D25" s="98"/>
      <c r="E25" s="263"/>
      <c r="F25" s="98"/>
      <c r="G25" s="98"/>
      <c r="H25" s="98"/>
      <c r="I25" s="83"/>
      <c r="J25" s="77"/>
    </row>
    <row r="26" spans="1:12" ht="15" customHeight="1" x14ac:dyDescent="0.25">
      <c r="A26" s="77"/>
      <c r="B26" s="85"/>
      <c r="C26" s="104" t="s">
        <v>682</v>
      </c>
      <c r="D26" s="98"/>
      <c r="E26" s="74"/>
      <c r="F26" s="98"/>
      <c r="G26" s="265" t="s">
        <v>11</v>
      </c>
      <c r="H26" s="98"/>
      <c r="I26" s="83"/>
      <c r="J26" s="77"/>
    </row>
    <row r="27" spans="1:12" ht="7.35" customHeight="1" x14ac:dyDescent="0.25">
      <c r="A27" s="77"/>
      <c r="B27" s="85"/>
      <c r="C27" s="264"/>
      <c r="D27" s="98"/>
      <c r="E27" s="263"/>
      <c r="F27" s="98"/>
      <c r="G27" s="98"/>
      <c r="H27" s="98"/>
      <c r="I27" s="83"/>
      <c r="J27" s="77"/>
    </row>
    <row r="28" spans="1:12" ht="15" customHeight="1" x14ac:dyDescent="0.25">
      <c r="A28" s="77"/>
      <c r="B28" s="85"/>
      <c r="C28" s="104" t="s">
        <v>176</v>
      </c>
      <c r="D28" s="465"/>
      <c r="E28" s="467" t="e">
        <f>IF(ISBLANK(E26),E24,E26)</f>
        <v>#N/A</v>
      </c>
      <c r="F28" s="98"/>
      <c r="G28" s="262" t="s">
        <v>10</v>
      </c>
      <c r="H28" s="98"/>
      <c r="I28" s="83"/>
      <c r="J28" s="78"/>
    </row>
    <row r="29" spans="1:12" ht="7.35" customHeight="1" x14ac:dyDescent="0.25">
      <c r="A29" s="77"/>
      <c r="B29" s="85"/>
      <c r="C29" s="105"/>
      <c r="D29" s="98"/>
      <c r="E29" s="98"/>
      <c r="F29" s="263"/>
      <c r="G29" s="98"/>
      <c r="H29" s="98"/>
      <c r="I29" s="83"/>
      <c r="J29" s="77"/>
    </row>
    <row r="30" spans="1:12" ht="15" customHeight="1" x14ac:dyDescent="0.25">
      <c r="A30" s="77"/>
      <c r="B30" s="85"/>
      <c r="C30" s="104" t="s">
        <v>5</v>
      </c>
      <c r="D30" s="98"/>
      <c r="E30" s="129" t="str">
        <f>IF(E12="yes",IFERROR(MAX(-D8,(E19*E21)/-E28),""),"")</f>
        <v/>
      </c>
      <c r="F30" s="470"/>
      <c r="G30" s="53" t="b">
        <v>0</v>
      </c>
      <c r="H30" s="207" t="str">
        <f>IF(OR(G30=TRUE,E30=""),"Not Active","Active")</f>
        <v>Not Active</v>
      </c>
      <c r="I30" s="83"/>
      <c r="J30" s="77"/>
    </row>
    <row r="31" spans="1:12" ht="15" customHeight="1" x14ac:dyDescent="0.25">
      <c r="A31" s="77"/>
      <c r="B31" s="85"/>
      <c r="C31" s="105"/>
      <c r="D31" s="98"/>
      <c r="E31" s="98"/>
      <c r="F31" s="98"/>
      <c r="G31" s="98"/>
      <c r="H31" s="98"/>
      <c r="I31" s="83"/>
      <c r="J31" s="77"/>
    </row>
    <row r="32" spans="1:12" s="98" customFormat="1" ht="15" customHeight="1" x14ac:dyDescent="0.25">
      <c r="A32" s="77"/>
      <c r="B32" s="85"/>
      <c r="I32" s="83"/>
      <c r="J32" s="77"/>
      <c r="K32" s="92"/>
      <c r="L32" s="92"/>
    </row>
    <row r="33" spans="1:10" ht="35.1" customHeight="1" x14ac:dyDescent="0.25">
      <c r="A33" s="77"/>
      <c r="B33" s="85"/>
      <c r="C33" s="771" t="str">
        <f>"Formula:  % Change in VMT =  " &amp; SUBSTITUTE("( " &amp; C19 &amp; " * " &amp; C21 &amp;" " &amp; C22&amp; " )/- " &amp; C28 &amp; " )"," used for calculation","")</f>
        <v>Formula:  % Change in VMT =  ( Transit mode share * Ratio of transit mode share for TOD area with strategy compared to existing transit mode share in surrounding city )/- Auto mode share )</v>
      </c>
      <c r="D33" s="772"/>
      <c r="E33" s="772"/>
      <c r="F33" s="772"/>
      <c r="G33" s="772"/>
      <c r="H33" s="773"/>
      <c r="I33" s="83"/>
      <c r="J33" s="77"/>
    </row>
    <row r="34" spans="1:10" ht="15" customHeight="1" x14ac:dyDescent="0.25">
      <c r="A34" s="77"/>
      <c r="B34" s="85"/>
      <c r="C34" s="504"/>
      <c r="D34" s="776" t="s">
        <v>183</v>
      </c>
      <c r="E34" s="776"/>
      <c r="F34" s="776"/>
      <c r="G34" s="776"/>
      <c r="H34" s="505"/>
      <c r="I34" s="83"/>
      <c r="J34" s="77"/>
    </row>
    <row r="35" spans="1:10" ht="15" customHeight="1" x14ac:dyDescent="0.25">
      <c r="A35" s="77"/>
      <c r="B35" s="85"/>
      <c r="C35" s="506"/>
      <c r="D35" s="507"/>
      <c r="E35" s="508"/>
      <c r="F35" s="508"/>
      <c r="G35" s="508"/>
      <c r="H35" s="508"/>
      <c r="I35" s="83"/>
      <c r="J35" s="77"/>
    </row>
    <row r="36" spans="1:10" ht="15" customHeight="1" x14ac:dyDescent="0.25">
      <c r="A36" s="77"/>
      <c r="B36" s="85"/>
      <c r="C36" s="98" t="s">
        <v>6</v>
      </c>
      <c r="D36" s="98"/>
      <c r="E36" s="98"/>
      <c r="F36" s="98"/>
      <c r="G36" s="98"/>
      <c r="H36" s="98"/>
      <c r="I36" s="83"/>
      <c r="J36" s="77"/>
    </row>
    <row r="37" spans="1:10" ht="166.5" customHeight="1" x14ac:dyDescent="0.25">
      <c r="A37" s="77"/>
      <c r="B37" s="85"/>
      <c r="C37" s="770" t="str">
        <f>INDEX(VL_TDM!$AG$11:$AG$41,MATCH($A$4,VL_TDM!$B$11:$B$41,0),1)</f>
        <v>(1)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v>
      </c>
      <c r="D37" s="710"/>
      <c r="E37" s="710"/>
      <c r="F37" s="710"/>
      <c r="G37" s="710"/>
      <c r="H37" s="710"/>
      <c r="I37" s="83"/>
      <c r="J37" s="77"/>
    </row>
    <row r="38" spans="1:10" ht="15" customHeight="1" x14ac:dyDescent="0.25">
      <c r="A38" s="77"/>
      <c r="B38" s="101"/>
      <c r="C38" s="226"/>
      <c r="D38" s="226"/>
      <c r="E38" s="226"/>
      <c r="F38" s="226"/>
      <c r="G38" s="226"/>
      <c r="H38" s="226"/>
      <c r="I38" s="472"/>
      <c r="J38" s="77"/>
    </row>
    <row r="39" spans="1:10" ht="22.35" customHeight="1" x14ac:dyDescent="0.25">
      <c r="A39" s="77"/>
      <c r="B39" s="77"/>
      <c r="C39" s="77"/>
      <c r="D39" s="77"/>
      <c r="E39" s="77"/>
      <c r="F39" s="77"/>
      <c r="G39" s="77"/>
      <c r="H39" s="77"/>
      <c r="I39" s="77"/>
      <c r="J39" s="77"/>
    </row>
  </sheetData>
  <sheetProtection algorithmName="SHA-512" hashValue="Zkz20tdtWwywxnlDP/wloPNNGCwx115bTbQa5f/pWSz2URwzSC/goP+gEBU3kjk9S+rbZEvwewJ+t/PhhVM5gA==" saltValue="m5afzBYhfbr+kkjKMQRgnQ==" spinCount="100000" sheet="1" objects="1" scenarios="1" selectLockedCells="1"/>
  <dataConsolidate/>
  <mergeCells count="6">
    <mergeCell ref="B4:I4"/>
    <mergeCell ref="C10:H10"/>
    <mergeCell ref="C37:H37"/>
    <mergeCell ref="C33:H33"/>
    <mergeCell ref="G13:H13"/>
    <mergeCell ref="D34:G34"/>
  </mergeCells>
  <conditionalFormatting sqref="E30">
    <cfRule type="expression" dxfId="43" priority="19">
      <formula>-ROUND($D$8,3)=ROUND($E$30,3)</formula>
    </cfRule>
    <cfRule type="expression" dxfId="42" priority="79">
      <formula>AND(E30&lt;&gt;"",E30&gt;0)</formula>
    </cfRule>
  </conditionalFormatting>
  <dataValidations count="1">
    <dataValidation type="decimal" allowBlank="1" showErrorMessage="1" errorTitle="Restriction" error="Value must be between 0% and 100%_x000a_" promptTitle="Option" prompt="The user may override the above default community bicycle mode share in this cell. Leave blank otherwise." sqref="E17 E26" xr:uid="{00000000-0002-0000-0A00-000000000000}">
      <formula1>0</formula1>
      <formula2>1</formula2>
    </dataValidation>
  </dataValidations>
  <hyperlinks>
    <hyperlink ref="H7" location="Results!A1" display="Results Summary" xr:uid="{00000000-0004-0000-0A00-000000000000}"/>
    <hyperlink ref="H6" location="Main!E65" display="Return to Main É" xr:uid="{00000000-0004-0000-0A00-000001000000}"/>
  </hyperlink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9402" r:id="rId4" name="Check Box 10">
              <controlPr defaultSize="0" autoFill="0" autoLine="0" autoPict="0" altText="Exclude From Results Summary">
                <anchor moveWithCells="1">
                  <from>
                    <xdr:col>6</xdr:col>
                    <xdr:colOff>28575</xdr:colOff>
                    <xdr:row>28</xdr:row>
                    <xdr:rowOff>85725</xdr:rowOff>
                  </from>
                  <to>
                    <xdr:col>7</xdr:col>
                    <xdr:colOff>38100</xdr:colOff>
                    <xdr:row>30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A00-000001000000}">
          <x14:formula1>
            <xm:f>VL_REF!$CB$11:$CB$13</xm:f>
          </x14:formula1>
          <xm:sqref>E12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B64A-82BA-4E20-B98B-AF518AFE55CA}">
  <sheetPr codeName="Sheet30">
    <tabColor rgb="FF33CCCC"/>
  </sheetPr>
  <dimension ref="A1:L39"/>
  <sheetViews>
    <sheetView showGridLines="0" showRowColHeaders="0" topLeftCell="A3" zoomScaleNormal="100" workbookViewId="0">
      <selection activeCell="E12" sqref="E12"/>
    </sheetView>
  </sheetViews>
  <sheetFormatPr defaultColWidth="0" defaultRowHeight="15" customHeight="1" zeroHeight="1" x14ac:dyDescent="0.25"/>
  <cols>
    <col min="1" max="1" width="4.42578125" style="115" customWidth="1"/>
    <col min="2" max="2" width="8.85546875" style="115" customWidth="1"/>
    <col min="3" max="3" width="22.140625" style="115" customWidth="1"/>
    <col min="4" max="4" width="51.42578125" style="115" customWidth="1"/>
    <col min="5" max="5" width="10.5703125" style="116" customWidth="1"/>
    <col min="6" max="6" width="5.5703125" style="115" customWidth="1"/>
    <col min="7" max="7" width="34.5703125" style="115" customWidth="1"/>
    <col min="8" max="8" width="17.5703125" style="115" customWidth="1"/>
    <col min="9" max="9" width="8.85546875" style="115" customWidth="1"/>
    <col min="10" max="10" width="4.5703125" style="115" customWidth="1"/>
    <col min="11" max="12" width="21.5703125" style="92" hidden="1" customWidth="1"/>
    <col min="13" max="16384" width="8.85546875" style="92" hidden="1"/>
  </cols>
  <sheetData>
    <row r="1" spans="1:12" ht="15" hidden="1" customHeight="1" x14ac:dyDescent="0.25">
      <c r="A1" s="77"/>
      <c r="B1" s="77"/>
      <c r="C1" s="77"/>
      <c r="D1" s="77"/>
      <c r="E1" s="103"/>
      <c r="F1" s="77"/>
      <c r="G1" s="77"/>
      <c r="H1" s="77"/>
      <c r="I1" s="77"/>
      <c r="J1" s="77"/>
    </row>
    <row r="2" spans="1:12" ht="15" hidden="1" customHeight="1" x14ac:dyDescent="0.25">
      <c r="A2" s="77"/>
      <c r="B2" s="77"/>
      <c r="C2" s="77"/>
      <c r="D2" s="77"/>
      <c r="E2" s="103"/>
      <c r="F2" s="77"/>
      <c r="G2" s="77"/>
      <c r="H2" s="77"/>
      <c r="I2" s="77"/>
      <c r="J2" s="77"/>
    </row>
    <row r="3" spans="1:12" ht="22.35" customHeight="1" x14ac:dyDescent="0.25">
      <c r="A3" s="77"/>
      <c r="B3" s="51"/>
      <c r="C3" s="77"/>
      <c r="D3" s="77"/>
      <c r="E3" s="103"/>
      <c r="F3" s="77"/>
      <c r="G3" s="77"/>
      <c r="H3" s="77"/>
      <c r="I3" s="77"/>
      <c r="J3" s="77"/>
    </row>
    <row r="4" spans="1:12" ht="21.6" customHeight="1" x14ac:dyDescent="0.25">
      <c r="A4" s="239" t="s">
        <v>539</v>
      </c>
      <c r="B4" s="769" t="str">
        <f>A4&amp;". "&amp;INDEX(VL_TDM!$E$11:$E$41,MATCH($A$4,VL_TDM!$B$11:$B$41,0),1)</f>
        <v>2B1. Increase Residential Density</v>
      </c>
      <c r="C4" s="722"/>
      <c r="D4" s="722"/>
      <c r="E4" s="722"/>
      <c r="F4" s="722"/>
      <c r="G4" s="722"/>
      <c r="H4" s="722"/>
      <c r="I4" s="723"/>
      <c r="J4" s="77"/>
    </row>
    <row r="5" spans="1:12" ht="15" customHeight="1" x14ac:dyDescent="0.25">
      <c r="A5" s="77"/>
      <c r="B5" s="85"/>
      <c r="C5" s="98"/>
      <c r="D5" s="98"/>
      <c r="E5" s="98"/>
      <c r="F5" s="98"/>
      <c r="G5" s="100"/>
      <c r="H5" s="98"/>
      <c r="I5" s="83"/>
      <c r="J5" s="77"/>
    </row>
    <row r="6" spans="1:12" ht="15" customHeight="1" x14ac:dyDescent="0.25">
      <c r="A6" s="77"/>
      <c r="B6" s="85"/>
      <c r="C6" s="109" t="s">
        <v>1</v>
      </c>
      <c r="D6" s="110" t="str">
        <f>INDEX(VL_TDM!$AC$11:$AC$41,MATCH($A$4,VL_TDM!$B$11:$B$41,0),1)</f>
        <v>Project/Site</v>
      </c>
      <c r="E6" s="100"/>
      <c r="F6" s="462"/>
      <c r="G6" s="462"/>
      <c r="H6" s="617" t="s">
        <v>89</v>
      </c>
      <c r="I6" s="83"/>
      <c r="J6" s="77"/>
    </row>
    <row r="7" spans="1:12" ht="15" customHeight="1" x14ac:dyDescent="0.25">
      <c r="A7" s="77"/>
      <c r="B7" s="85"/>
      <c r="C7" s="109" t="s">
        <v>2</v>
      </c>
      <c r="D7" s="113" t="str">
        <f>INDEX(VL_TDM!$AD$11:$AD$41,MATCH($A$4,VL_TDM!$B$11:$B$41,0),1)</f>
        <v>Project-generated trips</v>
      </c>
      <c r="E7" s="109"/>
      <c r="F7" s="462"/>
      <c r="G7" s="462"/>
      <c r="H7" s="617" t="s">
        <v>105</v>
      </c>
      <c r="I7" s="83"/>
      <c r="J7" s="77"/>
    </row>
    <row r="8" spans="1:12" ht="15" customHeight="1" x14ac:dyDescent="0.25">
      <c r="A8" s="77"/>
      <c r="B8" s="85"/>
      <c r="C8" s="109" t="s">
        <v>149</v>
      </c>
      <c r="D8" s="114">
        <f>INDEX(VL_TDM!$AE$11:$AE$41,MATCH($A$4,VL_TDM!$B$11:$B$41,0),1)</f>
        <v>0.3</v>
      </c>
      <c r="E8" s="98"/>
      <c r="F8" s="98"/>
      <c r="G8" s="100"/>
      <c r="H8" s="98"/>
      <c r="I8" s="83"/>
      <c r="J8" s="77"/>
    </row>
    <row r="9" spans="1:12" ht="15" customHeight="1" x14ac:dyDescent="0.25">
      <c r="A9" s="77"/>
      <c r="B9" s="85"/>
      <c r="C9" s="509"/>
      <c r="D9" s="100"/>
      <c r="E9" s="100"/>
      <c r="F9" s="100"/>
      <c r="G9" s="100"/>
      <c r="H9" s="100"/>
      <c r="I9" s="83"/>
      <c r="J9" s="77"/>
    </row>
    <row r="10" spans="1:12" ht="78.75" customHeight="1" x14ac:dyDescent="0.25">
      <c r="A10" s="77"/>
      <c r="B10" s="85"/>
      <c r="C10" s="724" t="str">
        <f>INDEX(VL_TDM!$AF$11:$AF$41,MATCH($A$4,VL_TDM!$B$11:$B$41,0),1)</f>
        <v>This strategy accounts for the VMT reduction achieved by a project that is designed with a higher density of dwelling units (du) compared to the average residential density in the United States. Increased densities affect the distance people travel and provide greater options for the mode of travel they choose. Increasing residential density results in shorter and fewer trips by single occupancy vehicles and thus a reduction in GHG emissions.
Projects with a residential density greater than 9.1 dwelling units per acre will see VMT reductions due to this strategy.</v>
      </c>
      <c r="D10" s="719"/>
      <c r="E10" s="719"/>
      <c r="F10" s="719"/>
      <c r="G10" s="719"/>
      <c r="H10" s="719"/>
      <c r="I10" s="83"/>
      <c r="J10" s="77"/>
    </row>
    <row r="11" spans="1:12" ht="15" customHeight="1" x14ac:dyDescent="0.25">
      <c r="A11" s="77"/>
      <c r="B11" s="85"/>
      <c r="C11" s="98"/>
      <c r="D11" s="98"/>
      <c r="E11" s="100"/>
      <c r="F11" s="98"/>
      <c r="G11" s="98"/>
      <c r="H11" s="98"/>
      <c r="I11" s="83"/>
      <c r="J11" s="77"/>
    </row>
    <row r="12" spans="1:12" ht="15" customHeight="1" x14ac:dyDescent="0.25">
      <c r="A12" s="77"/>
      <c r="B12" s="85"/>
      <c r="C12" s="510" t="s">
        <v>843</v>
      </c>
      <c r="D12" s="109"/>
      <c r="E12" s="235"/>
      <c r="F12" s="443"/>
      <c r="G12" s="453" t="s">
        <v>0</v>
      </c>
      <c r="H12" s="98"/>
      <c r="I12" s="83"/>
      <c r="J12" s="78"/>
    </row>
    <row r="13" spans="1:12" ht="7.35" customHeight="1" x14ac:dyDescent="0.25">
      <c r="A13" s="77"/>
      <c r="B13" s="85"/>
      <c r="C13" s="105"/>
      <c r="D13" s="109"/>
      <c r="E13" s="511"/>
      <c r="F13" s="98"/>
      <c r="G13" s="263"/>
      <c r="H13" s="98"/>
      <c r="I13" s="83"/>
      <c r="J13" s="77"/>
    </row>
    <row r="14" spans="1:12" ht="15" customHeight="1" x14ac:dyDescent="0.25">
      <c r="A14" s="77"/>
      <c r="B14" s="85"/>
      <c r="C14" s="510" t="s">
        <v>852</v>
      </c>
      <c r="D14" s="109"/>
      <c r="E14" s="512">
        <v>9.1</v>
      </c>
      <c r="F14" s="98"/>
      <c r="G14" s="98" t="str">
        <f>CONCATENATE("constant, source (1)",IF(NOT(ISBLANK(E16)),", overridden",""))</f>
        <v>constant, source (1)</v>
      </c>
      <c r="H14" s="98"/>
      <c r="I14" s="83"/>
      <c r="J14" s="77"/>
      <c r="K14" s="117"/>
      <c r="L14" s="117"/>
    </row>
    <row r="15" spans="1:12" ht="7.35" customHeight="1" x14ac:dyDescent="0.25">
      <c r="A15" s="77"/>
      <c r="B15" s="85"/>
      <c r="C15" s="105"/>
      <c r="D15" s="109"/>
      <c r="E15" s="511"/>
      <c r="F15" s="98"/>
      <c r="G15" s="263"/>
      <c r="H15" s="98"/>
      <c r="I15" s="83"/>
      <c r="J15" s="77"/>
    </row>
    <row r="16" spans="1:12" ht="14.45" customHeight="1" x14ac:dyDescent="0.25">
      <c r="A16" s="77"/>
      <c r="B16" s="85"/>
      <c r="C16" s="510" t="s">
        <v>844</v>
      </c>
      <c r="D16" s="109"/>
      <c r="E16" s="54"/>
      <c r="F16" s="98"/>
      <c r="G16" s="265" t="s">
        <v>11</v>
      </c>
      <c r="H16" s="98"/>
      <c r="I16" s="83"/>
      <c r="J16" s="77"/>
    </row>
    <row r="17" spans="1:11" ht="4.3499999999999996" customHeight="1" x14ac:dyDescent="0.25">
      <c r="A17" s="77"/>
      <c r="B17" s="85"/>
      <c r="C17" s="105"/>
      <c r="D17" s="109"/>
      <c r="E17" s="513"/>
      <c r="F17" s="98"/>
      <c r="G17" s="263"/>
      <c r="H17" s="98"/>
      <c r="I17" s="83"/>
      <c r="J17" s="77"/>
    </row>
    <row r="18" spans="1:11" ht="15" customHeight="1" x14ac:dyDescent="0.25">
      <c r="A18" s="77"/>
      <c r="B18" s="85"/>
      <c r="C18" s="510" t="s">
        <v>542</v>
      </c>
      <c r="D18" s="514"/>
      <c r="E18" s="515">
        <f>IFERROR(IF(ISBLANK(E16),E14,E16),"")</f>
        <v>9.1</v>
      </c>
      <c r="F18" s="98"/>
      <c r="G18" s="262" t="s">
        <v>10</v>
      </c>
      <c r="H18" s="98"/>
      <c r="I18" s="83"/>
      <c r="J18" s="78"/>
    </row>
    <row r="19" spans="1:11" ht="7.35" customHeight="1" x14ac:dyDescent="0.25">
      <c r="A19" s="77"/>
      <c r="B19" s="85"/>
      <c r="C19" s="105"/>
      <c r="D19" s="109"/>
      <c r="E19" s="511"/>
      <c r="F19" s="98"/>
      <c r="G19" s="263"/>
      <c r="H19" s="98"/>
      <c r="I19" s="83"/>
      <c r="J19" s="77"/>
    </row>
    <row r="20" spans="1:11" ht="15" customHeight="1" x14ac:dyDescent="0.25">
      <c r="A20" s="77"/>
      <c r="B20" s="85"/>
      <c r="C20" s="510" t="s">
        <v>543</v>
      </c>
      <c r="D20" s="109"/>
      <c r="E20" s="516">
        <v>-0.22</v>
      </c>
      <c r="F20" s="98"/>
      <c r="G20" s="108" t="s">
        <v>9</v>
      </c>
      <c r="H20" s="98"/>
      <c r="I20" s="83"/>
      <c r="J20" s="78"/>
    </row>
    <row r="21" spans="1:11" ht="7.35" customHeight="1" x14ac:dyDescent="0.25">
      <c r="A21" s="77"/>
      <c r="B21" s="85"/>
      <c r="C21" s="105"/>
      <c r="D21" s="109"/>
      <c r="E21" s="511"/>
      <c r="F21" s="98"/>
      <c r="G21" s="263"/>
      <c r="H21" s="98"/>
      <c r="I21" s="83"/>
      <c r="J21" s="77"/>
    </row>
    <row r="22" spans="1:11" ht="15" customHeight="1" x14ac:dyDescent="0.25">
      <c r="A22" s="77"/>
      <c r="B22" s="85"/>
      <c r="C22" s="104"/>
      <c r="D22" s="104"/>
      <c r="E22" s="104"/>
      <c r="F22" s="104"/>
      <c r="G22" s="104"/>
      <c r="H22" s="98"/>
      <c r="I22" s="83"/>
      <c r="J22" s="77"/>
    </row>
    <row r="23" spans="1:11" ht="7.35" customHeight="1" x14ac:dyDescent="0.25">
      <c r="A23" s="77"/>
      <c r="B23" s="85"/>
      <c r="C23" s="105"/>
      <c r="D23" s="109"/>
      <c r="E23" s="98"/>
      <c r="F23" s="98"/>
      <c r="G23" s="98"/>
      <c r="H23" s="98"/>
      <c r="I23" s="83"/>
      <c r="J23" s="77"/>
    </row>
    <row r="24" spans="1:11" ht="15" customHeight="1" x14ac:dyDescent="0.25">
      <c r="A24" s="77"/>
      <c r="B24" s="85"/>
      <c r="C24" s="104" t="s">
        <v>159</v>
      </c>
      <c r="D24" s="100"/>
      <c r="E24" s="129" t="str">
        <f>IF(E12="","",IFERROR(MAX(-D8,((E12-E18)/E18)*E20),""))</f>
        <v/>
      </c>
      <c r="F24" s="470"/>
      <c r="G24" s="55" t="b">
        <v>0</v>
      </c>
      <c r="H24" s="207" t="str">
        <f>IF(OR(G24=TRUE,E24=""),"Not Active","Active")</f>
        <v>Not Active</v>
      </c>
      <c r="I24" s="83"/>
      <c r="J24" s="77"/>
    </row>
    <row r="25" spans="1:11" ht="15" customHeight="1" x14ac:dyDescent="0.25">
      <c r="A25" s="77"/>
      <c r="B25" s="85"/>
      <c r="C25" s="98"/>
      <c r="D25" s="98"/>
      <c r="E25" s="100"/>
      <c r="F25" s="98"/>
      <c r="G25" s="98"/>
      <c r="H25" s="98"/>
      <c r="I25" s="83"/>
      <c r="J25" s="77"/>
    </row>
    <row r="26" spans="1:11" ht="35.1" customHeight="1" x14ac:dyDescent="0.25">
      <c r="A26" s="77"/>
      <c r="B26" s="85"/>
      <c r="C26" s="725" t="str">
        <f>"Formula:  % Change in VMT =  " &amp; SUBSTITUTE("(( " &amp; C12 &amp; " - " &amp; C18 &amp; " )/ " &amp; C18 &amp; " )* " &amp; C20 &amp; " "," used for calculation","")</f>
        <v xml:space="preserve">Formula:  % Change in VMT =  (( Residential density of project development (dwelling units per acre) - Residential density of typical development )/ Residential density of typical development )* Elasticity of VMT with respect to residential density </v>
      </c>
      <c r="D26" s="726"/>
      <c r="E26" s="726"/>
      <c r="F26" s="726"/>
      <c r="G26" s="726"/>
      <c r="H26" s="777"/>
      <c r="I26" s="83"/>
      <c r="J26" s="77"/>
    </row>
    <row r="27" spans="1:11" ht="15" customHeight="1" x14ac:dyDescent="0.25">
      <c r="A27" s="77"/>
      <c r="B27" s="85"/>
      <c r="C27" s="329"/>
      <c r="D27" s="517"/>
      <c r="E27" s="518"/>
      <c r="F27" s="518"/>
      <c r="G27" s="518"/>
      <c r="H27" s="518"/>
      <c r="I27" s="83"/>
      <c r="J27" s="77"/>
      <c r="K27" s="118"/>
    </row>
    <row r="28" spans="1:11" ht="15" customHeight="1" x14ac:dyDescent="0.25">
      <c r="A28" s="77"/>
      <c r="B28" s="85"/>
      <c r="C28" s="98" t="s">
        <v>6</v>
      </c>
      <c r="D28" s="98"/>
      <c r="E28" s="100"/>
      <c r="F28" s="98"/>
      <c r="G28" s="98"/>
      <c r="H28" s="98"/>
      <c r="I28" s="83"/>
      <c r="J28" s="77"/>
    </row>
    <row r="29" spans="1:11" ht="99.95" customHeight="1" x14ac:dyDescent="0.25">
      <c r="A29" s="77"/>
      <c r="B29" s="85"/>
      <c r="C29" s="747" t="str">
        <f>INDEX(VL_TDM!$AG$11:$AG$41,MATCH($A$4,VL_TDM!$B$11:$B$41,0),1)</f>
        <v>(1)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29" s="719"/>
      <c r="E29" s="719"/>
      <c r="F29" s="719"/>
      <c r="G29" s="719"/>
      <c r="H29" s="719"/>
      <c r="I29" s="83"/>
      <c r="J29" s="77"/>
    </row>
    <row r="30" spans="1:11" ht="15" customHeight="1" x14ac:dyDescent="0.25">
      <c r="A30" s="77"/>
      <c r="B30" s="101"/>
      <c r="C30" s="226"/>
      <c r="D30" s="226"/>
      <c r="E30" s="471"/>
      <c r="F30" s="226"/>
      <c r="G30" s="226"/>
      <c r="H30" s="226"/>
      <c r="I30" s="472"/>
      <c r="J30" s="77"/>
    </row>
    <row r="31" spans="1:11" ht="22.35" customHeight="1" x14ac:dyDescent="0.25">
      <c r="A31" s="77"/>
      <c r="B31" s="78"/>
      <c r="C31" s="78"/>
      <c r="D31" s="78"/>
      <c r="E31" s="103"/>
      <c r="F31" s="77"/>
      <c r="G31" s="77"/>
      <c r="H31" s="77"/>
      <c r="I31" s="77"/>
      <c r="J31" s="77"/>
    </row>
    <row r="38" spans="5:12" s="115" customFormat="1" hidden="1" x14ac:dyDescent="0.25">
      <c r="E38" s="116"/>
      <c r="K38" s="92"/>
      <c r="L38" s="92"/>
    </row>
    <row r="39" spans="5:12" s="115" customFormat="1" hidden="1" x14ac:dyDescent="0.25">
      <c r="E39" s="116"/>
      <c r="K39" s="92"/>
      <c r="L39" s="92"/>
    </row>
  </sheetData>
  <sheetProtection algorithmName="SHA-512" hashValue="x+COU6ct9R38e7D2bqNZiE8fxzIGh2z2Bvp8k6BUAcxiOI068EXz6fTwYfWfSQ13MsU3GX6srKaBIsB/++sdBA==" saltValue="hdkDE3xgdGPPXMxwTlgfbQ==" spinCount="100000" sheet="1" objects="1" scenarios="1" selectLockedCells="1"/>
  <mergeCells count="4">
    <mergeCell ref="C29:H29"/>
    <mergeCell ref="B4:I4"/>
    <mergeCell ref="C10:H10"/>
    <mergeCell ref="C26:H26"/>
  </mergeCells>
  <conditionalFormatting sqref="E24">
    <cfRule type="expression" dxfId="41" priority="13">
      <formula>-ROUND($D$8,3)=ROUND($E$24,3)</formula>
    </cfRule>
    <cfRule type="expression" dxfId="40" priority="14">
      <formula>AND(E24&lt;&gt;"",E24&gt;0)</formula>
    </cfRule>
  </conditionalFormatting>
  <dataValidations count="1">
    <dataValidation type="decimal" allowBlank="1" showInputMessage="1" showErrorMessage="1" sqref="E16" xr:uid="{2F1186B4-AE83-4750-8FDD-263F43772A17}">
      <formula1>0</formula1>
      <formula2>1000</formula2>
    </dataValidation>
  </dataValidations>
  <hyperlinks>
    <hyperlink ref="H7" location="Results!A1" display="Results Summary" xr:uid="{7498159A-DBC5-4E4E-B8C6-8F414112E1AD}"/>
    <hyperlink ref="H6" location="Main!E65" display="Return to Main É" xr:uid="{FBD1E2EF-962C-459D-B743-B20EA848EA3A}"/>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Check Box 1">
              <controlPr defaultSize="0" autoFill="0" autoLine="0" autoPict="0" altText="Exclude From Results Summary">
                <anchor moveWithCells="1">
                  <from>
                    <xdr:col>6</xdr:col>
                    <xdr:colOff>28575</xdr:colOff>
                    <xdr:row>22</xdr:row>
                    <xdr:rowOff>85725</xdr:rowOff>
                  </from>
                  <to>
                    <xdr:col>7</xdr:col>
                    <xdr:colOff>0</xdr:colOff>
                    <xdr:row>24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XEU94"/>
  <sheetViews>
    <sheetView showGridLines="0" showRowColHeaders="0" zoomScaleNormal="100" workbookViewId="0">
      <selection activeCell="F4" sqref="F4"/>
    </sheetView>
  </sheetViews>
  <sheetFormatPr defaultColWidth="0" defaultRowHeight="14.45" customHeight="1" zeroHeight="1" x14ac:dyDescent="0.25"/>
  <cols>
    <col min="1" max="1" width="2.7109375" style="230" customWidth="1"/>
    <col min="2" max="2" width="4.42578125" style="230" customWidth="1"/>
    <col min="3" max="3" width="96.5703125" style="230" customWidth="1"/>
    <col min="4" max="4" width="22.42578125" style="230" customWidth="1"/>
    <col min="5" max="5" width="3.140625" style="22" customWidth="1"/>
    <col min="6" max="6" width="60.42578125" style="230" customWidth="1"/>
    <col min="7" max="7" width="2.7109375" style="17" customWidth="1"/>
    <col min="8" max="8" width="8.85546875" style="230" hidden="1" customWidth="1"/>
    <col min="9" max="16384" width="8.85546875" style="230" hidden="1"/>
  </cols>
  <sheetData>
    <row r="1" spans="1:16375" ht="15" x14ac:dyDescent="0.25">
      <c r="A1" s="45"/>
      <c r="B1" s="45"/>
      <c r="C1" s="45"/>
      <c r="D1" s="45"/>
      <c r="E1" s="17"/>
      <c r="F1" s="45"/>
    </row>
    <row r="2" spans="1:16375" ht="36" customHeight="1" x14ac:dyDescent="0.25">
      <c r="A2" s="45"/>
      <c r="B2" s="704" t="s">
        <v>141</v>
      </c>
      <c r="C2" s="705"/>
      <c r="D2" s="705"/>
      <c r="E2" s="705"/>
      <c r="F2" s="705"/>
      <c r="G2" s="45"/>
    </row>
    <row r="3" spans="1:16375" ht="5.0999999999999996" customHeight="1" x14ac:dyDescent="0.25">
      <c r="A3" s="45"/>
      <c r="B3" s="45"/>
      <c r="C3" s="45"/>
      <c r="D3" s="45"/>
      <c r="E3" s="45"/>
      <c r="F3" s="45"/>
      <c r="G3" s="45"/>
    </row>
    <row r="4" spans="1:16375" ht="15.75" customHeight="1" x14ac:dyDescent="0.25">
      <c r="A4" s="254"/>
      <c r="B4" s="706"/>
      <c r="C4" s="706"/>
      <c r="D4" s="254"/>
      <c r="E4" s="254"/>
      <c r="F4" s="616" t="s">
        <v>89</v>
      </c>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c r="IA4" s="254"/>
      <c r="IB4" s="254"/>
      <c r="IC4" s="254"/>
      <c r="ID4" s="254"/>
      <c r="IE4" s="254"/>
      <c r="IF4" s="254"/>
      <c r="IG4" s="254"/>
      <c r="IH4" s="254"/>
      <c r="II4" s="254"/>
      <c r="IJ4" s="254"/>
      <c r="IK4" s="254"/>
      <c r="IL4" s="254"/>
      <c r="IM4" s="254"/>
      <c r="IN4" s="254"/>
      <c r="IO4" s="254"/>
      <c r="IP4" s="254"/>
      <c r="IQ4" s="254"/>
      <c r="IR4" s="254"/>
      <c r="IS4" s="254"/>
      <c r="IT4" s="254"/>
      <c r="IU4" s="254"/>
      <c r="IV4" s="254"/>
      <c r="IW4" s="254"/>
      <c r="IX4" s="254"/>
      <c r="IY4" s="254"/>
      <c r="IZ4" s="254"/>
      <c r="JA4" s="254"/>
      <c r="JB4" s="254"/>
      <c r="JC4" s="254"/>
      <c r="JD4" s="254"/>
      <c r="JE4" s="254"/>
      <c r="JF4" s="254"/>
      <c r="JG4" s="254"/>
      <c r="JH4" s="254"/>
      <c r="JI4" s="254"/>
      <c r="JJ4" s="254"/>
      <c r="JK4" s="254"/>
      <c r="JL4" s="254"/>
      <c r="JM4" s="254"/>
      <c r="JN4" s="254"/>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c r="PW4" s="254"/>
      <c r="PX4" s="254"/>
      <c r="PY4" s="254"/>
      <c r="PZ4" s="254"/>
      <c r="QA4" s="254"/>
      <c r="QB4" s="254"/>
      <c r="QC4" s="254"/>
      <c r="QD4" s="254"/>
      <c r="QE4" s="254"/>
      <c r="QF4" s="254"/>
      <c r="QG4" s="254"/>
      <c r="QH4" s="254"/>
      <c r="QI4" s="254"/>
      <c r="QJ4" s="254"/>
      <c r="QK4" s="254"/>
      <c r="QL4" s="254"/>
      <c r="QM4" s="254"/>
      <c r="QN4" s="254"/>
      <c r="QO4" s="254"/>
      <c r="QP4" s="254"/>
      <c r="QQ4" s="254"/>
      <c r="QR4" s="254"/>
      <c r="QS4" s="254"/>
      <c r="QT4" s="254"/>
      <c r="QU4" s="254"/>
      <c r="QV4" s="254"/>
      <c r="QW4" s="254"/>
      <c r="QX4" s="254"/>
      <c r="QY4" s="254"/>
      <c r="QZ4" s="254"/>
      <c r="RA4" s="254"/>
      <c r="RB4" s="254"/>
      <c r="RC4" s="254"/>
      <c r="RD4" s="254"/>
      <c r="RE4" s="254"/>
      <c r="RF4" s="254"/>
      <c r="RG4" s="254"/>
      <c r="RH4" s="254"/>
      <c r="RI4" s="254"/>
      <c r="RJ4" s="254"/>
      <c r="RK4" s="254"/>
      <c r="RL4" s="254"/>
      <c r="RM4" s="254"/>
      <c r="RN4" s="254"/>
      <c r="RO4" s="254"/>
      <c r="RP4" s="254"/>
      <c r="RQ4" s="254"/>
      <c r="RR4" s="254"/>
      <c r="RS4" s="254"/>
      <c r="RT4" s="254"/>
      <c r="RU4" s="254"/>
      <c r="RV4" s="254"/>
      <c r="RW4" s="254"/>
      <c r="RX4" s="254"/>
      <c r="RY4" s="254"/>
      <c r="RZ4" s="254"/>
      <c r="SA4" s="254"/>
      <c r="SB4" s="254"/>
      <c r="SC4" s="254"/>
      <c r="SD4" s="254"/>
      <c r="SE4" s="254"/>
      <c r="SF4" s="254"/>
      <c r="SG4" s="254"/>
      <c r="SH4" s="254"/>
      <c r="SI4" s="254"/>
      <c r="SJ4" s="254"/>
      <c r="SK4" s="254"/>
      <c r="SL4" s="254"/>
      <c r="SM4" s="254"/>
      <c r="SN4" s="254"/>
      <c r="SO4" s="254"/>
      <c r="SP4" s="254"/>
      <c r="SQ4" s="254"/>
      <c r="SR4" s="254"/>
      <c r="SS4" s="254"/>
      <c r="ST4" s="254"/>
      <c r="SU4" s="254"/>
      <c r="SV4" s="254"/>
      <c r="SW4" s="254"/>
      <c r="SX4" s="254"/>
      <c r="SY4" s="254"/>
      <c r="SZ4" s="254"/>
      <c r="TA4" s="254"/>
      <c r="TB4" s="254"/>
      <c r="TC4" s="254"/>
      <c r="TD4" s="254"/>
      <c r="TE4" s="254"/>
      <c r="TF4" s="254"/>
      <c r="TG4" s="254"/>
      <c r="TH4" s="254"/>
      <c r="TI4" s="254"/>
      <c r="TJ4" s="254"/>
      <c r="TK4" s="254"/>
      <c r="TL4" s="254"/>
      <c r="TM4" s="254"/>
      <c r="TN4" s="254"/>
      <c r="TO4" s="254"/>
      <c r="TP4" s="254"/>
      <c r="TQ4" s="254"/>
      <c r="TR4" s="254"/>
      <c r="TS4" s="254"/>
      <c r="TT4" s="254"/>
      <c r="TU4" s="254"/>
      <c r="TV4" s="254"/>
      <c r="TW4" s="254"/>
      <c r="TX4" s="254"/>
      <c r="TY4" s="254"/>
      <c r="TZ4" s="254"/>
      <c r="UA4" s="254"/>
      <c r="UB4" s="254"/>
      <c r="UC4" s="254"/>
      <c r="UD4" s="254"/>
      <c r="UE4" s="254"/>
      <c r="UF4" s="254"/>
      <c r="UG4" s="254"/>
      <c r="UH4" s="254"/>
      <c r="UI4" s="254"/>
      <c r="UJ4" s="254"/>
      <c r="UK4" s="254"/>
      <c r="UL4" s="254"/>
      <c r="UM4" s="254"/>
      <c r="UN4" s="254"/>
      <c r="UO4" s="254"/>
      <c r="UP4" s="254"/>
      <c r="UQ4" s="254"/>
      <c r="UR4" s="254"/>
      <c r="US4" s="254"/>
      <c r="UT4" s="254"/>
      <c r="UU4" s="254"/>
      <c r="UV4" s="254"/>
      <c r="UW4" s="254"/>
      <c r="UX4" s="254"/>
      <c r="UY4" s="254"/>
      <c r="UZ4" s="254"/>
      <c r="VA4" s="254"/>
      <c r="VB4" s="254"/>
      <c r="VC4" s="254"/>
      <c r="VD4" s="254"/>
      <c r="VE4" s="254"/>
      <c r="VF4" s="254"/>
      <c r="VG4" s="254"/>
      <c r="VH4" s="254"/>
      <c r="VI4" s="254"/>
      <c r="VJ4" s="254"/>
      <c r="VK4" s="254"/>
      <c r="VL4" s="254"/>
      <c r="VM4" s="254"/>
      <c r="VN4" s="254"/>
      <c r="VO4" s="254"/>
      <c r="VP4" s="254"/>
      <c r="VQ4" s="254"/>
      <c r="VR4" s="254"/>
      <c r="VS4" s="254"/>
      <c r="VT4" s="254"/>
      <c r="VU4" s="254"/>
      <c r="VV4" s="254"/>
      <c r="VW4" s="254"/>
      <c r="VX4" s="254"/>
      <c r="VY4" s="254"/>
      <c r="VZ4" s="254"/>
      <c r="WA4" s="254"/>
      <c r="WB4" s="254"/>
      <c r="WC4" s="254"/>
      <c r="WD4" s="254"/>
      <c r="WE4" s="254"/>
      <c r="WF4" s="254"/>
      <c r="WG4" s="254"/>
      <c r="WH4" s="254"/>
      <c r="WI4" s="254"/>
      <c r="WJ4" s="254"/>
      <c r="WK4" s="254"/>
      <c r="WL4" s="254"/>
      <c r="WM4" s="254"/>
      <c r="WN4" s="254"/>
      <c r="WO4" s="254"/>
      <c r="WP4" s="254"/>
      <c r="WQ4" s="254"/>
      <c r="WR4" s="254"/>
      <c r="WS4" s="254"/>
      <c r="WT4" s="254"/>
      <c r="WU4" s="254"/>
      <c r="WV4" s="254"/>
      <c r="WW4" s="254"/>
      <c r="WX4" s="254"/>
      <c r="WY4" s="254"/>
      <c r="WZ4" s="254"/>
      <c r="XA4" s="254"/>
      <c r="XB4" s="254"/>
      <c r="XC4" s="254"/>
      <c r="XD4" s="254"/>
      <c r="XE4" s="254"/>
      <c r="XF4" s="254"/>
      <c r="XG4" s="254"/>
      <c r="XH4" s="254"/>
      <c r="XI4" s="254"/>
      <c r="XJ4" s="254"/>
      <c r="XK4" s="254"/>
      <c r="XL4" s="254"/>
      <c r="XM4" s="254"/>
      <c r="XN4" s="254"/>
      <c r="XO4" s="254"/>
      <c r="XP4" s="254"/>
      <c r="XQ4" s="254"/>
      <c r="XR4" s="254"/>
      <c r="XS4" s="254"/>
      <c r="XT4" s="254"/>
      <c r="XU4" s="254"/>
      <c r="XV4" s="254"/>
      <c r="XW4" s="254"/>
      <c r="XX4" s="254"/>
      <c r="XY4" s="254"/>
      <c r="XZ4" s="254"/>
      <c r="YA4" s="254"/>
      <c r="YB4" s="254"/>
      <c r="YC4" s="254"/>
      <c r="YD4" s="254"/>
      <c r="YE4" s="254"/>
      <c r="YF4" s="254"/>
      <c r="YG4" s="254"/>
      <c r="YH4" s="254"/>
      <c r="YI4" s="254"/>
      <c r="YJ4" s="254"/>
      <c r="YK4" s="254"/>
      <c r="YL4" s="254"/>
      <c r="YM4" s="254"/>
      <c r="YN4" s="254"/>
      <c r="YO4" s="254"/>
      <c r="YP4" s="254"/>
      <c r="YQ4" s="254"/>
      <c r="YR4" s="254"/>
      <c r="YS4" s="254"/>
      <c r="YT4" s="254"/>
      <c r="YU4" s="254"/>
      <c r="YV4" s="254"/>
      <c r="YW4" s="254"/>
      <c r="YX4" s="254"/>
      <c r="YY4" s="254"/>
      <c r="YZ4" s="254"/>
      <c r="ZA4" s="254"/>
      <c r="ZB4" s="254"/>
      <c r="ZC4" s="254"/>
      <c r="ZD4" s="254"/>
      <c r="ZE4" s="254"/>
      <c r="ZF4" s="254"/>
      <c r="ZG4" s="254"/>
      <c r="ZH4" s="254"/>
      <c r="ZI4" s="254"/>
      <c r="ZJ4" s="254"/>
      <c r="ZK4" s="254"/>
      <c r="ZL4" s="254"/>
      <c r="ZM4" s="254"/>
      <c r="ZN4" s="254"/>
      <c r="ZO4" s="254"/>
      <c r="ZP4" s="254"/>
      <c r="ZQ4" s="254"/>
      <c r="ZR4" s="254"/>
      <c r="ZS4" s="254"/>
      <c r="ZT4" s="254"/>
      <c r="ZU4" s="254"/>
      <c r="ZV4" s="254"/>
      <c r="ZW4" s="254"/>
      <c r="ZX4" s="254"/>
      <c r="ZY4" s="254"/>
      <c r="ZZ4" s="254"/>
      <c r="AAA4" s="254"/>
      <c r="AAB4" s="254"/>
      <c r="AAC4" s="254"/>
      <c r="AAD4" s="254"/>
      <c r="AAE4" s="254"/>
      <c r="AAF4" s="254"/>
      <c r="AAG4" s="254"/>
      <c r="AAH4" s="254"/>
      <c r="AAI4" s="254"/>
      <c r="AAJ4" s="254"/>
      <c r="AAK4" s="254"/>
      <c r="AAL4" s="254"/>
      <c r="AAM4" s="254"/>
      <c r="AAN4" s="254"/>
      <c r="AAO4" s="254"/>
      <c r="AAP4" s="254"/>
      <c r="AAQ4" s="254"/>
      <c r="AAR4" s="254"/>
      <c r="AAS4" s="254"/>
      <c r="AAT4" s="254"/>
      <c r="AAU4" s="254"/>
      <c r="AAV4" s="254"/>
      <c r="AAW4" s="254"/>
      <c r="AAX4" s="254"/>
      <c r="AAY4" s="254"/>
      <c r="AAZ4" s="254"/>
      <c r="ABA4" s="254"/>
      <c r="ABB4" s="254"/>
      <c r="ABC4" s="254"/>
      <c r="ABD4" s="254"/>
      <c r="ABE4" s="254"/>
      <c r="ABF4" s="254"/>
      <c r="ABG4" s="254"/>
      <c r="ABH4" s="254"/>
      <c r="ABI4" s="254"/>
      <c r="ABJ4" s="254"/>
      <c r="ABK4" s="254"/>
      <c r="ABL4" s="254"/>
      <c r="ABM4" s="254"/>
      <c r="ABN4" s="254"/>
      <c r="ABO4" s="254"/>
      <c r="ABP4" s="254"/>
      <c r="ABQ4" s="254"/>
      <c r="ABR4" s="254"/>
      <c r="ABS4" s="254"/>
      <c r="ABT4" s="254"/>
      <c r="ABU4" s="254"/>
      <c r="ABV4" s="254"/>
      <c r="ABW4" s="254"/>
      <c r="ABX4" s="254"/>
      <c r="ABY4" s="254"/>
      <c r="ABZ4" s="254"/>
      <c r="ACA4" s="254"/>
      <c r="ACB4" s="254"/>
      <c r="ACC4" s="254"/>
      <c r="ACD4" s="254"/>
      <c r="ACE4" s="254"/>
      <c r="ACF4" s="254"/>
      <c r="ACG4" s="254"/>
      <c r="ACH4" s="254"/>
      <c r="ACI4" s="254"/>
      <c r="ACJ4" s="254"/>
      <c r="ACK4" s="254"/>
      <c r="ACL4" s="254"/>
      <c r="ACM4" s="254"/>
      <c r="ACN4" s="254"/>
      <c r="ACO4" s="254"/>
      <c r="ACP4" s="254"/>
      <c r="ACQ4" s="254"/>
      <c r="ACR4" s="254"/>
      <c r="ACS4" s="254"/>
      <c r="ACT4" s="254"/>
      <c r="ACU4" s="254"/>
      <c r="ACV4" s="254"/>
      <c r="ACW4" s="254"/>
      <c r="ACX4" s="254"/>
      <c r="ACY4" s="254"/>
      <c r="ACZ4" s="254"/>
      <c r="ADA4" s="254"/>
      <c r="ADB4" s="254"/>
      <c r="ADC4" s="254"/>
      <c r="ADD4" s="254"/>
      <c r="ADE4" s="254"/>
      <c r="ADF4" s="254"/>
      <c r="ADG4" s="254"/>
      <c r="ADH4" s="254"/>
      <c r="ADI4" s="254"/>
      <c r="ADJ4" s="254"/>
      <c r="ADK4" s="254"/>
      <c r="ADL4" s="254"/>
      <c r="ADM4" s="254"/>
      <c r="ADN4" s="254"/>
      <c r="ADO4" s="254"/>
      <c r="ADP4" s="254"/>
      <c r="ADQ4" s="254"/>
      <c r="ADR4" s="254"/>
      <c r="ADS4" s="254"/>
      <c r="ADT4" s="254"/>
      <c r="ADU4" s="254"/>
      <c r="ADV4" s="254"/>
      <c r="ADW4" s="254"/>
      <c r="ADX4" s="254"/>
      <c r="ADY4" s="254"/>
      <c r="ADZ4" s="254"/>
      <c r="AEA4" s="254"/>
      <c r="AEB4" s="254"/>
      <c r="AEC4" s="254"/>
      <c r="AED4" s="254"/>
      <c r="AEE4" s="254"/>
      <c r="AEF4" s="254"/>
      <c r="AEG4" s="254"/>
      <c r="AEH4" s="254"/>
      <c r="AEI4" s="254"/>
      <c r="AEJ4" s="254"/>
      <c r="AEK4" s="254"/>
      <c r="AEL4" s="254"/>
      <c r="AEM4" s="254"/>
      <c r="AEN4" s="254"/>
      <c r="AEO4" s="254"/>
      <c r="AEP4" s="254"/>
      <c r="AEQ4" s="254"/>
      <c r="AER4" s="254"/>
      <c r="AES4" s="254"/>
      <c r="AET4" s="254"/>
      <c r="AEU4" s="254"/>
      <c r="AEV4" s="254"/>
      <c r="AEW4" s="254"/>
      <c r="AEX4" s="254"/>
      <c r="AEY4" s="254"/>
      <c r="AEZ4" s="254"/>
      <c r="AFA4" s="254"/>
      <c r="AFB4" s="254"/>
      <c r="AFC4" s="254"/>
      <c r="AFD4" s="254"/>
      <c r="AFE4" s="254"/>
      <c r="AFF4" s="254"/>
      <c r="AFG4" s="254"/>
      <c r="AFH4" s="254"/>
      <c r="AFI4" s="254"/>
      <c r="AFJ4" s="254"/>
      <c r="AFK4" s="254"/>
      <c r="AFL4" s="254"/>
      <c r="AFM4" s="254"/>
      <c r="AFN4" s="254"/>
      <c r="AFO4" s="254"/>
      <c r="AFP4" s="254"/>
      <c r="AFQ4" s="254"/>
      <c r="AFR4" s="254"/>
      <c r="AFS4" s="254"/>
      <c r="AFT4" s="254"/>
      <c r="AFU4" s="254"/>
      <c r="AFV4" s="254"/>
      <c r="AFW4" s="254"/>
      <c r="AFX4" s="254"/>
      <c r="AFY4" s="254"/>
      <c r="AFZ4" s="254"/>
      <c r="AGA4" s="254"/>
      <c r="AGB4" s="254"/>
      <c r="AGC4" s="254"/>
      <c r="AGD4" s="254"/>
      <c r="AGE4" s="254"/>
      <c r="AGF4" s="254"/>
      <c r="AGG4" s="254"/>
      <c r="AGH4" s="254"/>
      <c r="AGI4" s="254"/>
      <c r="AGJ4" s="254"/>
      <c r="AGK4" s="254"/>
      <c r="AGL4" s="254"/>
      <c r="AGM4" s="254"/>
      <c r="AGN4" s="254"/>
      <c r="AGO4" s="254"/>
      <c r="AGP4" s="254"/>
      <c r="AGQ4" s="254"/>
      <c r="AGR4" s="254"/>
      <c r="AGS4" s="254"/>
      <c r="AGT4" s="254"/>
      <c r="AGU4" s="254"/>
      <c r="AGV4" s="254"/>
      <c r="AGW4" s="254"/>
      <c r="AGX4" s="254"/>
      <c r="AGY4" s="254"/>
      <c r="AGZ4" s="254"/>
      <c r="AHA4" s="254"/>
      <c r="AHB4" s="254"/>
      <c r="AHC4" s="254"/>
      <c r="AHD4" s="254"/>
      <c r="AHE4" s="254"/>
      <c r="AHF4" s="254"/>
      <c r="AHG4" s="254"/>
      <c r="AHH4" s="254"/>
      <c r="AHI4" s="254"/>
      <c r="AHJ4" s="254"/>
      <c r="AHK4" s="254"/>
      <c r="AHL4" s="254"/>
      <c r="AHM4" s="254"/>
      <c r="AHN4" s="254"/>
      <c r="AHO4" s="254"/>
      <c r="AHP4" s="254"/>
      <c r="AHQ4" s="254"/>
      <c r="AHR4" s="254"/>
      <c r="AHS4" s="254"/>
      <c r="AHT4" s="254"/>
      <c r="AHU4" s="254"/>
      <c r="AHV4" s="254"/>
      <c r="AHW4" s="254"/>
      <c r="AHX4" s="254"/>
      <c r="AHY4" s="254"/>
      <c r="AHZ4" s="254"/>
      <c r="AIA4" s="254"/>
      <c r="AIB4" s="254"/>
      <c r="AIC4" s="254"/>
      <c r="AID4" s="254"/>
      <c r="AIE4" s="254"/>
      <c r="AIF4" s="254"/>
      <c r="AIG4" s="254"/>
      <c r="AIH4" s="254"/>
      <c r="AII4" s="254"/>
      <c r="AIJ4" s="254"/>
      <c r="AIK4" s="254"/>
      <c r="AIL4" s="254"/>
      <c r="AIM4" s="254"/>
      <c r="AIN4" s="254"/>
      <c r="AIO4" s="254"/>
      <c r="AIP4" s="254"/>
      <c r="AIQ4" s="254"/>
      <c r="AIR4" s="254"/>
      <c r="AIS4" s="254"/>
      <c r="AIT4" s="254"/>
      <c r="AIU4" s="254"/>
      <c r="AIV4" s="254"/>
      <c r="AIW4" s="254"/>
      <c r="AIX4" s="254"/>
      <c r="AIY4" s="254"/>
      <c r="AIZ4" s="254"/>
      <c r="AJA4" s="254"/>
      <c r="AJB4" s="254"/>
      <c r="AJC4" s="254"/>
      <c r="AJD4" s="254"/>
      <c r="AJE4" s="254"/>
      <c r="AJF4" s="254"/>
      <c r="AJG4" s="254"/>
      <c r="AJH4" s="254"/>
      <c r="AJI4" s="254"/>
      <c r="AJJ4" s="254"/>
      <c r="AJK4" s="254"/>
      <c r="AJL4" s="254"/>
      <c r="AJM4" s="254"/>
      <c r="AJN4" s="254"/>
      <c r="AJO4" s="254"/>
      <c r="AJP4" s="254"/>
      <c r="AJQ4" s="254"/>
      <c r="AJR4" s="254"/>
      <c r="AJS4" s="254"/>
      <c r="AJT4" s="254"/>
      <c r="AJU4" s="254"/>
      <c r="AJV4" s="254"/>
      <c r="AJW4" s="254"/>
      <c r="AJX4" s="254"/>
      <c r="AJY4" s="254"/>
      <c r="AJZ4" s="254"/>
      <c r="AKA4" s="254"/>
      <c r="AKB4" s="254"/>
      <c r="AKC4" s="254"/>
      <c r="AKD4" s="254"/>
      <c r="AKE4" s="254"/>
      <c r="AKF4" s="254"/>
      <c r="AKG4" s="254"/>
      <c r="AKH4" s="254"/>
      <c r="AKI4" s="254"/>
      <c r="AKJ4" s="254"/>
      <c r="AKK4" s="254"/>
      <c r="AKL4" s="254"/>
      <c r="AKM4" s="254"/>
      <c r="AKN4" s="254"/>
      <c r="AKO4" s="254"/>
      <c r="AKP4" s="254"/>
      <c r="AKQ4" s="254"/>
      <c r="AKR4" s="254"/>
      <c r="AKS4" s="254"/>
      <c r="AKT4" s="254"/>
      <c r="AKU4" s="254"/>
      <c r="AKV4" s="254"/>
      <c r="AKW4" s="254"/>
      <c r="AKX4" s="254"/>
      <c r="AKY4" s="254"/>
      <c r="AKZ4" s="254"/>
      <c r="ALA4" s="254"/>
      <c r="ALB4" s="254"/>
      <c r="ALC4" s="254"/>
      <c r="ALD4" s="254"/>
      <c r="ALE4" s="254"/>
      <c r="ALF4" s="254"/>
      <c r="ALG4" s="254"/>
      <c r="ALH4" s="254"/>
      <c r="ALI4" s="254"/>
      <c r="ALJ4" s="254"/>
      <c r="ALK4" s="254"/>
      <c r="ALL4" s="254"/>
      <c r="ALM4" s="254"/>
      <c r="ALN4" s="254"/>
      <c r="ALO4" s="254"/>
      <c r="ALP4" s="254"/>
      <c r="ALQ4" s="254"/>
      <c r="ALR4" s="254"/>
      <c r="ALS4" s="254"/>
      <c r="ALT4" s="254"/>
      <c r="ALU4" s="254"/>
      <c r="ALV4" s="254"/>
      <c r="ALW4" s="254"/>
      <c r="ALX4" s="254"/>
      <c r="ALY4" s="254"/>
      <c r="ALZ4" s="254"/>
      <c r="AMA4" s="254"/>
      <c r="AMB4" s="254"/>
      <c r="AMC4" s="254"/>
      <c r="AMD4" s="254"/>
      <c r="AME4" s="254"/>
      <c r="AMF4" s="254"/>
      <c r="AMG4" s="254"/>
      <c r="AMH4" s="254"/>
      <c r="AMI4" s="254"/>
      <c r="AMJ4" s="254"/>
      <c r="AMK4" s="254"/>
      <c r="AML4" s="254"/>
      <c r="AMM4" s="254"/>
      <c r="AMN4" s="254"/>
      <c r="AMO4" s="254"/>
      <c r="AMP4" s="254"/>
      <c r="AMQ4" s="254"/>
      <c r="AMR4" s="254"/>
      <c r="AMS4" s="254"/>
      <c r="AMT4" s="254"/>
      <c r="AMU4" s="254"/>
      <c r="AMV4" s="254"/>
      <c r="AMW4" s="254"/>
      <c r="AMX4" s="254"/>
      <c r="AMY4" s="254"/>
      <c r="AMZ4" s="254"/>
      <c r="ANA4" s="254"/>
      <c r="ANB4" s="254"/>
      <c r="ANC4" s="254"/>
      <c r="AND4" s="254"/>
      <c r="ANE4" s="254"/>
      <c r="ANF4" s="254"/>
      <c r="ANG4" s="254"/>
      <c r="ANH4" s="254"/>
      <c r="ANI4" s="254"/>
      <c r="ANJ4" s="254"/>
      <c r="ANK4" s="254"/>
      <c r="ANL4" s="254"/>
      <c r="ANM4" s="254"/>
      <c r="ANN4" s="254"/>
      <c r="ANO4" s="254"/>
      <c r="ANP4" s="254"/>
      <c r="ANQ4" s="254"/>
      <c r="ANR4" s="254"/>
      <c r="ANS4" s="254"/>
      <c r="ANT4" s="254"/>
      <c r="ANU4" s="254"/>
      <c r="ANV4" s="254"/>
      <c r="ANW4" s="254"/>
      <c r="ANX4" s="254"/>
      <c r="ANY4" s="254"/>
      <c r="ANZ4" s="254"/>
      <c r="AOA4" s="254"/>
      <c r="AOB4" s="254"/>
      <c r="AOC4" s="254"/>
      <c r="AOD4" s="254"/>
      <c r="AOE4" s="254"/>
      <c r="AOF4" s="254"/>
      <c r="AOG4" s="254"/>
      <c r="AOH4" s="254"/>
      <c r="AOI4" s="254"/>
      <c r="AOJ4" s="254"/>
      <c r="AOK4" s="254"/>
      <c r="AOL4" s="254"/>
      <c r="AOM4" s="254"/>
      <c r="AON4" s="254"/>
      <c r="AOO4" s="254"/>
      <c r="AOP4" s="254"/>
      <c r="AOQ4" s="254"/>
      <c r="AOR4" s="254"/>
      <c r="AOS4" s="254"/>
      <c r="AOT4" s="254"/>
      <c r="AOU4" s="254"/>
      <c r="AOV4" s="254"/>
      <c r="AOW4" s="254"/>
      <c r="AOX4" s="254"/>
      <c r="AOY4" s="254"/>
      <c r="AOZ4" s="254"/>
      <c r="APA4" s="254"/>
      <c r="APB4" s="254"/>
      <c r="APC4" s="254"/>
      <c r="APD4" s="254"/>
      <c r="APE4" s="254"/>
      <c r="APF4" s="254"/>
      <c r="APG4" s="254"/>
      <c r="APH4" s="254"/>
      <c r="API4" s="254"/>
      <c r="APJ4" s="254"/>
      <c r="APK4" s="254"/>
      <c r="APL4" s="254"/>
      <c r="APM4" s="254"/>
      <c r="APN4" s="254"/>
      <c r="APO4" s="254"/>
      <c r="APP4" s="254"/>
      <c r="APQ4" s="254"/>
      <c r="APR4" s="254"/>
      <c r="APS4" s="254"/>
      <c r="APT4" s="254"/>
      <c r="APU4" s="254"/>
      <c r="APV4" s="254"/>
      <c r="APW4" s="254"/>
      <c r="APX4" s="254"/>
      <c r="APY4" s="254"/>
      <c r="APZ4" s="254"/>
      <c r="AQA4" s="254"/>
      <c r="AQB4" s="254"/>
      <c r="AQC4" s="254"/>
      <c r="AQD4" s="254"/>
      <c r="AQE4" s="254"/>
      <c r="AQF4" s="254"/>
      <c r="AQG4" s="254"/>
      <c r="AQH4" s="254"/>
      <c r="AQI4" s="254"/>
      <c r="AQJ4" s="254"/>
      <c r="AQK4" s="254"/>
      <c r="AQL4" s="254"/>
      <c r="AQM4" s="254"/>
      <c r="AQN4" s="254"/>
      <c r="AQO4" s="254"/>
      <c r="AQP4" s="254"/>
      <c r="AQQ4" s="254"/>
      <c r="AQR4" s="254"/>
      <c r="AQS4" s="254"/>
      <c r="AQT4" s="254"/>
      <c r="AQU4" s="254"/>
      <c r="AQV4" s="254"/>
      <c r="AQW4" s="254"/>
      <c r="AQX4" s="254"/>
      <c r="AQY4" s="254"/>
      <c r="AQZ4" s="254"/>
      <c r="ARA4" s="254"/>
      <c r="ARB4" s="254"/>
      <c r="ARC4" s="254"/>
      <c r="ARD4" s="254"/>
      <c r="ARE4" s="254"/>
      <c r="ARF4" s="254"/>
      <c r="ARG4" s="254"/>
      <c r="ARH4" s="254"/>
      <c r="ARI4" s="254"/>
      <c r="ARJ4" s="254"/>
      <c r="ARK4" s="254"/>
      <c r="ARL4" s="254"/>
      <c r="ARM4" s="254"/>
      <c r="ARN4" s="254"/>
      <c r="ARO4" s="254"/>
      <c r="ARP4" s="254"/>
      <c r="ARQ4" s="254"/>
      <c r="ARR4" s="254"/>
      <c r="ARS4" s="254"/>
      <c r="ART4" s="254"/>
      <c r="ARU4" s="254"/>
      <c r="ARV4" s="254"/>
      <c r="ARW4" s="254"/>
      <c r="ARX4" s="254"/>
      <c r="ARY4" s="254"/>
      <c r="ARZ4" s="254"/>
      <c r="ASA4" s="254"/>
      <c r="ASB4" s="254"/>
      <c r="ASC4" s="254"/>
      <c r="ASD4" s="254"/>
      <c r="ASE4" s="254"/>
      <c r="ASF4" s="254"/>
      <c r="ASG4" s="254"/>
      <c r="ASH4" s="254"/>
      <c r="ASI4" s="254"/>
      <c r="ASJ4" s="254"/>
      <c r="ASK4" s="254"/>
      <c r="ASL4" s="254"/>
      <c r="ASM4" s="254"/>
      <c r="ASN4" s="254"/>
      <c r="ASO4" s="254"/>
      <c r="ASP4" s="254"/>
      <c r="ASQ4" s="254"/>
      <c r="ASR4" s="254"/>
      <c r="ASS4" s="254"/>
      <c r="AST4" s="254"/>
      <c r="ASU4" s="254"/>
      <c r="ASV4" s="254"/>
      <c r="ASW4" s="254"/>
      <c r="ASX4" s="254"/>
      <c r="ASY4" s="254"/>
      <c r="ASZ4" s="254"/>
      <c r="ATA4" s="254"/>
      <c r="ATB4" s="254"/>
      <c r="ATC4" s="254"/>
      <c r="ATD4" s="254"/>
      <c r="ATE4" s="254"/>
      <c r="ATF4" s="254"/>
      <c r="ATG4" s="254"/>
      <c r="ATH4" s="254"/>
      <c r="ATI4" s="254"/>
      <c r="ATJ4" s="254"/>
      <c r="ATK4" s="254"/>
      <c r="ATL4" s="254"/>
      <c r="ATM4" s="254"/>
      <c r="ATN4" s="254"/>
      <c r="ATO4" s="254"/>
      <c r="ATP4" s="254"/>
      <c r="ATQ4" s="254"/>
      <c r="ATR4" s="254"/>
      <c r="ATS4" s="254"/>
      <c r="ATT4" s="254"/>
      <c r="ATU4" s="254"/>
      <c r="ATV4" s="254"/>
      <c r="ATW4" s="254"/>
      <c r="ATX4" s="254"/>
      <c r="ATY4" s="254"/>
      <c r="ATZ4" s="254"/>
      <c r="AUA4" s="254"/>
      <c r="AUB4" s="254"/>
      <c r="AUC4" s="254"/>
      <c r="AUD4" s="254"/>
      <c r="AUE4" s="254"/>
      <c r="AUF4" s="254"/>
      <c r="AUG4" s="254"/>
      <c r="AUH4" s="254"/>
      <c r="AUI4" s="254"/>
      <c r="AUJ4" s="254"/>
      <c r="AUK4" s="254"/>
      <c r="AUL4" s="254"/>
      <c r="AUM4" s="254"/>
      <c r="AUN4" s="254"/>
      <c r="AUO4" s="254"/>
      <c r="AUP4" s="254"/>
      <c r="AUQ4" s="254"/>
      <c r="AUR4" s="254"/>
      <c r="AUS4" s="254"/>
      <c r="AUT4" s="254"/>
      <c r="AUU4" s="254"/>
      <c r="AUV4" s="254"/>
      <c r="AUW4" s="254"/>
      <c r="AUX4" s="254"/>
      <c r="AUY4" s="254"/>
      <c r="AUZ4" s="254"/>
      <c r="AVA4" s="254"/>
      <c r="AVB4" s="254"/>
      <c r="AVC4" s="254"/>
      <c r="AVD4" s="254"/>
      <c r="AVE4" s="254"/>
      <c r="AVF4" s="254"/>
      <c r="AVG4" s="254"/>
      <c r="AVH4" s="254"/>
      <c r="AVI4" s="254"/>
      <c r="AVJ4" s="254"/>
      <c r="AVK4" s="254"/>
      <c r="AVL4" s="254"/>
      <c r="AVM4" s="254"/>
      <c r="AVN4" s="254"/>
      <c r="AVO4" s="254"/>
      <c r="AVP4" s="254"/>
      <c r="AVQ4" s="254"/>
      <c r="AVR4" s="254"/>
      <c r="AVS4" s="254"/>
      <c r="AVT4" s="254"/>
      <c r="AVU4" s="254"/>
      <c r="AVV4" s="254"/>
      <c r="AVW4" s="254"/>
      <c r="AVX4" s="254"/>
      <c r="AVY4" s="254"/>
      <c r="AVZ4" s="254"/>
      <c r="AWA4" s="254"/>
      <c r="AWB4" s="254"/>
      <c r="AWC4" s="254"/>
      <c r="AWD4" s="254"/>
      <c r="AWE4" s="254"/>
      <c r="AWF4" s="254"/>
      <c r="AWG4" s="254"/>
      <c r="AWH4" s="254"/>
      <c r="AWI4" s="254"/>
      <c r="AWJ4" s="254"/>
      <c r="AWK4" s="254"/>
      <c r="AWL4" s="254"/>
      <c r="AWM4" s="254"/>
      <c r="AWN4" s="254"/>
      <c r="AWO4" s="254"/>
      <c r="AWP4" s="254"/>
      <c r="AWQ4" s="254"/>
      <c r="AWR4" s="254"/>
      <c r="AWS4" s="254"/>
      <c r="AWT4" s="254"/>
      <c r="AWU4" s="254"/>
      <c r="AWV4" s="254"/>
      <c r="AWW4" s="254"/>
      <c r="AWX4" s="254"/>
      <c r="AWY4" s="254"/>
      <c r="AWZ4" s="254"/>
      <c r="AXA4" s="254"/>
      <c r="AXB4" s="254"/>
      <c r="AXC4" s="254"/>
      <c r="AXD4" s="254"/>
      <c r="AXE4" s="254"/>
      <c r="AXF4" s="254"/>
      <c r="AXG4" s="254"/>
      <c r="AXH4" s="254"/>
      <c r="AXI4" s="254"/>
      <c r="AXJ4" s="254"/>
      <c r="AXK4" s="254"/>
      <c r="AXL4" s="254"/>
      <c r="AXM4" s="254"/>
      <c r="AXN4" s="254"/>
      <c r="AXO4" s="254"/>
      <c r="AXP4" s="254"/>
      <c r="AXQ4" s="254"/>
      <c r="AXR4" s="254"/>
      <c r="AXS4" s="254"/>
      <c r="AXT4" s="254"/>
      <c r="AXU4" s="254"/>
      <c r="AXV4" s="254"/>
      <c r="AXW4" s="254"/>
      <c r="AXX4" s="254"/>
      <c r="AXY4" s="254"/>
      <c r="AXZ4" s="254"/>
      <c r="AYA4" s="254"/>
      <c r="AYB4" s="254"/>
      <c r="AYC4" s="254"/>
      <c r="AYD4" s="254"/>
      <c r="AYE4" s="254"/>
      <c r="AYF4" s="254"/>
      <c r="AYG4" s="254"/>
      <c r="AYH4" s="254"/>
      <c r="AYI4" s="254"/>
      <c r="AYJ4" s="254"/>
      <c r="AYK4" s="254"/>
      <c r="AYL4" s="254"/>
      <c r="AYM4" s="254"/>
      <c r="AYN4" s="254"/>
      <c r="AYO4" s="254"/>
      <c r="AYP4" s="254"/>
      <c r="AYQ4" s="254"/>
      <c r="AYR4" s="254"/>
      <c r="AYS4" s="254"/>
      <c r="AYT4" s="254"/>
      <c r="AYU4" s="254"/>
      <c r="AYV4" s="254"/>
      <c r="AYW4" s="254"/>
      <c r="AYX4" s="254"/>
      <c r="AYY4" s="254"/>
      <c r="AYZ4" s="254"/>
      <c r="AZA4" s="254"/>
      <c r="AZB4" s="254"/>
      <c r="AZC4" s="254"/>
      <c r="AZD4" s="254"/>
      <c r="AZE4" s="254"/>
      <c r="AZF4" s="254"/>
      <c r="AZG4" s="254"/>
      <c r="AZH4" s="254"/>
      <c r="AZI4" s="254"/>
      <c r="AZJ4" s="254"/>
      <c r="AZK4" s="254"/>
      <c r="AZL4" s="254"/>
      <c r="AZM4" s="254"/>
      <c r="AZN4" s="254"/>
      <c r="AZO4" s="254"/>
      <c r="AZP4" s="254"/>
      <c r="AZQ4" s="254"/>
      <c r="AZR4" s="254"/>
      <c r="AZS4" s="254"/>
      <c r="AZT4" s="254"/>
      <c r="AZU4" s="254"/>
      <c r="AZV4" s="254"/>
      <c r="AZW4" s="254"/>
      <c r="AZX4" s="254"/>
      <c r="AZY4" s="254"/>
      <c r="AZZ4" s="254"/>
      <c r="BAA4" s="254"/>
      <c r="BAB4" s="254"/>
      <c r="BAC4" s="254"/>
      <c r="BAD4" s="254"/>
      <c r="BAE4" s="254"/>
      <c r="BAF4" s="254"/>
      <c r="BAG4" s="254"/>
      <c r="BAH4" s="254"/>
      <c r="BAI4" s="254"/>
      <c r="BAJ4" s="254"/>
      <c r="BAK4" s="254"/>
      <c r="BAL4" s="254"/>
      <c r="BAM4" s="254"/>
      <c r="BAN4" s="254"/>
      <c r="BAO4" s="254"/>
      <c r="BAP4" s="254"/>
      <c r="BAQ4" s="254"/>
      <c r="BAR4" s="254"/>
      <c r="BAS4" s="254"/>
      <c r="BAT4" s="254"/>
      <c r="BAU4" s="254"/>
      <c r="BAV4" s="254"/>
      <c r="BAW4" s="254"/>
      <c r="BAX4" s="254"/>
      <c r="BAY4" s="254"/>
      <c r="BAZ4" s="254"/>
      <c r="BBA4" s="254"/>
      <c r="BBB4" s="254"/>
      <c r="BBC4" s="254"/>
      <c r="BBD4" s="254"/>
      <c r="BBE4" s="254"/>
      <c r="BBF4" s="254"/>
      <c r="BBG4" s="254"/>
      <c r="BBH4" s="254"/>
      <c r="BBI4" s="254"/>
      <c r="BBJ4" s="254"/>
      <c r="BBK4" s="254"/>
      <c r="BBL4" s="254"/>
      <c r="BBM4" s="254"/>
      <c r="BBN4" s="254"/>
      <c r="BBO4" s="254"/>
      <c r="BBP4" s="254"/>
      <c r="BBQ4" s="254"/>
      <c r="BBR4" s="254"/>
      <c r="BBS4" s="254"/>
      <c r="BBT4" s="254"/>
      <c r="BBU4" s="254"/>
      <c r="BBV4" s="254"/>
      <c r="BBW4" s="254"/>
      <c r="BBX4" s="254"/>
      <c r="BBY4" s="254"/>
      <c r="BBZ4" s="254"/>
      <c r="BCA4" s="254"/>
      <c r="BCB4" s="254"/>
      <c r="BCC4" s="254"/>
      <c r="BCD4" s="254"/>
      <c r="BCE4" s="254"/>
      <c r="BCF4" s="254"/>
      <c r="BCG4" s="254"/>
      <c r="BCH4" s="254"/>
      <c r="BCI4" s="254"/>
      <c r="BCJ4" s="254"/>
      <c r="BCK4" s="254"/>
      <c r="BCL4" s="254"/>
      <c r="BCM4" s="254"/>
      <c r="BCN4" s="254"/>
      <c r="BCO4" s="254"/>
      <c r="BCP4" s="254"/>
      <c r="BCQ4" s="254"/>
      <c r="BCR4" s="254"/>
      <c r="BCS4" s="254"/>
      <c r="BCT4" s="254"/>
      <c r="BCU4" s="254"/>
      <c r="BCV4" s="254"/>
      <c r="BCW4" s="254"/>
      <c r="BCX4" s="254"/>
      <c r="BCY4" s="254"/>
      <c r="BCZ4" s="254"/>
      <c r="BDA4" s="254"/>
      <c r="BDB4" s="254"/>
      <c r="BDC4" s="254"/>
      <c r="BDD4" s="254"/>
      <c r="BDE4" s="254"/>
      <c r="BDF4" s="254"/>
      <c r="BDG4" s="254"/>
      <c r="BDH4" s="254"/>
      <c r="BDI4" s="254"/>
      <c r="BDJ4" s="254"/>
      <c r="BDK4" s="254"/>
      <c r="BDL4" s="254"/>
      <c r="BDM4" s="254"/>
      <c r="BDN4" s="254"/>
      <c r="BDO4" s="254"/>
      <c r="BDP4" s="254"/>
      <c r="BDQ4" s="254"/>
      <c r="BDR4" s="254"/>
      <c r="BDS4" s="254"/>
      <c r="BDT4" s="254"/>
      <c r="BDU4" s="254"/>
      <c r="BDV4" s="254"/>
      <c r="BDW4" s="254"/>
      <c r="BDX4" s="254"/>
      <c r="BDY4" s="254"/>
      <c r="BDZ4" s="254"/>
      <c r="BEA4" s="254"/>
      <c r="BEB4" s="254"/>
      <c r="BEC4" s="254"/>
      <c r="BED4" s="254"/>
      <c r="BEE4" s="254"/>
      <c r="BEF4" s="254"/>
      <c r="BEG4" s="254"/>
      <c r="BEH4" s="254"/>
      <c r="BEI4" s="254"/>
      <c r="BEJ4" s="254"/>
      <c r="BEK4" s="254"/>
      <c r="BEL4" s="254"/>
      <c r="BEM4" s="254"/>
      <c r="BEN4" s="254"/>
      <c r="BEO4" s="254"/>
      <c r="BEP4" s="254"/>
      <c r="BEQ4" s="254"/>
      <c r="BER4" s="254"/>
      <c r="BES4" s="254"/>
      <c r="BET4" s="254"/>
      <c r="BEU4" s="254"/>
      <c r="BEV4" s="254"/>
      <c r="BEW4" s="254"/>
      <c r="BEX4" s="254"/>
      <c r="BEY4" s="254"/>
      <c r="BEZ4" s="254"/>
      <c r="BFA4" s="254"/>
      <c r="BFB4" s="254"/>
      <c r="BFC4" s="254"/>
      <c r="BFD4" s="254"/>
      <c r="BFE4" s="254"/>
      <c r="BFF4" s="254"/>
      <c r="BFG4" s="254"/>
      <c r="BFH4" s="254"/>
      <c r="BFI4" s="254"/>
      <c r="BFJ4" s="254"/>
      <c r="BFK4" s="254"/>
      <c r="BFL4" s="254"/>
      <c r="BFM4" s="254"/>
      <c r="BFN4" s="254"/>
      <c r="BFO4" s="254"/>
      <c r="BFP4" s="254"/>
      <c r="BFQ4" s="254"/>
      <c r="BFR4" s="254"/>
      <c r="BFS4" s="254"/>
      <c r="BFT4" s="254"/>
      <c r="BFU4" s="254"/>
      <c r="BFV4" s="254"/>
      <c r="BFW4" s="254"/>
      <c r="BFX4" s="254"/>
      <c r="BFY4" s="254"/>
      <c r="BFZ4" s="254"/>
      <c r="BGA4" s="254"/>
      <c r="BGB4" s="254"/>
      <c r="BGC4" s="254"/>
      <c r="BGD4" s="254"/>
      <c r="BGE4" s="254"/>
      <c r="BGF4" s="254"/>
      <c r="BGG4" s="254"/>
      <c r="BGH4" s="254"/>
      <c r="BGI4" s="254"/>
      <c r="BGJ4" s="254"/>
      <c r="BGK4" s="254"/>
      <c r="BGL4" s="254"/>
      <c r="BGM4" s="254"/>
      <c r="BGN4" s="254"/>
      <c r="BGO4" s="254"/>
      <c r="BGP4" s="254"/>
      <c r="BGQ4" s="254"/>
      <c r="BGR4" s="254"/>
      <c r="BGS4" s="254"/>
      <c r="BGT4" s="254"/>
      <c r="BGU4" s="254"/>
      <c r="BGV4" s="254"/>
      <c r="BGW4" s="254"/>
      <c r="BGX4" s="254"/>
      <c r="BGY4" s="254"/>
      <c r="BGZ4" s="254"/>
      <c r="BHA4" s="254"/>
      <c r="BHB4" s="254"/>
      <c r="BHC4" s="254"/>
      <c r="BHD4" s="254"/>
      <c r="BHE4" s="254"/>
      <c r="BHF4" s="254"/>
      <c r="BHG4" s="254"/>
      <c r="BHH4" s="254"/>
      <c r="BHI4" s="254"/>
      <c r="BHJ4" s="254"/>
      <c r="BHK4" s="254"/>
      <c r="BHL4" s="254"/>
      <c r="BHM4" s="254"/>
      <c r="BHN4" s="254"/>
      <c r="BHO4" s="254"/>
      <c r="BHP4" s="254"/>
      <c r="BHQ4" s="254"/>
      <c r="BHR4" s="254"/>
      <c r="BHS4" s="254"/>
      <c r="BHT4" s="254"/>
      <c r="BHU4" s="254"/>
      <c r="BHV4" s="254"/>
      <c r="BHW4" s="254"/>
      <c r="BHX4" s="254"/>
      <c r="BHY4" s="254"/>
      <c r="BHZ4" s="254"/>
      <c r="BIA4" s="254"/>
      <c r="BIB4" s="254"/>
      <c r="BIC4" s="254"/>
      <c r="BID4" s="254"/>
      <c r="BIE4" s="254"/>
      <c r="BIF4" s="254"/>
      <c r="BIG4" s="254"/>
      <c r="BIH4" s="254"/>
      <c r="BII4" s="254"/>
      <c r="BIJ4" s="254"/>
      <c r="BIK4" s="254"/>
      <c r="BIL4" s="254"/>
      <c r="BIM4" s="254"/>
      <c r="BIN4" s="254"/>
      <c r="BIO4" s="254"/>
      <c r="BIP4" s="254"/>
      <c r="BIQ4" s="254"/>
      <c r="BIR4" s="254"/>
      <c r="BIS4" s="254"/>
      <c r="BIT4" s="254"/>
      <c r="BIU4" s="254"/>
      <c r="BIV4" s="254"/>
      <c r="BIW4" s="254"/>
      <c r="BIX4" s="254"/>
      <c r="BIY4" s="254"/>
      <c r="BIZ4" s="254"/>
      <c r="BJA4" s="254"/>
      <c r="BJB4" s="254"/>
      <c r="BJC4" s="254"/>
      <c r="BJD4" s="254"/>
      <c r="BJE4" s="254"/>
      <c r="BJF4" s="254"/>
      <c r="BJG4" s="254"/>
      <c r="BJH4" s="254"/>
      <c r="BJI4" s="254"/>
      <c r="BJJ4" s="254"/>
      <c r="BJK4" s="254"/>
      <c r="BJL4" s="254"/>
      <c r="BJM4" s="254"/>
      <c r="BJN4" s="254"/>
      <c r="BJO4" s="254"/>
      <c r="BJP4" s="254"/>
      <c r="BJQ4" s="254"/>
      <c r="BJR4" s="254"/>
      <c r="BJS4" s="254"/>
      <c r="BJT4" s="254"/>
      <c r="BJU4" s="254"/>
      <c r="BJV4" s="254"/>
      <c r="BJW4" s="254"/>
      <c r="BJX4" s="254"/>
      <c r="BJY4" s="254"/>
      <c r="BJZ4" s="254"/>
      <c r="BKA4" s="254"/>
      <c r="BKB4" s="254"/>
      <c r="BKC4" s="254"/>
      <c r="BKD4" s="254"/>
      <c r="BKE4" s="254"/>
      <c r="BKF4" s="254"/>
      <c r="BKG4" s="254"/>
      <c r="BKH4" s="254"/>
      <c r="BKI4" s="254"/>
      <c r="BKJ4" s="254"/>
      <c r="BKK4" s="254"/>
      <c r="BKL4" s="254"/>
      <c r="BKM4" s="254"/>
      <c r="BKN4" s="254"/>
      <c r="BKO4" s="254"/>
      <c r="BKP4" s="254"/>
      <c r="BKQ4" s="254"/>
      <c r="BKR4" s="254"/>
      <c r="BKS4" s="254"/>
      <c r="BKT4" s="254"/>
      <c r="BKU4" s="254"/>
      <c r="BKV4" s="254"/>
      <c r="BKW4" s="254"/>
      <c r="BKX4" s="254"/>
      <c r="BKY4" s="254"/>
      <c r="BKZ4" s="254"/>
      <c r="BLA4" s="254"/>
      <c r="BLB4" s="254"/>
      <c r="BLC4" s="254"/>
      <c r="BLD4" s="254"/>
      <c r="BLE4" s="254"/>
      <c r="BLF4" s="254"/>
      <c r="BLG4" s="254"/>
      <c r="BLH4" s="254"/>
      <c r="BLI4" s="254"/>
      <c r="BLJ4" s="254"/>
      <c r="BLK4" s="254"/>
      <c r="BLL4" s="254"/>
      <c r="BLM4" s="254"/>
      <c r="BLN4" s="254"/>
      <c r="BLO4" s="254"/>
      <c r="BLP4" s="254"/>
      <c r="BLQ4" s="254"/>
      <c r="BLR4" s="254"/>
      <c r="BLS4" s="254"/>
      <c r="BLT4" s="254"/>
      <c r="BLU4" s="254"/>
      <c r="BLV4" s="254"/>
      <c r="BLW4" s="254"/>
      <c r="BLX4" s="254"/>
      <c r="BLY4" s="254"/>
      <c r="BLZ4" s="254"/>
      <c r="BMA4" s="254"/>
      <c r="BMB4" s="254"/>
      <c r="BMC4" s="254"/>
      <c r="BMD4" s="254"/>
      <c r="BME4" s="254"/>
      <c r="BMF4" s="254"/>
      <c r="BMG4" s="254"/>
      <c r="BMH4" s="254"/>
      <c r="BMI4" s="254"/>
      <c r="BMJ4" s="254"/>
      <c r="BMK4" s="254"/>
      <c r="BML4" s="254"/>
      <c r="BMM4" s="254"/>
      <c r="BMN4" s="254"/>
      <c r="BMO4" s="254"/>
      <c r="BMP4" s="254"/>
      <c r="BMQ4" s="254"/>
      <c r="BMR4" s="254"/>
      <c r="BMS4" s="254"/>
      <c r="BMT4" s="254"/>
      <c r="BMU4" s="254"/>
      <c r="BMV4" s="254"/>
      <c r="BMW4" s="254"/>
      <c r="BMX4" s="254"/>
      <c r="BMY4" s="254"/>
      <c r="BMZ4" s="254"/>
      <c r="BNA4" s="254"/>
      <c r="BNB4" s="254"/>
      <c r="BNC4" s="254"/>
      <c r="BND4" s="254"/>
      <c r="BNE4" s="254"/>
      <c r="BNF4" s="254"/>
      <c r="BNG4" s="254"/>
      <c r="BNH4" s="254"/>
      <c r="BNI4" s="254"/>
      <c r="BNJ4" s="254"/>
      <c r="BNK4" s="254"/>
      <c r="BNL4" s="254"/>
      <c r="BNM4" s="254"/>
      <c r="BNN4" s="254"/>
      <c r="BNO4" s="254"/>
      <c r="BNP4" s="254"/>
      <c r="BNQ4" s="254"/>
      <c r="BNR4" s="254"/>
      <c r="BNS4" s="254"/>
      <c r="BNT4" s="254"/>
      <c r="BNU4" s="254"/>
      <c r="BNV4" s="254"/>
      <c r="BNW4" s="254"/>
      <c r="BNX4" s="254"/>
      <c r="BNY4" s="254"/>
      <c r="BNZ4" s="254"/>
      <c r="BOA4" s="254"/>
      <c r="BOB4" s="254"/>
      <c r="BOC4" s="254"/>
      <c r="BOD4" s="254"/>
      <c r="BOE4" s="254"/>
      <c r="BOF4" s="254"/>
      <c r="BOG4" s="254"/>
      <c r="BOH4" s="254"/>
      <c r="BOI4" s="254"/>
      <c r="BOJ4" s="254"/>
      <c r="BOK4" s="254"/>
      <c r="BOL4" s="254"/>
      <c r="BOM4" s="254"/>
      <c r="BON4" s="254"/>
      <c r="BOO4" s="254"/>
      <c r="BOP4" s="254"/>
      <c r="BOQ4" s="254"/>
      <c r="BOR4" s="254"/>
      <c r="BOS4" s="254"/>
      <c r="BOT4" s="254"/>
      <c r="BOU4" s="254"/>
      <c r="BOV4" s="254"/>
      <c r="BOW4" s="254"/>
      <c r="BOX4" s="254"/>
      <c r="BOY4" s="254"/>
      <c r="BOZ4" s="254"/>
      <c r="BPA4" s="254"/>
      <c r="BPB4" s="254"/>
      <c r="BPC4" s="254"/>
      <c r="BPD4" s="254"/>
      <c r="BPE4" s="254"/>
      <c r="BPF4" s="254"/>
      <c r="BPG4" s="254"/>
      <c r="BPH4" s="254"/>
      <c r="BPI4" s="254"/>
      <c r="BPJ4" s="254"/>
      <c r="BPK4" s="254"/>
      <c r="BPL4" s="254"/>
      <c r="BPM4" s="254"/>
      <c r="BPN4" s="254"/>
      <c r="BPO4" s="254"/>
      <c r="BPP4" s="254"/>
      <c r="BPQ4" s="254"/>
      <c r="BPR4" s="254"/>
      <c r="BPS4" s="254"/>
      <c r="BPT4" s="254"/>
      <c r="BPU4" s="254"/>
      <c r="BPV4" s="254"/>
      <c r="BPW4" s="254"/>
      <c r="BPX4" s="254"/>
      <c r="BPY4" s="254"/>
      <c r="BPZ4" s="254"/>
      <c r="BQA4" s="254"/>
      <c r="BQB4" s="254"/>
      <c r="BQC4" s="254"/>
      <c r="BQD4" s="254"/>
      <c r="BQE4" s="254"/>
      <c r="BQF4" s="254"/>
      <c r="BQG4" s="254"/>
      <c r="BQH4" s="254"/>
      <c r="BQI4" s="254"/>
      <c r="BQJ4" s="254"/>
      <c r="BQK4" s="254"/>
      <c r="BQL4" s="254"/>
      <c r="BQM4" s="254"/>
      <c r="BQN4" s="254"/>
      <c r="BQO4" s="254"/>
      <c r="BQP4" s="254"/>
      <c r="BQQ4" s="254"/>
      <c r="BQR4" s="254"/>
      <c r="BQS4" s="254"/>
      <c r="BQT4" s="254"/>
      <c r="BQU4" s="254"/>
      <c r="BQV4" s="254"/>
      <c r="BQW4" s="254"/>
      <c r="BQX4" s="254"/>
      <c r="BQY4" s="254"/>
      <c r="BQZ4" s="254"/>
      <c r="BRA4" s="254"/>
      <c r="BRB4" s="254"/>
      <c r="BRC4" s="254"/>
      <c r="BRD4" s="254"/>
      <c r="BRE4" s="254"/>
      <c r="BRF4" s="254"/>
      <c r="BRG4" s="254"/>
      <c r="BRH4" s="254"/>
      <c r="BRI4" s="254"/>
      <c r="BRJ4" s="254"/>
      <c r="BRK4" s="254"/>
      <c r="BRL4" s="254"/>
      <c r="BRM4" s="254"/>
      <c r="BRN4" s="254"/>
      <c r="BRO4" s="254"/>
      <c r="BRP4" s="254"/>
      <c r="BRQ4" s="254"/>
      <c r="BRR4" s="254"/>
      <c r="BRS4" s="254"/>
      <c r="BRT4" s="254"/>
      <c r="BRU4" s="254"/>
      <c r="BRV4" s="254"/>
      <c r="BRW4" s="254"/>
      <c r="BRX4" s="254"/>
      <c r="BRY4" s="254"/>
      <c r="BRZ4" s="254"/>
      <c r="BSA4" s="254"/>
      <c r="BSB4" s="254"/>
      <c r="BSC4" s="254"/>
      <c r="BSD4" s="254"/>
      <c r="BSE4" s="254"/>
      <c r="BSF4" s="254"/>
      <c r="BSG4" s="254"/>
      <c r="BSH4" s="254"/>
      <c r="BSI4" s="254"/>
      <c r="BSJ4" s="254"/>
      <c r="BSK4" s="254"/>
      <c r="BSL4" s="254"/>
      <c r="BSM4" s="254"/>
      <c r="BSN4" s="254"/>
      <c r="BSO4" s="254"/>
      <c r="BSP4" s="254"/>
      <c r="BSQ4" s="254"/>
      <c r="BSR4" s="254"/>
      <c r="BSS4" s="254"/>
      <c r="BST4" s="254"/>
      <c r="BSU4" s="254"/>
      <c r="BSV4" s="254"/>
      <c r="BSW4" s="254"/>
      <c r="BSX4" s="254"/>
      <c r="BSY4" s="254"/>
      <c r="BSZ4" s="254"/>
      <c r="BTA4" s="254"/>
      <c r="BTB4" s="254"/>
      <c r="BTC4" s="254"/>
      <c r="BTD4" s="254"/>
      <c r="BTE4" s="254"/>
      <c r="BTF4" s="254"/>
      <c r="BTG4" s="254"/>
      <c r="BTH4" s="254"/>
      <c r="BTI4" s="254"/>
      <c r="BTJ4" s="254"/>
      <c r="BTK4" s="254"/>
      <c r="BTL4" s="254"/>
      <c r="BTM4" s="254"/>
      <c r="BTN4" s="254"/>
      <c r="BTO4" s="254"/>
      <c r="BTP4" s="254"/>
      <c r="BTQ4" s="254"/>
      <c r="BTR4" s="254"/>
      <c r="BTS4" s="254"/>
      <c r="BTT4" s="254"/>
      <c r="BTU4" s="254"/>
      <c r="BTV4" s="254"/>
      <c r="BTW4" s="254"/>
      <c r="BTX4" s="254"/>
      <c r="BTY4" s="254"/>
      <c r="BTZ4" s="254"/>
      <c r="BUA4" s="254"/>
      <c r="BUB4" s="254"/>
      <c r="BUC4" s="254"/>
      <c r="BUD4" s="254"/>
      <c r="BUE4" s="254"/>
      <c r="BUF4" s="254"/>
      <c r="BUG4" s="254"/>
      <c r="BUH4" s="254"/>
      <c r="BUI4" s="254"/>
      <c r="BUJ4" s="254"/>
      <c r="BUK4" s="254"/>
      <c r="BUL4" s="254"/>
      <c r="BUM4" s="254"/>
      <c r="BUN4" s="254"/>
      <c r="BUO4" s="254"/>
      <c r="BUP4" s="254"/>
      <c r="BUQ4" s="254"/>
      <c r="BUR4" s="254"/>
      <c r="BUS4" s="254"/>
      <c r="BUT4" s="254"/>
      <c r="BUU4" s="254"/>
      <c r="BUV4" s="254"/>
      <c r="BUW4" s="254"/>
      <c r="BUX4" s="254"/>
      <c r="BUY4" s="254"/>
      <c r="BUZ4" s="254"/>
      <c r="BVA4" s="254"/>
      <c r="BVB4" s="254"/>
      <c r="BVC4" s="254"/>
      <c r="BVD4" s="254"/>
      <c r="BVE4" s="254"/>
      <c r="BVF4" s="254"/>
      <c r="BVG4" s="254"/>
      <c r="BVH4" s="254"/>
      <c r="BVI4" s="254"/>
      <c r="BVJ4" s="254"/>
      <c r="BVK4" s="254"/>
      <c r="BVL4" s="254"/>
      <c r="BVM4" s="254"/>
      <c r="BVN4" s="254"/>
      <c r="BVO4" s="254"/>
      <c r="BVP4" s="254"/>
      <c r="BVQ4" s="254"/>
      <c r="BVR4" s="254"/>
      <c r="BVS4" s="254"/>
      <c r="BVT4" s="254"/>
      <c r="BVU4" s="254"/>
      <c r="BVV4" s="254"/>
      <c r="BVW4" s="254"/>
      <c r="BVX4" s="254"/>
      <c r="BVY4" s="254"/>
      <c r="BVZ4" s="254"/>
      <c r="BWA4" s="254"/>
      <c r="BWB4" s="254"/>
      <c r="BWC4" s="254"/>
      <c r="BWD4" s="254"/>
      <c r="BWE4" s="254"/>
      <c r="BWF4" s="254"/>
      <c r="BWG4" s="254"/>
      <c r="BWH4" s="254"/>
      <c r="BWI4" s="254"/>
      <c r="BWJ4" s="254"/>
      <c r="BWK4" s="254"/>
      <c r="BWL4" s="254"/>
      <c r="BWM4" s="254"/>
      <c r="BWN4" s="254"/>
      <c r="BWO4" s="254"/>
      <c r="BWP4" s="254"/>
      <c r="BWQ4" s="254"/>
      <c r="BWR4" s="254"/>
      <c r="BWS4" s="254"/>
      <c r="BWT4" s="254"/>
      <c r="BWU4" s="254"/>
      <c r="BWV4" s="254"/>
      <c r="BWW4" s="254"/>
      <c r="BWX4" s="254"/>
      <c r="BWY4" s="254"/>
      <c r="BWZ4" s="254"/>
      <c r="BXA4" s="254"/>
      <c r="BXB4" s="254"/>
      <c r="BXC4" s="254"/>
      <c r="BXD4" s="254"/>
      <c r="BXE4" s="254"/>
      <c r="BXF4" s="254"/>
      <c r="BXG4" s="254"/>
      <c r="BXH4" s="254"/>
      <c r="BXI4" s="254"/>
      <c r="BXJ4" s="254"/>
      <c r="BXK4" s="254"/>
      <c r="BXL4" s="254"/>
      <c r="BXM4" s="254"/>
      <c r="BXN4" s="254"/>
      <c r="BXO4" s="254"/>
      <c r="BXP4" s="254"/>
      <c r="BXQ4" s="254"/>
      <c r="BXR4" s="254"/>
      <c r="BXS4" s="254"/>
      <c r="BXT4" s="254"/>
      <c r="BXU4" s="254"/>
      <c r="BXV4" s="254"/>
      <c r="BXW4" s="254"/>
      <c r="BXX4" s="254"/>
      <c r="BXY4" s="254"/>
      <c r="BXZ4" s="254"/>
      <c r="BYA4" s="254"/>
      <c r="BYB4" s="254"/>
      <c r="BYC4" s="254"/>
      <c r="BYD4" s="254"/>
      <c r="BYE4" s="254"/>
      <c r="BYF4" s="254"/>
      <c r="BYG4" s="254"/>
      <c r="BYH4" s="254"/>
      <c r="BYI4" s="254"/>
      <c r="BYJ4" s="254"/>
      <c r="BYK4" s="254"/>
      <c r="BYL4" s="254"/>
      <c r="BYM4" s="254"/>
      <c r="BYN4" s="254"/>
      <c r="BYO4" s="254"/>
      <c r="BYP4" s="254"/>
      <c r="BYQ4" s="254"/>
      <c r="BYR4" s="254"/>
      <c r="BYS4" s="254"/>
      <c r="BYT4" s="254"/>
      <c r="BYU4" s="254"/>
      <c r="BYV4" s="254"/>
      <c r="BYW4" s="254"/>
      <c r="BYX4" s="254"/>
      <c r="BYY4" s="254"/>
      <c r="BYZ4" s="254"/>
      <c r="BZA4" s="254"/>
      <c r="BZB4" s="254"/>
      <c r="BZC4" s="254"/>
      <c r="BZD4" s="254"/>
      <c r="BZE4" s="254"/>
      <c r="BZF4" s="254"/>
      <c r="BZG4" s="254"/>
      <c r="BZH4" s="254"/>
      <c r="BZI4" s="254"/>
      <c r="BZJ4" s="254"/>
      <c r="BZK4" s="254"/>
      <c r="BZL4" s="254"/>
      <c r="BZM4" s="254"/>
      <c r="BZN4" s="254"/>
      <c r="BZO4" s="254"/>
      <c r="BZP4" s="254"/>
      <c r="BZQ4" s="254"/>
      <c r="BZR4" s="254"/>
      <c r="BZS4" s="254"/>
      <c r="BZT4" s="254"/>
      <c r="BZU4" s="254"/>
      <c r="BZV4" s="254"/>
      <c r="BZW4" s="254"/>
      <c r="BZX4" s="254"/>
      <c r="BZY4" s="254"/>
      <c r="BZZ4" s="254"/>
      <c r="CAA4" s="254"/>
      <c r="CAB4" s="254"/>
      <c r="CAC4" s="254"/>
      <c r="CAD4" s="254"/>
      <c r="CAE4" s="254"/>
      <c r="CAF4" s="254"/>
      <c r="CAG4" s="254"/>
      <c r="CAH4" s="254"/>
      <c r="CAI4" s="254"/>
      <c r="CAJ4" s="254"/>
      <c r="CAK4" s="254"/>
      <c r="CAL4" s="254"/>
      <c r="CAM4" s="254"/>
      <c r="CAN4" s="254"/>
      <c r="CAO4" s="254"/>
      <c r="CAP4" s="254"/>
      <c r="CAQ4" s="254"/>
      <c r="CAR4" s="254"/>
      <c r="CAS4" s="254"/>
      <c r="CAT4" s="254"/>
      <c r="CAU4" s="254"/>
      <c r="CAV4" s="254"/>
      <c r="CAW4" s="254"/>
      <c r="CAX4" s="254"/>
      <c r="CAY4" s="254"/>
      <c r="CAZ4" s="254"/>
      <c r="CBA4" s="254"/>
      <c r="CBB4" s="254"/>
      <c r="CBC4" s="254"/>
      <c r="CBD4" s="254"/>
      <c r="CBE4" s="254"/>
      <c r="CBF4" s="254"/>
      <c r="CBG4" s="254"/>
      <c r="CBH4" s="254"/>
      <c r="CBI4" s="254"/>
      <c r="CBJ4" s="254"/>
      <c r="CBK4" s="254"/>
      <c r="CBL4" s="254"/>
      <c r="CBM4" s="254"/>
      <c r="CBN4" s="254"/>
      <c r="CBO4" s="254"/>
      <c r="CBP4" s="254"/>
      <c r="CBQ4" s="254"/>
      <c r="CBR4" s="254"/>
      <c r="CBS4" s="254"/>
      <c r="CBT4" s="254"/>
      <c r="CBU4" s="254"/>
      <c r="CBV4" s="254"/>
      <c r="CBW4" s="254"/>
      <c r="CBX4" s="254"/>
      <c r="CBY4" s="254"/>
      <c r="CBZ4" s="254"/>
      <c r="CCA4" s="254"/>
      <c r="CCB4" s="254"/>
      <c r="CCC4" s="254"/>
      <c r="CCD4" s="254"/>
      <c r="CCE4" s="254"/>
      <c r="CCF4" s="254"/>
      <c r="CCG4" s="254"/>
      <c r="CCH4" s="254"/>
      <c r="CCI4" s="254"/>
      <c r="CCJ4" s="254"/>
      <c r="CCK4" s="254"/>
      <c r="CCL4" s="254"/>
      <c r="CCM4" s="254"/>
      <c r="CCN4" s="254"/>
      <c r="CCO4" s="254"/>
      <c r="CCP4" s="254"/>
      <c r="CCQ4" s="254"/>
      <c r="CCR4" s="254"/>
      <c r="CCS4" s="254"/>
      <c r="CCT4" s="254"/>
      <c r="CCU4" s="254"/>
      <c r="CCV4" s="254"/>
      <c r="CCW4" s="254"/>
      <c r="CCX4" s="254"/>
      <c r="CCY4" s="254"/>
      <c r="CCZ4" s="254"/>
      <c r="CDA4" s="254"/>
      <c r="CDB4" s="254"/>
      <c r="CDC4" s="254"/>
      <c r="CDD4" s="254"/>
      <c r="CDE4" s="254"/>
      <c r="CDF4" s="254"/>
      <c r="CDG4" s="254"/>
      <c r="CDH4" s="254"/>
      <c r="CDI4" s="254"/>
      <c r="CDJ4" s="254"/>
      <c r="CDK4" s="254"/>
      <c r="CDL4" s="254"/>
      <c r="CDM4" s="254"/>
      <c r="CDN4" s="254"/>
      <c r="CDO4" s="254"/>
      <c r="CDP4" s="254"/>
      <c r="CDQ4" s="254"/>
      <c r="CDR4" s="254"/>
      <c r="CDS4" s="254"/>
      <c r="CDT4" s="254"/>
      <c r="CDU4" s="254"/>
      <c r="CDV4" s="254"/>
      <c r="CDW4" s="254"/>
      <c r="CDX4" s="254"/>
      <c r="CDY4" s="254"/>
      <c r="CDZ4" s="254"/>
      <c r="CEA4" s="254"/>
      <c r="CEB4" s="254"/>
      <c r="CEC4" s="254"/>
      <c r="CED4" s="254"/>
      <c r="CEE4" s="254"/>
      <c r="CEF4" s="254"/>
      <c r="CEG4" s="254"/>
      <c r="CEH4" s="254"/>
      <c r="CEI4" s="254"/>
      <c r="CEJ4" s="254"/>
      <c r="CEK4" s="254"/>
      <c r="CEL4" s="254"/>
      <c r="CEM4" s="254"/>
      <c r="CEN4" s="254"/>
      <c r="CEO4" s="254"/>
      <c r="CEP4" s="254"/>
      <c r="CEQ4" s="254"/>
      <c r="CER4" s="254"/>
      <c r="CES4" s="254"/>
      <c r="CET4" s="254"/>
      <c r="CEU4" s="254"/>
      <c r="CEV4" s="254"/>
      <c r="CEW4" s="254"/>
      <c r="CEX4" s="254"/>
      <c r="CEY4" s="254"/>
      <c r="CEZ4" s="254"/>
      <c r="CFA4" s="254"/>
      <c r="CFB4" s="254"/>
      <c r="CFC4" s="254"/>
      <c r="CFD4" s="254"/>
      <c r="CFE4" s="254"/>
      <c r="CFF4" s="254"/>
      <c r="CFG4" s="254"/>
      <c r="CFH4" s="254"/>
      <c r="CFI4" s="254"/>
      <c r="CFJ4" s="254"/>
      <c r="CFK4" s="254"/>
      <c r="CFL4" s="254"/>
      <c r="CFM4" s="254"/>
      <c r="CFN4" s="254"/>
      <c r="CFO4" s="254"/>
      <c r="CFP4" s="254"/>
      <c r="CFQ4" s="254"/>
      <c r="CFR4" s="254"/>
      <c r="CFS4" s="254"/>
      <c r="CFT4" s="254"/>
      <c r="CFU4" s="254"/>
      <c r="CFV4" s="254"/>
      <c r="CFW4" s="254"/>
      <c r="CFX4" s="254"/>
      <c r="CFY4" s="254"/>
      <c r="CFZ4" s="254"/>
      <c r="CGA4" s="254"/>
      <c r="CGB4" s="254"/>
      <c r="CGC4" s="254"/>
      <c r="CGD4" s="254"/>
      <c r="CGE4" s="254"/>
      <c r="CGF4" s="254"/>
      <c r="CGG4" s="254"/>
      <c r="CGH4" s="254"/>
      <c r="CGI4" s="254"/>
      <c r="CGJ4" s="254"/>
      <c r="CGK4" s="254"/>
      <c r="CGL4" s="254"/>
      <c r="CGM4" s="254"/>
      <c r="CGN4" s="254"/>
      <c r="CGO4" s="254"/>
      <c r="CGP4" s="254"/>
      <c r="CGQ4" s="254"/>
      <c r="CGR4" s="254"/>
      <c r="CGS4" s="254"/>
      <c r="CGT4" s="254"/>
      <c r="CGU4" s="254"/>
      <c r="CGV4" s="254"/>
      <c r="CGW4" s="254"/>
      <c r="CGX4" s="254"/>
      <c r="CGY4" s="254"/>
      <c r="CGZ4" s="254"/>
      <c r="CHA4" s="254"/>
      <c r="CHB4" s="254"/>
      <c r="CHC4" s="254"/>
      <c r="CHD4" s="254"/>
      <c r="CHE4" s="254"/>
      <c r="CHF4" s="254"/>
      <c r="CHG4" s="254"/>
      <c r="CHH4" s="254"/>
      <c r="CHI4" s="254"/>
      <c r="CHJ4" s="254"/>
      <c r="CHK4" s="254"/>
      <c r="CHL4" s="254"/>
      <c r="CHM4" s="254"/>
      <c r="CHN4" s="254"/>
      <c r="CHO4" s="254"/>
      <c r="CHP4" s="254"/>
      <c r="CHQ4" s="254"/>
      <c r="CHR4" s="254"/>
      <c r="CHS4" s="254"/>
      <c r="CHT4" s="254"/>
      <c r="CHU4" s="254"/>
      <c r="CHV4" s="254"/>
      <c r="CHW4" s="254"/>
      <c r="CHX4" s="254"/>
      <c r="CHY4" s="254"/>
      <c r="CHZ4" s="254"/>
      <c r="CIA4" s="254"/>
      <c r="CIB4" s="254"/>
      <c r="CIC4" s="254"/>
      <c r="CID4" s="254"/>
      <c r="CIE4" s="254"/>
      <c r="CIF4" s="254"/>
      <c r="CIG4" s="254"/>
      <c r="CIH4" s="254"/>
      <c r="CII4" s="254"/>
      <c r="CIJ4" s="254"/>
      <c r="CIK4" s="254"/>
      <c r="CIL4" s="254"/>
      <c r="CIM4" s="254"/>
      <c r="CIN4" s="254"/>
      <c r="CIO4" s="254"/>
      <c r="CIP4" s="254"/>
      <c r="CIQ4" s="254"/>
      <c r="CIR4" s="254"/>
      <c r="CIS4" s="254"/>
      <c r="CIT4" s="254"/>
      <c r="CIU4" s="254"/>
      <c r="CIV4" s="254"/>
      <c r="CIW4" s="254"/>
      <c r="CIX4" s="254"/>
      <c r="CIY4" s="254"/>
      <c r="CIZ4" s="254"/>
      <c r="CJA4" s="254"/>
      <c r="CJB4" s="254"/>
      <c r="CJC4" s="254"/>
      <c r="CJD4" s="254"/>
      <c r="CJE4" s="254"/>
      <c r="CJF4" s="254"/>
      <c r="CJG4" s="254"/>
      <c r="CJH4" s="254"/>
      <c r="CJI4" s="254"/>
      <c r="CJJ4" s="254"/>
      <c r="CJK4" s="254"/>
      <c r="CJL4" s="254"/>
      <c r="CJM4" s="254"/>
      <c r="CJN4" s="254"/>
      <c r="CJO4" s="254"/>
      <c r="CJP4" s="254"/>
      <c r="CJQ4" s="254"/>
      <c r="CJR4" s="254"/>
      <c r="CJS4" s="254"/>
      <c r="CJT4" s="254"/>
      <c r="CJU4" s="254"/>
      <c r="CJV4" s="254"/>
      <c r="CJW4" s="254"/>
      <c r="CJX4" s="254"/>
      <c r="CJY4" s="254"/>
      <c r="CJZ4" s="254"/>
      <c r="CKA4" s="254"/>
      <c r="CKB4" s="254"/>
      <c r="CKC4" s="254"/>
      <c r="CKD4" s="254"/>
      <c r="CKE4" s="254"/>
      <c r="CKF4" s="254"/>
      <c r="CKG4" s="254"/>
      <c r="CKH4" s="254"/>
      <c r="CKI4" s="254"/>
      <c r="CKJ4" s="254"/>
      <c r="CKK4" s="254"/>
      <c r="CKL4" s="254"/>
      <c r="CKM4" s="254"/>
      <c r="CKN4" s="254"/>
      <c r="CKO4" s="254"/>
      <c r="CKP4" s="254"/>
      <c r="CKQ4" s="254"/>
      <c r="CKR4" s="254"/>
      <c r="CKS4" s="254"/>
      <c r="CKT4" s="254"/>
      <c r="CKU4" s="254"/>
      <c r="CKV4" s="254"/>
      <c r="CKW4" s="254"/>
      <c r="CKX4" s="254"/>
      <c r="CKY4" s="254"/>
      <c r="CKZ4" s="254"/>
      <c r="CLA4" s="254"/>
      <c r="CLB4" s="254"/>
      <c r="CLC4" s="254"/>
      <c r="CLD4" s="254"/>
      <c r="CLE4" s="254"/>
      <c r="CLF4" s="254"/>
      <c r="CLG4" s="254"/>
      <c r="CLH4" s="254"/>
      <c r="CLI4" s="254"/>
      <c r="CLJ4" s="254"/>
      <c r="CLK4" s="254"/>
      <c r="CLL4" s="254"/>
      <c r="CLM4" s="254"/>
      <c r="CLN4" s="254"/>
      <c r="CLO4" s="254"/>
      <c r="CLP4" s="254"/>
      <c r="CLQ4" s="254"/>
      <c r="CLR4" s="254"/>
      <c r="CLS4" s="254"/>
      <c r="CLT4" s="254"/>
      <c r="CLU4" s="254"/>
      <c r="CLV4" s="254"/>
      <c r="CLW4" s="254"/>
      <c r="CLX4" s="254"/>
      <c r="CLY4" s="254"/>
      <c r="CLZ4" s="254"/>
      <c r="CMA4" s="254"/>
      <c r="CMB4" s="254"/>
      <c r="CMC4" s="254"/>
      <c r="CMD4" s="254"/>
      <c r="CME4" s="254"/>
      <c r="CMF4" s="254"/>
      <c r="CMG4" s="254"/>
      <c r="CMH4" s="254"/>
      <c r="CMI4" s="254"/>
      <c r="CMJ4" s="254"/>
      <c r="CMK4" s="254"/>
      <c r="CML4" s="254"/>
      <c r="CMM4" s="254"/>
      <c r="CMN4" s="254"/>
      <c r="CMO4" s="254"/>
      <c r="CMP4" s="254"/>
      <c r="CMQ4" s="254"/>
      <c r="CMR4" s="254"/>
      <c r="CMS4" s="254"/>
      <c r="CMT4" s="254"/>
      <c r="CMU4" s="254"/>
      <c r="CMV4" s="254"/>
      <c r="CMW4" s="254"/>
      <c r="CMX4" s="254"/>
      <c r="CMY4" s="254"/>
      <c r="CMZ4" s="254"/>
      <c r="CNA4" s="254"/>
      <c r="CNB4" s="254"/>
      <c r="CNC4" s="254"/>
      <c r="CND4" s="254"/>
      <c r="CNE4" s="254"/>
      <c r="CNF4" s="254"/>
      <c r="CNG4" s="254"/>
      <c r="CNH4" s="254"/>
      <c r="CNI4" s="254"/>
      <c r="CNJ4" s="254"/>
      <c r="CNK4" s="254"/>
      <c r="CNL4" s="254"/>
      <c r="CNM4" s="254"/>
      <c r="CNN4" s="254"/>
      <c r="CNO4" s="254"/>
      <c r="CNP4" s="254"/>
      <c r="CNQ4" s="254"/>
      <c r="CNR4" s="254"/>
      <c r="CNS4" s="254"/>
      <c r="CNT4" s="254"/>
      <c r="CNU4" s="254"/>
      <c r="CNV4" s="254"/>
      <c r="CNW4" s="254"/>
      <c r="CNX4" s="254"/>
      <c r="CNY4" s="254"/>
      <c r="CNZ4" s="254"/>
      <c r="COA4" s="254"/>
      <c r="COB4" s="254"/>
      <c r="COC4" s="254"/>
      <c r="COD4" s="254"/>
      <c r="COE4" s="254"/>
      <c r="COF4" s="254"/>
      <c r="COG4" s="254"/>
      <c r="COH4" s="254"/>
      <c r="COI4" s="254"/>
      <c r="COJ4" s="254"/>
      <c r="COK4" s="254"/>
      <c r="COL4" s="254"/>
      <c r="COM4" s="254"/>
      <c r="CON4" s="254"/>
      <c r="COO4" s="254"/>
      <c r="COP4" s="254"/>
      <c r="COQ4" s="254"/>
      <c r="COR4" s="254"/>
      <c r="COS4" s="254"/>
      <c r="COT4" s="254"/>
      <c r="COU4" s="254"/>
      <c r="COV4" s="254"/>
      <c r="COW4" s="254"/>
      <c r="COX4" s="254"/>
      <c r="COY4" s="254"/>
      <c r="COZ4" s="254"/>
      <c r="CPA4" s="254"/>
      <c r="CPB4" s="254"/>
      <c r="CPC4" s="254"/>
      <c r="CPD4" s="254"/>
      <c r="CPE4" s="254"/>
      <c r="CPF4" s="254"/>
      <c r="CPG4" s="254"/>
      <c r="CPH4" s="254"/>
      <c r="CPI4" s="254"/>
      <c r="CPJ4" s="254"/>
      <c r="CPK4" s="254"/>
      <c r="CPL4" s="254"/>
      <c r="CPM4" s="254"/>
      <c r="CPN4" s="254"/>
      <c r="CPO4" s="254"/>
      <c r="CPP4" s="254"/>
      <c r="CPQ4" s="254"/>
      <c r="CPR4" s="254"/>
      <c r="CPS4" s="254"/>
      <c r="CPT4" s="254"/>
      <c r="CPU4" s="254"/>
      <c r="CPV4" s="254"/>
      <c r="CPW4" s="254"/>
      <c r="CPX4" s="254"/>
      <c r="CPY4" s="254"/>
      <c r="CPZ4" s="254"/>
      <c r="CQA4" s="254"/>
      <c r="CQB4" s="254"/>
      <c r="CQC4" s="254"/>
      <c r="CQD4" s="254"/>
      <c r="CQE4" s="254"/>
      <c r="CQF4" s="254"/>
      <c r="CQG4" s="254"/>
      <c r="CQH4" s="254"/>
      <c r="CQI4" s="254"/>
      <c r="CQJ4" s="254"/>
      <c r="CQK4" s="254"/>
      <c r="CQL4" s="254"/>
      <c r="CQM4" s="254"/>
      <c r="CQN4" s="254"/>
      <c r="CQO4" s="254"/>
      <c r="CQP4" s="254"/>
      <c r="CQQ4" s="254"/>
      <c r="CQR4" s="254"/>
      <c r="CQS4" s="254"/>
      <c r="CQT4" s="254"/>
      <c r="CQU4" s="254"/>
      <c r="CQV4" s="254"/>
      <c r="CQW4" s="254"/>
      <c r="CQX4" s="254"/>
      <c r="CQY4" s="254"/>
      <c r="CQZ4" s="254"/>
      <c r="CRA4" s="254"/>
      <c r="CRB4" s="254"/>
      <c r="CRC4" s="254"/>
      <c r="CRD4" s="254"/>
      <c r="CRE4" s="254"/>
      <c r="CRF4" s="254"/>
      <c r="CRG4" s="254"/>
      <c r="CRH4" s="254"/>
      <c r="CRI4" s="254"/>
      <c r="CRJ4" s="254"/>
      <c r="CRK4" s="254"/>
      <c r="CRL4" s="254"/>
      <c r="CRM4" s="254"/>
      <c r="CRN4" s="254"/>
      <c r="CRO4" s="254"/>
      <c r="CRP4" s="254"/>
      <c r="CRQ4" s="254"/>
      <c r="CRR4" s="254"/>
      <c r="CRS4" s="254"/>
      <c r="CRT4" s="254"/>
      <c r="CRU4" s="254"/>
      <c r="CRV4" s="254"/>
      <c r="CRW4" s="254"/>
      <c r="CRX4" s="254"/>
      <c r="CRY4" s="254"/>
      <c r="CRZ4" s="254"/>
      <c r="CSA4" s="254"/>
      <c r="CSB4" s="254"/>
      <c r="CSC4" s="254"/>
      <c r="CSD4" s="254"/>
      <c r="CSE4" s="254"/>
      <c r="CSF4" s="254"/>
      <c r="CSG4" s="254"/>
      <c r="CSH4" s="254"/>
      <c r="CSI4" s="254"/>
      <c r="CSJ4" s="254"/>
      <c r="CSK4" s="254"/>
      <c r="CSL4" s="254"/>
      <c r="CSM4" s="254"/>
      <c r="CSN4" s="254"/>
      <c r="CSO4" s="254"/>
      <c r="CSP4" s="254"/>
      <c r="CSQ4" s="254"/>
      <c r="CSR4" s="254"/>
      <c r="CSS4" s="254"/>
      <c r="CST4" s="254"/>
      <c r="CSU4" s="254"/>
      <c r="CSV4" s="254"/>
      <c r="CSW4" s="254"/>
      <c r="CSX4" s="254"/>
      <c r="CSY4" s="254"/>
      <c r="CSZ4" s="254"/>
      <c r="CTA4" s="254"/>
      <c r="CTB4" s="254"/>
      <c r="CTC4" s="254"/>
      <c r="CTD4" s="254"/>
      <c r="CTE4" s="254"/>
      <c r="CTF4" s="254"/>
      <c r="CTG4" s="254"/>
      <c r="CTH4" s="254"/>
      <c r="CTI4" s="254"/>
      <c r="CTJ4" s="254"/>
      <c r="CTK4" s="254"/>
      <c r="CTL4" s="254"/>
      <c r="CTM4" s="254"/>
      <c r="CTN4" s="254"/>
      <c r="CTO4" s="254"/>
      <c r="CTP4" s="254"/>
      <c r="CTQ4" s="254"/>
      <c r="CTR4" s="254"/>
      <c r="CTS4" s="254"/>
      <c r="CTT4" s="254"/>
      <c r="CTU4" s="254"/>
      <c r="CTV4" s="254"/>
      <c r="CTW4" s="254"/>
      <c r="CTX4" s="254"/>
      <c r="CTY4" s="254"/>
      <c r="CTZ4" s="254"/>
      <c r="CUA4" s="254"/>
      <c r="CUB4" s="254"/>
      <c r="CUC4" s="254"/>
      <c r="CUD4" s="254"/>
      <c r="CUE4" s="254"/>
      <c r="CUF4" s="254"/>
      <c r="CUG4" s="254"/>
      <c r="CUH4" s="254"/>
      <c r="CUI4" s="254"/>
      <c r="CUJ4" s="254"/>
      <c r="CUK4" s="254"/>
      <c r="CUL4" s="254"/>
      <c r="CUM4" s="254"/>
      <c r="CUN4" s="254"/>
      <c r="CUO4" s="254"/>
      <c r="CUP4" s="254"/>
      <c r="CUQ4" s="254"/>
      <c r="CUR4" s="254"/>
      <c r="CUS4" s="254"/>
      <c r="CUT4" s="254"/>
      <c r="CUU4" s="254"/>
      <c r="CUV4" s="254"/>
      <c r="CUW4" s="254"/>
      <c r="CUX4" s="254"/>
      <c r="CUY4" s="254"/>
      <c r="CUZ4" s="254"/>
      <c r="CVA4" s="254"/>
      <c r="CVB4" s="254"/>
      <c r="CVC4" s="254"/>
      <c r="CVD4" s="254"/>
      <c r="CVE4" s="254"/>
      <c r="CVF4" s="254"/>
      <c r="CVG4" s="254"/>
      <c r="CVH4" s="254"/>
      <c r="CVI4" s="254"/>
      <c r="CVJ4" s="254"/>
      <c r="CVK4" s="254"/>
      <c r="CVL4" s="254"/>
      <c r="CVM4" s="254"/>
      <c r="CVN4" s="254"/>
      <c r="CVO4" s="254"/>
      <c r="CVP4" s="254"/>
      <c r="CVQ4" s="254"/>
      <c r="CVR4" s="254"/>
      <c r="CVS4" s="254"/>
      <c r="CVT4" s="254"/>
      <c r="CVU4" s="254"/>
      <c r="CVV4" s="254"/>
      <c r="CVW4" s="254"/>
      <c r="CVX4" s="254"/>
      <c r="CVY4" s="254"/>
      <c r="CVZ4" s="254"/>
      <c r="CWA4" s="254"/>
      <c r="CWB4" s="254"/>
      <c r="CWC4" s="254"/>
      <c r="CWD4" s="254"/>
      <c r="CWE4" s="254"/>
      <c r="CWF4" s="254"/>
      <c r="CWG4" s="254"/>
      <c r="CWH4" s="254"/>
      <c r="CWI4" s="254"/>
      <c r="CWJ4" s="254"/>
      <c r="CWK4" s="254"/>
      <c r="CWL4" s="254"/>
      <c r="CWM4" s="254"/>
      <c r="CWN4" s="254"/>
      <c r="CWO4" s="254"/>
      <c r="CWP4" s="254"/>
      <c r="CWQ4" s="254"/>
      <c r="CWR4" s="254"/>
      <c r="CWS4" s="254"/>
      <c r="CWT4" s="254"/>
      <c r="CWU4" s="254"/>
      <c r="CWV4" s="254"/>
      <c r="CWW4" s="254"/>
      <c r="CWX4" s="254"/>
      <c r="CWY4" s="254"/>
      <c r="CWZ4" s="254"/>
      <c r="CXA4" s="254"/>
      <c r="CXB4" s="254"/>
      <c r="CXC4" s="254"/>
      <c r="CXD4" s="254"/>
      <c r="CXE4" s="254"/>
      <c r="CXF4" s="254"/>
      <c r="CXG4" s="254"/>
      <c r="CXH4" s="254"/>
      <c r="CXI4" s="254"/>
      <c r="CXJ4" s="254"/>
      <c r="CXK4" s="254"/>
      <c r="CXL4" s="254"/>
      <c r="CXM4" s="254"/>
      <c r="CXN4" s="254"/>
      <c r="CXO4" s="254"/>
      <c r="CXP4" s="254"/>
      <c r="CXQ4" s="254"/>
      <c r="CXR4" s="254"/>
      <c r="CXS4" s="254"/>
      <c r="CXT4" s="254"/>
      <c r="CXU4" s="254"/>
      <c r="CXV4" s="254"/>
      <c r="CXW4" s="254"/>
      <c r="CXX4" s="254"/>
      <c r="CXY4" s="254"/>
      <c r="CXZ4" s="254"/>
      <c r="CYA4" s="254"/>
      <c r="CYB4" s="254"/>
      <c r="CYC4" s="254"/>
      <c r="CYD4" s="254"/>
      <c r="CYE4" s="254"/>
      <c r="CYF4" s="254"/>
      <c r="CYG4" s="254"/>
      <c r="CYH4" s="254"/>
      <c r="CYI4" s="254"/>
      <c r="CYJ4" s="254"/>
      <c r="CYK4" s="254"/>
      <c r="CYL4" s="254"/>
      <c r="CYM4" s="254"/>
      <c r="CYN4" s="254"/>
      <c r="CYO4" s="254"/>
      <c r="CYP4" s="254"/>
      <c r="CYQ4" s="254"/>
      <c r="CYR4" s="254"/>
      <c r="CYS4" s="254"/>
      <c r="CYT4" s="254"/>
      <c r="CYU4" s="254"/>
      <c r="CYV4" s="254"/>
      <c r="CYW4" s="254"/>
      <c r="CYX4" s="254"/>
      <c r="CYY4" s="254"/>
      <c r="CYZ4" s="254"/>
      <c r="CZA4" s="254"/>
      <c r="CZB4" s="254"/>
      <c r="CZC4" s="254"/>
      <c r="CZD4" s="254"/>
      <c r="CZE4" s="254"/>
      <c r="CZF4" s="254"/>
      <c r="CZG4" s="254"/>
      <c r="CZH4" s="254"/>
      <c r="CZI4" s="254"/>
      <c r="CZJ4" s="254"/>
      <c r="CZK4" s="254"/>
      <c r="CZL4" s="254"/>
      <c r="CZM4" s="254"/>
      <c r="CZN4" s="254"/>
      <c r="CZO4" s="254"/>
      <c r="CZP4" s="254"/>
      <c r="CZQ4" s="254"/>
      <c r="CZR4" s="254"/>
      <c r="CZS4" s="254"/>
      <c r="CZT4" s="254"/>
      <c r="CZU4" s="254"/>
      <c r="CZV4" s="254"/>
      <c r="CZW4" s="254"/>
      <c r="CZX4" s="254"/>
      <c r="CZY4" s="254"/>
      <c r="CZZ4" s="254"/>
      <c r="DAA4" s="254"/>
      <c r="DAB4" s="254"/>
      <c r="DAC4" s="254"/>
      <c r="DAD4" s="254"/>
      <c r="DAE4" s="254"/>
      <c r="DAF4" s="254"/>
      <c r="DAG4" s="254"/>
      <c r="DAH4" s="254"/>
      <c r="DAI4" s="254"/>
      <c r="DAJ4" s="254"/>
      <c r="DAK4" s="254"/>
      <c r="DAL4" s="254"/>
      <c r="DAM4" s="254"/>
      <c r="DAN4" s="254"/>
      <c r="DAO4" s="254"/>
      <c r="DAP4" s="254"/>
      <c r="DAQ4" s="254"/>
      <c r="DAR4" s="254"/>
      <c r="DAS4" s="254"/>
      <c r="DAT4" s="254"/>
      <c r="DAU4" s="254"/>
      <c r="DAV4" s="254"/>
      <c r="DAW4" s="254"/>
      <c r="DAX4" s="254"/>
      <c r="DAY4" s="254"/>
      <c r="DAZ4" s="254"/>
      <c r="DBA4" s="254"/>
      <c r="DBB4" s="254"/>
      <c r="DBC4" s="254"/>
      <c r="DBD4" s="254"/>
      <c r="DBE4" s="254"/>
      <c r="DBF4" s="254"/>
      <c r="DBG4" s="254"/>
      <c r="DBH4" s="254"/>
      <c r="DBI4" s="254"/>
      <c r="DBJ4" s="254"/>
      <c r="DBK4" s="254"/>
      <c r="DBL4" s="254"/>
      <c r="DBM4" s="254"/>
      <c r="DBN4" s="254"/>
      <c r="DBO4" s="254"/>
      <c r="DBP4" s="254"/>
      <c r="DBQ4" s="254"/>
      <c r="DBR4" s="254"/>
      <c r="DBS4" s="254"/>
      <c r="DBT4" s="254"/>
      <c r="DBU4" s="254"/>
      <c r="DBV4" s="254"/>
      <c r="DBW4" s="254"/>
      <c r="DBX4" s="254"/>
      <c r="DBY4" s="254"/>
      <c r="DBZ4" s="254"/>
      <c r="DCA4" s="254"/>
      <c r="DCB4" s="254"/>
      <c r="DCC4" s="254"/>
      <c r="DCD4" s="254"/>
      <c r="DCE4" s="254"/>
      <c r="DCF4" s="254"/>
      <c r="DCG4" s="254"/>
      <c r="DCH4" s="254"/>
      <c r="DCI4" s="254"/>
      <c r="DCJ4" s="254"/>
      <c r="DCK4" s="254"/>
      <c r="DCL4" s="254"/>
      <c r="DCM4" s="254"/>
      <c r="DCN4" s="254"/>
      <c r="DCO4" s="254"/>
      <c r="DCP4" s="254"/>
      <c r="DCQ4" s="254"/>
      <c r="DCR4" s="254"/>
      <c r="DCS4" s="254"/>
      <c r="DCT4" s="254"/>
      <c r="DCU4" s="254"/>
      <c r="DCV4" s="254"/>
      <c r="DCW4" s="254"/>
      <c r="DCX4" s="254"/>
      <c r="DCY4" s="254"/>
      <c r="DCZ4" s="254"/>
      <c r="DDA4" s="254"/>
      <c r="DDB4" s="254"/>
      <c r="DDC4" s="254"/>
      <c r="DDD4" s="254"/>
      <c r="DDE4" s="254"/>
      <c r="DDF4" s="254"/>
      <c r="DDG4" s="254"/>
      <c r="DDH4" s="254"/>
      <c r="DDI4" s="254"/>
      <c r="DDJ4" s="254"/>
      <c r="DDK4" s="254"/>
      <c r="DDL4" s="254"/>
      <c r="DDM4" s="254"/>
      <c r="DDN4" s="254"/>
      <c r="DDO4" s="254"/>
      <c r="DDP4" s="254"/>
      <c r="DDQ4" s="254"/>
      <c r="DDR4" s="254"/>
      <c r="DDS4" s="254"/>
      <c r="DDT4" s="254"/>
      <c r="DDU4" s="254"/>
      <c r="DDV4" s="254"/>
      <c r="DDW4" s="254"/>
      <c r="DDX4" s="254"/>
      <c r="DDY4" s="254"/>
      <c r="DDZ4" s="254"/>
      <c r="DEA4" s="254"/>
      <c r="DEB4" s="254"/>
      <c r="DEC4" s="254"/>
      <c r="DED4" s="254"/>
      <c r="DEE4" s="254"/>
      <c r="DEF4" s="254"/>
      <c r="DEG4" s="254"/>
      <c r="DEH4" s="254"/>
      <c r="DEI4" s="254"/>
      <c r="DEJ4" s="254"/>
      <c r="DEK4" s="254"/>
      <c r="DEL4" s="254"/>
      <c r="DEM4" s="254"/>
      <c r="DEN4" s="254"/>
      <c r="DEO4" s="254"/>
      <c r="DEP4" s="254"/>
      <c r="DEQ4" s="254"/>
      <c r="DER4" s="254"/>
      <c r="DES4" s="254"/>
      <c r="DET4" s="254"/>
      <c r="DEU4" s="254"/>
      <c r="DEV4" s="254"/>
      <c r="DEW4" s="254"/>
      <c r="DEX4" s="254"/>
      <c r="DEY4" s="254"/>
      <c r="DEZ4" s="254"/>
      <c r="DFA4" s="254"/>
      <c r="DFB4" s="254"/>
      <c r="DFC4" s="254"/>
      <c r="DFD4" s="254"/>
      <c r="DFE4" s="254"/>
      <c r="DFF4" s="254"/>
      <c r="DFG4" s="254"/>
      <c r="DFH4" s="254"/>
      <c r="DFI4" s="254"/>
      <c r="DFJ4" s="254"/>
      <c r="DFK4" s="254"/>
      <c r="DFL4" s="254"/>
      <c r="DFM4" s="254"/>
      <c r="DFN4" s="254"/>
      <c r="DFO4" s="254"/>
      <c r="DFP4" s="254"/>
      <c r="DFQ4" s="254"/>
      <c r="DFR4" s="254"/>
      <c r="DFS4" s="254"/>
      <c r="DFT4" s="254"/>
      <c r="DFU4" s="254"/>
      <c r="DFV4" s="254"/>
      <c r="DFW4" s="254"/>
      <c r="DFX4" s="254"/>
      <c r="DFY4" s="254"/>
      <c r="DFZ4" s="254"/>
      <c r="DGA4" s="254"/>
      <c r="DGB4" s="254"/>
      <c r="DGC4" s="254"/>
      <c r="DGD4" s="254"/>
      <c r="DGE4" s="254"/>
      <c r="DGF4" s="254"/>
      <c r="DGG4" s="254"/>
      <c r="DGH4" s="254"/>
      <c r="DGI4" s="254"/>
      <c r="DGJ4" s="254"/>
      <c r="DGK4" s="254"/>
      <c r="DGL4" s="254"/>
      <c r="DGM4" s="254"/>
      <c r="DGN4" s="254"/>
      <c r="DGO4" s="254"/>
      <c r="DGP4" s="254"/>
      <c r="DGQ4" s="254"/>
      <c r="DGR4" s="254"/>
      <c r="DGS4" s="254"/>
      <c r="DGT4" s="254"/>
      <c r="DGU4" s="254"/>
      <c r="DGV4" s="254"/>
      <c r="DGW4" s="254"/>
      <c r="DGX4" s="254"/>
      <c r="DGY4" s="254"/>
      <c r="DGZ4" s="254"/>
      <c r="DHA4" s="254"/>
      <c r="DHB4" s="254"/>
      <c r="DHC4" s="254"/>
      <c r="DHD4" s="254"/>
      <c r="DHE4" s="254"/>
      <c r="DHF4" s="254"/>
      <c r="DHG4" s="254"/>
      <c r="DHH4" s="254"/>
      <c r="DHI4" s="254"/>
      <c r="DHJ4" s="254"/>
      <c r="DHK4" s="254"/>
      <c r="DHL4" s="254"/>
      <c r="DHM4" s="254"/>
      <c r="DHN4" s="254"/>
      <c r="DHO4" s="254"/>
      <c r="DHP4" s="254"/>
      <c r="DHQ4" s="254"/>
      <c r="DHR4" s="254"/>
      <c r="DHS4" s="254"/>
      <c r="DHT4" s="254"/>
      <c r="DHU4" s="254"/>
      <c r="DHV4" s="254"/>
      <c r="DHW4" s="254"/>
      <c r="DHX4" s="254"/>
      <c r="DHY4" s="254"/>
      <c r="DHZ4" s="254"/>
      <c r="DIA4" s="254"/>
      <c r="DIB4" s="254"/>
      <c r="DIC4" s="254"/>
      <c r="DID4" s="254"/>
      <c r="DIE4" s="254"/>
      <c r="DIF4" s="254"/>
      <c r="DIG4" s="254"/>
      <c r="DIH4" s="254"/>
      <c r="DII4" s="254"/>
      <c r="DIJ4" s="254"/>
      <c r="DIK4" s="254"/>
      <c r="DIL4" s="254"/>
      <c r="DIM4" s="254"/>
      <c r="DIN4" s="254"/>
      <c r="DIO4" s="254"/>
      <c r="DIP4" s="254"/>
      <c r="DIQ4" s="254"/>
      <c r="DIR4" s="254"/>
      <c r="DIS4" s="254"/>
      <c r="DIT4" s="254"/>
      <c r="DIU4" s="254"/>
      <c r="DIV4" s="254"/>
      <c r="DIW4" s="254"/>
      <c r="DIX4" s="254"/>
      <c r="DIY4" s="254"/>
      <c r="DIZ4" s="254"/>
      <c r="DJA4" s="254"/>
      <c r="DJB4" s="254"/>
      <c r="DJC4" s="254"/>
      <c r="DJD4" s="254"/>
      <c r="DJE4" s="254"/>
      <c r="DJF4" s="254"/>
      <c r="DJG4" s="254"/>
      <c r="DJH4" s="254"/>
      <c r="DJI4" s="254"/>
      <c r="DJJ4" s="254"/>
      <c r="DJK4" s="254"/>
      <c r="DJL4" s="254"/>
      <c r="DJM4" s="254"/>
      <c r="DJN4" s="254"/>
      <c r="DJO4" s="254"/>
      <c r="DJP4" s="254"/>
      <c r="DJQ4" s="254"/>
      <c r="DJR4" s="254"/>
      <c r="DJS4" s="254"/>
      <c r="DJT4" s="254"/>
      <c r="DJU4" s="254"/>
      <c r="DJV4" s="254"/>
      <c r="DJW4" s="254"/>
      <c r="DJX4" s="254"/>
      <c r="DJY4" s="254"/>
      <c r="DJZ4" s="254"/>
      <c r="DKA4" s="254"/>
      <c r="DKB4" s="254"/>
      <c r="DKC4" s="254"/>
      <c r="DKD4" s="254"/>
      <c r="DKE4" s="254"/>
      <c r="DKF4" s="254"/>
      <c r="DKG4" s="254"/>
      <c r="DKH4" s="254"/>
      <c r="DKI4" s="254"/>
      <c r="DKJ4" s="254"/>
      <c r="DKK4" s="254"/>
      <c r="DKL4" s="254"/>
      <c r="DKM4" s="254"/>
      <c r="DKN4" s="254"/>
      <c r="DKO4" s="254"/>
      <c r="DKP4" s="254"/>
      <c r="DKQ4" s="254"/>
      <c r="DKR4" s="254"/>
      <c r="DKS4" s="254"/>
      <c r="DKT4" s="254"/>
      <c r="DKU4" s="254"/>
      <c r="DKV4" s="254"/>
      <c r="DKW4" s="254"/>
      <c r="DKX4" s="254"/>
      <c r="DKY4" s="254"/>
      <c r="DKZ4" s="254"/>
      <c r="DLA4" s="254"/>
      <c r="DLB4" s="254"/>
      <c r="DLC4" s="254"/>
      <c r="DLD4" s="254"/>
      <c r="DLE4" s="254"/>
      <c r="DLF4" s="254"/>
      <c r="DLG4" s="254"/>
      <c r="DLH4" s="254"/>
      <c r="DLI4" s="254"/>
      <c r="DLJ4" s="254"/>
      <c r="DLK4" s="254"/>
      <c r="DLL4" s="254"/>
      <c r="DLM4" s="254"/>
      <c r="DLN4" s="254"/>
      <c r="DLO4" s="254"/>
      <c r="DLP4" s="254"/>
      <c r="DLQ4" s="254"/>
      <c r="DLR4" s="254"/>
      <c r="DLS4" s="254"/>
      <c r="DLT4" s="254"/>
      <c r="DLU4" s="254"/>
      <c r="DLV4" s="254"/>
      <c r="DLW4" s="254"/>
      <c r="DLX4" s="254"/>
      <c r="DLY4" s="254"/>
      <c r="DLZ4" s="254"/>
      <c r="DMA4" s="254"/>
      <c r="DMB4" s="254"/>
      <c r="DMC4" s="254"/>
      <c r="DMD4" s="254"/>
      <c r="DME4" s="254"/>
      <c r="DMF4" s="254"/>
      <c r="DMG4" s="254"/>
      <c r="DMH4" s="254"/>
      <c r="DMI4" s="254"/>
      <c r="DMJ4" s="254"/>
      <c r="DMK4" s="254"/>
      <c r="DML4" s="254"/>
      <c r="DMM4" s="254"/>
      <c r="DMN4" s="254"/>
      <c r="DMO4" s="254"/>
      <c r="DMP4" s="254"/>
      <c r="DMQ4" s="254"/>
      <c r="DMR4" s="254"/>
      <c r="DMS4" s="254"/>
      <c r="DMT4" s="254"/>
      <c r="DMU4" s="254"/>
      <c r="DMV4" s="254"/>
      <c r="DMW4" s="254"/>
      <c r="DMX4" s="254"/>
      <c r="DMY4" s="254"/>
      <c r="DMZ4" s="254"/>
      <c r="DNA4" s="254"/>
      <c r="DNB4" s="254"/>
      <c r="DNC4" s="254"/>
      <c r="DND4" s="254"/>
      <c r="DNE4" s="254"/>
      <c r="DNF4" s="254"/>
      <c r="DNG4" s="254"/>
      <c r="DNH4" s="254"/>
      <c r="DNI4" s="254"/>
      <c r="DNJ4" s="254"/>
      <c r="DNK4" s="254"/>
      <c r="DNL4" s="254"/>
      <c r="DNM4" s="254"/>
      <c r="DNN4" s="254"/>
      <c r="DNO4" s="254"/>
      <c r="DNP4" s="254"/>
      <c r="DNQ4" s="254"/>
      <c r="DNR4" s="254"/>
      <c r="DNS4" s="254"/>
      <c r="DNT4" s="254"/>
      <c r="DNU4" s="254"/>
      <c r="DNV4" s="254"/>
      <c r="DNW4" s="254"/>
      <c r="DNX4" s="254"/>
      <c r="DNY4" s="254"/>
      <c r="DNZ4" s="254"/>
      <c r="DOA4" s="254"/>
      <c r="DOB4" s="254"/>
      <c r="DOC4" s="254"/>
      <c r="DOD4" s="254"/>
      <c r="DOE4" s="254"/>
      <c r="DOF4" s="254"/>
      <c r="DOG4" s="254"/>
      <c r="DOH4" s="254"/>
      <c r="DOI4" s="254"/>
      <c r="DOJ4" s="254"/>
      <c r="DOK4" s="254"/>
      <c r="DOL4" s="254"/>
      <c r="DOM4" s="254"/>
      <c r="DON4" s="254"/>
      <c r="DOO4" s="254"/>
      <c r="DOP4" s="254"/>
      <c r="DOQ4" s="254"/>
      <c r="DOR4" s="254"/>
      <c r="DOS4" s="254"/>
      <c r="DOT4" s="254"/>
      <c r="DOU4" s="254"/>
      <c r="DOV4" s="254"/>
      <c r="DOW4" s="254"/>
      <c r="DOX4" s="254"/>
      <c r="DOY4" s="254"/>
      <c r="DOZ4" s="254"/>
      <c r="DPA4" s="254"/>
      <c r="DPB4" s="254"/>
      <c r="DPC4" s="254"/>
      <c r="DPD4" s="254"/>
      <c r="DPE4" s="254"/>
      <c r="DPF4" s="254"/>
      <c r="DPG4" s="254"/>
      <c r="DPH4" s="254"/>
      <c r="DPI4" s="254"/>
      <c r="DPJ4" s="254"/>
      <c r="DPK4" s="254"/>
      <c r="DPL4" s="254"/>
      <c r="DPM4" s="254"/>
      <c r="DPN4" s="254"/>
      <c r="DPO4" s="254"/>
      <c r="DPP4" s="254"/>
      <c r="DPQ4" s="254"/>
      <c r="DPR4" s="254"/>
      <c r="DPS4" s="254"/>
      <c r="DPT4" s="254"/>
      <c r="DPU4" s="254"/>
      <c r="DPV4" s="254"/>
      <c r="DPW4" s="254"/>
      <c r="DPX4" s="254"/>
      <c r="DPY4" s="254"/>
      <c r="DPZ4" s="254"/>
      <c r="DQA4" s="254"/>
      <c r="DQB4" s="254"/>
      <c r="DQC4" s="254"/>
      <c r="DQD4" s="254"/>
      <c r="DQE4" s="254"/>
      <c r="DQF4" s="254"/>
      <c r="DQG4" s="254"/>
      <c r="DQH4" s="254"/>
      <c r="DQI4" s="254"/>
      <c r="DQJ4" s="254"/>
      <c r="DQK4" s="254"/>
      <c r="DQL4" s="254"/>
      <c r="DQM4" s="254"/>
      <c r="DQN4" s="254"/>
      <c r="DQO4" s="254"/>
      <c r="DQP4" s="254"/>
      <c r="DQQ4" s="254"/>
      <c r="DQR4" s="254"/>
      <c r="DQS4" s="254"/>
      <c r="DQT4" s="254"/>
      <c r="DQU4" s="254"/>
      <c r="DQV4" s="254"/>
      <c r="DQW4" s="254"/>
      <c r="DQX4" s="254"/>
      <c r="DQY4" s="254"/>
      <c r="DQZ4" s="254"/>
      <c r="DRA4" s="254"/>
      <c r="DRB4" s="254"/>
      <c r="DRC4" s="254"/>
      <c r="DRD4" s="254"/>
      <c r="DRE4" s="254"/>
      <c r="DRF4" s="254"/>
      <c r="DRG4" s="254"/>
      <c r="DRH4" s="254"/>
      <c r="DRI4" s="254"/>
      <c r="DRJ4" s="254"/>
      <c r="DRK4" s="254"/>
      <c r="DRL4" s="254"/>
      <c r="DRM4" s="254"/>
      <c r="DRN4" s="254"/>
      <c r="DRO4" s="254"/>
      <c r="DRP4" s="254"/>
      <c r="DRQ4" s="254"/>
      <c r="DRR4" s="254"/>
      <c r="DRS4" s="254"/>
      <c r="DRT4" s="254"/>
      <c r="DRU4" s="254"/>
      <c r="DRV4" s="254"/>
      <c r="DRW4" s="254"/>
      <c r="DRX4" s="254"/>
      <c r="DRY4" s="254"/>
      <c r="DRZ4" s="254"/>
      <c r="DSA4" s="254"/>
      <c r="DSB4" s="254"/>
      <c r="DSC4" s="254"/>
      <c r="DSD4" s="254"/>
      <c r="DSE4" s="254"/>
      <c r="DSF4" s="254"/>
      <c r="DSG4" s="254"/>
      <c r="DSH4" s="254"/>
      <c r="DSI4" s="254"/>
      <c r="DSJ4" s="254"/>
      <c r="DSK4" s="254"/>
      <c r="DSL4" s="254"/>
      <c r="DSM4" s="254"/>
      <c r="DSN4" s="254"/>
      <c r="DSO4" s="254"/>
      <c r="DSP4" s="254"/>
      <c r="DSQ4" s="254"/>
      <c r="DSR4" s="254"/>
      <c r="DSS4" s="254"/>
      <c r="DST4" s="254"/>
      <c r="DSU4" s="254"/>
      <c r="DSV4" s="254"/>
      <c r="DSW4" s="254"/>
      <c r="DSX4" s="254"/>
      <c r="DSY4" s="254"/>
      <c r="DSZ4" s="254"/>
      <c r="DTA4" s="254"/>
      <c r="DTB4" s="254"/>
      <c r="DTC4" s="254"/>
      <c r="DTD4" s="254"/>
      <c r="DTE4" s="254"/>
      <c r="DTF4" s="254"/>
      <c r="DTG4" s="254"/>
      <c r="DTH4" s="254"/>
      <c r="DTI4" s="254"/>
      <c r="DTJ4" s="254"/>
      <c r="DTK4" s="254"/>
      <c r="DTL4" s="254"/>
      <c r="DTM4" s="254"/>
      <c r="DTN4" s="254"/>
      <c r="DTO4" s="254"/>
      <c r="DTP4" s="254"/>
      <c r="DTQ4" s="254"/>
      <c r="DTR4" s="254"/>
      <c r="DTS4" s="254"/>
      <c r="DTT4" s="254"/>
      <c r="DTU4" s="254"/>
      <c r="DTV4" s="254"/>
      <c r="DTW4" s="254"/>
      <c r="DTX4" s="254"/>
      <c r="DTY4" s="254"/>
      <c r="DTZ4" s="254"/>
      <c r="DUA4" s="254"/>
      <c r="DUB4" s="254"/>
      <c r="DUC4" s="254"/>
      <c r="DUD4" s="254"/>
      <c r="DUE4" s="254"/>
      <c r="DUF4" s="254"/>
      <c r="DUG4" s="254"/>
      <c r="DUH4" s="254"/>
      <c r="DUI4" s="254"/>
      <c r="DUJ4" s="254"/>
      <c r="DUK4" s="254"/>
      <c r="DUL4" s="254"/>
      <c r="DUM4" s="254"/>
      <c r="DUN4" s="254"/>
      <c r="DUO4" s="254"/>
      <c r="DUP4" s="254"/>
      <c r="DUQ4" s="254"/>
      <c r="DUR4" s="254"/>
      <c r="DUS4" s="254"/>
      <c r="DUT4" s="254"/>
      <c r="DUU4" s="254"/>
      <c r="DUV4" s="254"/>
      <c r="DUW4" s="254"/>
      <c r="DUX4" s="254"/>
      <c r="DUY4" s="254"/>
      <c r="DUZ4" s="254"/>
      <c r="DVA4" s="254"/>
      <c r="DVB4" s="254"/>
      <c r="DVC4" s="254"/>
      <c r="DVD4" s="254"/>
      <c r="DVE4" s="254"/>
      <c r="DVF4" s="254"/>
      <c r="DVG4" s="254"/>
      <c r="DVH4" s="254"/>
      <c r="DVI4" s="254"/>
      <c r="DVJ4" s="254"/>
      <c r="DVK4" s="254"/>
      <c r="DVL4" s="254"/>
      <c r="DVM4" s="254"/>
      <c r="DVN4" s="254"/>
      <c r="DVO4" s="254"/>
      <c r="DVP4" s="254"/>
      <c r="DVQ4" s="254"/>
      <c r="DVR4" s="254"/>
      <c r="DVS4" s="254"/>
      <c r="DVT4" s="254"/>
      <c r="DVU4" s="254"/>
      <c r="DVV4" s="254"/>
      <c r="DVW4" s="254"/>
      <c r="DVX4" s="254"/>
      <c r="DVY4" s="254"/>
      <c r="DVZ4" s="254"/>
      <c r="DWA4" s="254"/>
      <c r="DWB4" s="254"/>
      <c r="DWC4" s="254"/>
      <c r="DWD4" s="254"/>
      <c r="DWE4" s="254"/>
      <c r="DWF4" s="254"/>
      <c r="DWG4" s="254"/>
      <c r="DWH4" s="254"/>
      <c r="DWI4" s="254"/>
      <c r="DWJ4" s="254"/>
      <c r="DWK4" s="254"/>
      <c r="DWL4" s="254"/>
      <c r="DWM4" s="254"/>
      <c r="DWN4" s="254"/>
      <c r="DWO4" s="254"/>
      <c r="DWP4" s="254"/>
      <c r="DWQ4" s="254"/>
      <c r="DWR4" s="254"/>
      <c r="DWS4" s="254"/>
      <c r="DWT4" s="254"/>
      <c r="DWU4" s="254"/>
      <c r="DWV4" s="254"/>
      <c r="DWW4" s="254"/>
      <c r="DWX4" s="254"/>
      <c r="DWY4" s="254"/>
      <c r="DWZ4" s="254"/>
      <c r="DXA4" s="254"/>
      <c r="DXB4" s="254"/>
      <c r="DXC4" s="254"/>
      <c r="DXD4" s="254"/>
      <c r="DXE4" s="254"/>
      <c r="DXF4" s="254"/>
      <c r="DXG4" s="254"/>
      <c r="DXH4" s="254"/>
      <c r="DXI4" s="254"/>
      <c r="DXJ4" s="254"/>
      <c r="DXK4" s="254"/>
      <c r="DXL4" s="254"/>
      <c r="DXM4" s="254"/>
      <c r="DXN4" s="254"/>
      <c r="DXO4" s="254"/>
      <c r="DXP4" s="254"/>
      <c r="DXQ4" s="254"/>
      <c r="DXR4" s="254"/>
      <c r="DXS4" s="254"/>
      <c r="DXT4" s="254"/>
      <c r="DXU4" s="254"/>
      <c r="DXV4" s="254"/>
      <c r="DXW4" s="254"/>
      <c r="DXX4" s="254"/>
      <c r="DXY4" s="254"/>
      <c r="DXZ4" s="254"/>
      <c r="DYA4" s="254"/>
      <c r="DYB4" s="254"/>
      <c r="DYC4" s="254"/>
      <c r="DYD4" s="254"/>
      <c r="DYE4" s="254"/>
      <c r="DYF4" s="254"/>
      <c r="DYG4" s="254"/>
      <c r="DYH4" s="254"/>
      <c r="DYI4" s="254"/>
      <c r="DYJ4" s="254"/>
      <c r="DYK4" s="254"/>
      <c r="DYL4" s="254"/>
      <c r="DYM4" s="254"/>
      <c r="DYN4" s="254"/>
      <c r="DYO4" s="254"/>
      <c r="DYP4" s="254"/>
      <c r="DYQ4" s="254"/>
      <c r="DYR4" s="254"/>
      <c r="DYS4" s="254"/>
      <c r="DYT4" s="254"/>
      <c r="DYU4" s="254"/>
      <c r="DYV4" s="254"/>
      <c r="DYW4" s="254"/>
      <c r="DYX4" s="254"/>
      <c r="DYY4" s="254"/>
      <c r="DYZ4" s="254"/>
      <c r="DZA4" s="254"/>
      <c r="DZB4" s="254"/>
      <c r="DZC4" s="254"/>
      <c r="DZD4" s="254"/>
      <c r="DZE4" s="254"/>
      <c r="DZF4" s="254"/>
      <c r="DZG4" s="254"/>
      <c r="DZH4" s="254"/>
      <c r="DZI4" s="254"/>
      <c r="DZJ4" s="254"/>
      <c r="DZK4" s="254"/>
      <c r="DZL4" s="254"/>
      <c r="DZM4" s="254"/>
      <c r="DZN4" s="254"/>
      <c r="DZO4" s="254"/>
      <c r="DZP4" s="254"/>
      <c r="DZQ4" s="254"/>
      <c r="DZR4" s="254"/>
      <c r="DZS4" s="254"/>
      <c r="DZT4" s="254"/>
      <c r="DZU4" s="254"/>
      <c r="DZV4" s="254"/>
      <c r="DZW4" s="254"/>
      <c r="DZX4" s="254"/>
      <c r="DZY4" s="254"/>
      <c r="DZZ4" s="254"/>
      <c r="EAA4" s="254"/>
      <c r="EAB4" s="254"/>
      <c r="EAC4" s="254"/>
      <c r="EAD4" s="254"/>
      <c r="EAE4" s="254"/>
      <c r="EAF4" s="254"/>
      <c r="EAG4" s="254"/>
      <c r="EAH4" s="254"/>
      <c r="EAI4" s="254"/>
      <c r="EAJ4" s="254"/>
      <c r="EAK4" s="254"/>
      <c r="EAL4" s="254"/>
      <c r="EAM4" s="254"/>
      <c r="EAN4" s="254"/>
      <c r="EAO4" s="254"/>
      <c r="EAP4" s="254"/>
      <c r="EAQ4" s="254"/>
      <c r="EAR4" s="254"/>
      <c r="EAS4" s="254"/>
      <c r="EAT4" s="254"/>
      <c r="EAU4" s="254"/>
      <c r="EAV4" s="254"/>
      <c r="EAW4" s="254"/>
      <c r="EAX4" s="254"/>
      <c r="EAY4" s="254"/>
      <c r="EAZ4" s="254"/>
      <c r="EBA4" s="254"/>
      <c r="EBB4" s="254"/>
      <c r="EBC4" s="254"/>
      <c r="EBD4" s="254"/>
      <c r="EBE4" s="254"/>
      <c r="EBF4" s="254"/>
      <c r="EBG4" s="254"/>
      <c r="EBH4" s="254"/>
      <c r="EBI4" s="254"/>
      <c r="EBJ4" s="254"/>
      <c r="EBK4" s="254"/>
      <c r="EBL4" s="254"/>
      <c r="EBM4" s="254"/>
      <c r="EBN4" s="254"/>
      <c r="EBO4" s="254"/>
      <c r="EBP4" s="254"/>
      <c r="EBQ4" s="254"/>
      <c r="EBR4" s="254"/>
      <c r="EBS4" s="254"/>
      <c r="EBT4" s="254"/>
      <c r="EBU4" s="254"/>
      <c r="EBV4" s="254"/>
      <c r="EBW4" s="254"/>
      <c r="EBX4" s="254"/>
      <c r="EBY4" s="254"/>
      <c r="EBZ4" s="254"/>
      <c r="ECA4" s="254"/>
      <c r="ECB4" s="254"/>
      <c r="ECC4" s="254"/>
      <c r="ECD4" s="254"/>
      <c r="ECE4" s="254"/>
      <c r="ECF4" s="254"/>
      <c r="ECG4" s="254"/>
      <c r="ECH4" s="254"/>
      <c r="ECI4" s="254"/>
      <c r="ECJ4" s="254"/>
      <c r="ECK4" s="254"/>
      <c r="ECL4" s="254"/>
      <c r="ECM4" s="254"/>
      <c r="ECN4" s="254"/>
      <c r="ECO4" s="254"/>
      <c r="ECP4" s="254"/>
      <c r="ECQ4" s="254"/>
      <c r="ECR4" s="254"/>
      <c r="ECS4" s="254"/>
      <c r="ECT4" s="254"/>
      <c r="ECU4" s="254"/>
      <c r="ECV4" s="254"/>
      <c r="ECW4" s="254"/>
      <c r="ECX4" s="254"/>
      <c r="ECY4" s="254"/>
      <c r="ECZ4" s="254"/>
      <c r="EDA4" s="254"/>
      <c r="EDB4" s="254"/>
      <c r="EDC4" s="254"/>
      <c r="EDD4" s="254"/>
      <c r="EDE4" s="254"/>
      <c r="EDF4" s="254"/>
      <c r="EDG4" s="254"/>
      <c r="EDH4" s="254"/>
      <c r="EDI4" s="254"/>
      <c r="EDJ4" s="254"/>
      <c r="EDK4" s="254"/>
      <c r="EDL4" s="254"/>
      <c r="EDM4" s="254"/>
      <c r="EDN4" s="254"/>
      <c r="EDO4" s="254"/>
      <c r="EDP4" s="254"/>
      <c r="EDQ4" s="254"/>
      <c r="EDR4" s="254"/>
      <c r="EDS4" s="254"/>
      <c r="EDT4" s="254"/>
      <c r="EDU4" s="254"/>
      <c r="EDV4" s="254"/>
      <c r="EDW4" s="254"/>
      <c r="EDX4" s="254"/>
      <c r="EDY4" s="254"/>
      <c r="EDZ4" s="254"/>
      <c r="EEA4" s="254"/>
      <c r="EEB4" s="254"/>
      <c r="EEC4" s="254"/>
      <c r="EED4" s="254"/>
      <c r="EEE4" s="254"/>
      <c r="EEF4" s="254"/>
      <c r="EEG4" s="254"/>
      <c r="EEH4" s="254"/>
      <c r="EEI4" s="254"/>
      <c r="EEJ4" s="254"/>
      <c r="EEK4" s="254"/>
      <c r="EEL4" s="254"/>
      <c r="EEM4" s="254"/>
      <c r="EEN4" s="254"/>
      <c r="EEO4" s="254"/>
      <c r="EEP4" s="254"/>
      <c r="EEQ4" s="254"/>
      <c r="EER4" s="254"/>
      <c r="EES4" s="254"/>
      <c r="EET4" s="254"/>
      <c r="EEU4" s="254"/>
      <c r="EEV4" s="254"/>
      <c r="EEW4" s="254"/>
      <c r="EEX4" s="254"/>
      <c r="EEY4" s="254"/>
      <c r="EEZ4" s="254"/>
      <c r="EFA4" s="254"/>
      <c r="EFB4" s="254"/>
      <c r="EFC4" s="254"/>
      <c r="EFD4" s="254"/>
      <c r="EFE4" s="254"/>
      <c r="EFF4" s="254"/>
      <c r="EFG4" s="254"/>
      <c r="EFH4" s="254"/>
      <c r="EFI4" s="254"/>
      <c r="EFJ4" s="254"/>
      <c r="EFK4" s="254"/>
      <c r="EFL4" s="254"/>
      <c r="EFM4" s="254"/>
      <c r="EFN4" s="254"/>
      <c r="EFO4" s="254"/>
      <c r="EFP4" s="254"/>
      <c r="EFQ4" s="254"/>
      <c r="EFR4" s="254"/>
      <c r="EFS4" s="254"/>
      <c r="EFT4" s="254"/>
      <c r="EFU4" s="254"/>
      <c r="EFV4" s="254"/>
      <c r="EFW4" s="254"/>
      <c r="EFX4" s="254"/>
      <c r="EFY4" s="254"/>
      <c r="EFZ4" s="254"/>
      <c r="EGA4" s="254"/>
      <c r="EGB4" s="254"/>
      <c r="EGC4" s="254"/>
      <c r="EGD4" s="254"/>
      <c r="EGE4" s="254"/>
      <c r="EGF4" s="254"/>
      <c r="EGG4" s="254"/>
      <c r="EGH4" s="254"/>
      <c r="EGI4" s="254"/>
      <c r="EGJ4" s="254"/>
      <c r="EGK4" s="254"/>
      <c r="EGL4" s="254"/>
      <c r="EGM4" s="254"/>
      <c r="EGN4" s="254"/>
      <c r="EGO4" s="254"/>
      <c r="EGP4" s="254"/>
      <c r="EGQ4" s="254"/>
      <c r="EGR4" s="254"/>
      <c r="EGS4" s="254"/>
      <c r="EGT4" s="254"/>
      <c r="EGU4" s="254"/>
      <c r="EGV4" s="254"/>
      <c r="EGW4" s="254"/>
      <c r="EGX4" s="254"/>
      <c r="EGY4" s="254"/>
      <c r="EGZ4" s="254"/>
      <c r="EHA4" s="254"/>
      <c r="EHB4" s="254"/>
      <c r="EHC4" s="254"/>
      <c r="EHD4" s="254"/>
      <c r="EHE4" s="254"/>
      <c r="EHF4" s="254"/>
      <c r="EHG4" s="254"/>
      <c r="EHH4" s="254"/>
      <c r="EHI4" s="254"/>
      <c r="EHJ4" s="254"/>
      <c r="EHK4" s="254"/>
      <c r="EHL4" s="254"/>
      <c r="EHM4" s="254"/>
      <c r="EHN4" s="254"/>
      <c r="EHO4" s="254"/>
      <c r="EHP4" s="254"/>
      <c r="EHQ4" s="254"/>
      <c r="EHR4" s="254"/>
      <c r="EHS4" s="254"/>
      <c r="EHT4" s="254"/>
      <c r="EHU4" s="254"/>
      <c r="EHV4" s="254"/>
      <c r="EHW4" s="254"/>
      <c r="EHX4" s="254"/>
      <c r="EHY4" s="254"/>
      <c r="EHZ4" s="254"/>
      <c r="EIA4" s="254"/>
      <c r="EIB4" s="254"/>
      <c r="EIC4" s="254"/>
      <c r="EID4" s="254"/>
      <c r="EIE4" s="254"/>
      <c r="EIF4" s="254"/>
      <c r="EIG4" s="254"/>
      <c r="EIH4" s="254"/>
      <c r="EII4" s="254"/>
      <c r="EIJ4" s="254"/>
      <c r="EIK4" s="254"/>
      <c r="EIL4" s="254"/>
      <c r="EIM4" s="254"/>
      <c r="EIN4" s="254"/>
      <c r="EIO4" s="254"/>
      <c r="EIP4" s="254"/>
      <c r="EIQ4" s="254"/>
      <c r="EIR4" s="254"/>
      <c r="EIS4" s="254"/>
      <c r="EIT4" s="254"/>
      <c r="EIU4" s="254"/>
      <c r="EIV4" s="254"/>
      <c r="EIW4" s="254"/>
      <c r="EIX4" s="254"/>
      <c r="EIY4" s="254"/>
      <c r="EIZ4" s="254"/>
      <c r="EJA4" s="254"/>
      <c r="EJB4" s="254"/>
      <c r="EJC4" s="254"/>
      <c r="EJD4" s="254"/>
      <c r="EJE4" s="254"/>
      <c r="EJF4" s="254"/>
      <c r="EJG4" s="254"/>
      <c r="EJH4" s="254"/>
      <c r="EJI4" s="254"/>
      <c r="EJJ4" s="254"/>
      <c r="EJK4" s="254"/>
      <c r="EJL4" s="254"/>
      <c r="EJM4" s="254"/>
      <c r="EJN4" s="254"/>
      <c r="EJO4" s="254"/>
      <c r="EJP4" s="254"/>
      <c r="EJQ4" s="254"/>
      <c r="EJR4" s="254"/>
      <c r="EJS4" s="254"/>
      <c r="EJT4" s="254"/>
      <c r="EJU4" s="254"/>
      <c r="EJV4" s="254"/>
      <c r="EJW4" s="254"/>
      <c r="EJX4" s="254"/>
      <c r="EJY4" s="254"/>
      <c r="EJZ4" s="254"/>
      <c r="EKA4" s="254"/>
      <c r="EKB4" s="254"/>
      <c r="EKC4" s="254"/>
      <c r="EKD4" s="254"/>
      <c r="EKE4" s="254"/>
      <c r="EKF4" s="254"/>
      <c r="EKG4" s="254"/>
      <c r="EKH4" s="254"/>
      <c r="EKI4" s="254"/>
      <c r="EKJ4" s="254"/>
      <c r="EKK4" s="254"/>
      <c r="EKL4" s="254"/>
      <c r="EKM4" s="254"/>
      <c r="EKN4" s="254"/>
      <c r="EKO4" s="254"/>
      <c r="EKP4" s="254"/>
      <c r="EKQ4" s="254"/>
      <c r="EKR4" s="254"/>
      <c r="EKS4" s="254"/>
      <c r="EKT4" s="254"/>
      <c r="EKU4" s="254"/>
      <c r="EKV4" s="254"/>
      <c r="EKW4" s="254"/>
      <c r="EKX4" s="254"/>
      <c r="EKY4" s="254"/>
      <c r="EKZ4" s="254"/>
      <c r="ELA4" s="254"/>
      <c r="ELB4" s="254"/>
      <c r="ELC4" s="254"/>
      <c r="ELD4" s="254"/>
      <c r="ELE4" s="254"/>
      <c r="ELF4" s="254"/>
      <c r="ELG4" s="254"/>
      <c r="ELH4" s="254"/>
      <c r="ELI4" s="254"/>
      <c r="ELJ4" s="254"/>
      <c r="ELK4" s="254"/>
      <c r="ELL4" s="254"/>
      <c r="ELM4" s="254"/>
      <c r="ELN4" s="254"/>
      <c r="ELO4" s="254"/>
      <c r="ELP4" s="254"/>
      <c r="ELQ4" s="254"/>
      <c r="ELR4" s="254"/>
      <c r="ELS4" s="254"/>
      <c r="ELT4" s="254"/>
      <c r="ELU4" s="254"/>
      <c r="ELV4" s="254"/>
      <c r="ELW4" s="254"/>
      <c r="ELX4" s="254"/>
      <c r="ELY4" s="254"/>
      <c r="ELZ4" s="254"/>
      <c r="EMA4" s="254"/>
      <c r="EMB4" s="254"/>
      <c r="EMC4" s="254"/>
      <c r="EMD4" s="254"/>
      <c r="EME4" s="254"/>
      <c r="EMF4" s="254"/>
      <c r="EMG4" s="254"/>
      <c r="EMH4" s="254"/>
      <c r="EMI4" s="254"/>
      <c r="EMJ4" s="254"/>
      <c r="EMK4" s="254"/>
      <c r="EML4" s="254"/>
      <c r="EMM4" s="254"/>
      <c r="EMN4" s="254"/>
      <c r="EMO4" s="254"/>
      <c r="EMP4" s="254"/>
      <c r="EMQ4" s="254"/>
      <c r="EMR4" s="254"/>
      <c r="EMS4" s="254"/>
      <c r="EMT4" s="254"/>
      <c r="EMU4" s="254"/>
      <c r="EMV4" s="254"/>
      <c r="EMW4" s="254"/>
      <c r="EMX4" s="254"/>
      <c r="EMY4" s="254"/>
      <c r="EMZ4" s="254"/>
      <c r="ENA4" s="254"/>
      <c r="ENB4" s="254"/>
      <c r="ENC4" s="254"/>
      <c r="END4" s="254"/>
      <c r="ENE4" s="254"/>
      <c r="ENF4" s="254"/>
      <c r="ENG4" s="254"/>
      <c r="ENH4" s="254"/>
      <c r="ENI4" s="254"/>
      <c r="ENJ4" s="254"/>
      <c r="ENK4" s="254"/>
      <c r="ENL4" s="254"/>
      <c r="ENM4" s="254"/>
      <c r="ENN4" s="254"/>
      <c r="ENO4" s="254"/>
      <c r="ENP4" s="254"/>
      <c r="ENQ4" s="254"/>
      <c r="ENR4" s="254"/>
      <c r="ENS4" s="254"/>
      <c r="ENT4" s="254"/>
      <c r="ENU4" s="254"/>
      <c r="ENV4" s="254"/>
      <c r="ENW4" s="254"/>
      <c r="ENX4" s="254"/>
      <c r="ENY4" s="254"/>
      <c r="ENZ4" s="254"/>
      <c r="EOA4" s="254"/>
      <c r="EOB4" s="254"/>
      <c r="EOC4" s="254"/>
      <c r="EOD4" s="254"/>
      <c r="EOE4" s="254"/>
      <c r="EOF4" s="254"/>
      <c r="EOG4" s="254"/>
      <c r="EOH4" s="254"/>
      <c r="EOI4" s="254"/>
      <c r="EOJ4" s="254"/>
      <c r="EOK4" s="254"/>
      <c r="EOL4" s="254"/>
      <c r="EOM4" s="254"/>
      <c r="EON4" s="254"/>
      <c r="EOO4" s="254"/>
      <c r="EOP4" s="254"/>
      <c r="EOQ4" s="254"/>
      <c r="EOR4" s="254"/>
      <c r="EOS4" s="254"/>
      <c r="EOT4" s="254"/>
      <c r="EOU4" s="254"/>
      <c r="EOV4" s="254"/>
      <c r="EOW4" s="254"/>
      <c r="EOX4" s="254"/>
      <c r="EOY4" s="254"/>
      <c r="EOZ4" s="254"/>
      <c r="EPA4" s="254"/>
      <c r="EPB4" s="254"/>
      <c r="EPC4" s="254"/>
      <c r="EPD4" s="254"/>
      <c r="EPE4" s="254"/>
      <c r="EPF4" s="254"/>
      <c r="EPG4" s="254"/>
      <c r="EPH4" s="254"/>
      <c r="EPI4" s="254"/>
      <c r="EPJ4" s="254"/>
      <c r="EPK4" s="254"/>
      <c r="EPL4" s="254"/>
      <c r="EPM4" s="254"/>
      <c r="EPN4" s="254"/>
      <c r="EPO4" s="254"/>
      <c r="EPP4" s="254"/>
      <c r="EPQ4" s="254"/>
      <c r="EPR4" s="254"/>
      <c r="EPS4" s="254"/>
      <c r="EPT4" s="254"/>
      <c r="EPU4" s="254"/>
      <c r="EPV4" s="254"/>
      <c r="EPW4" s="254"/>
      <c r="EPX4" s="254"/>
      <c r="EPY4" s="254"/>
      <c r="EPZ4" s="254"/>
      <c r="EQA4" s="254"/>
      <c r="EQB4" s="254"/>
      <c r="EQC4" s="254"/>
      <c r="EQD4" s="254"/>
      <c r="EQE4" s="254"/>
      <c r="EQF4" s="254"/>
      <c r="EQG4" s="254"/>
      <c r="EQH4" s="254"/>
      <c r="EQI4" s="254"/>
      <c r="EQJ4" s="254"/>
      <c r="EQK4" s="254"/>
      <c r="EQL4" s="254"/>
      <c r="EQM4" s="254"/>
      <c r="EQN4" s="254"/>
      <c r="EQO4" s="254"/>
      <c r="EQP4" s="254"/>
      <c r="EQQ4" s="254"/>
      <c r="EQR4" s="254"/>
      <c r="EQS4" s="254"/>
      <c r="EQT4" s="254"/>
      <c r="EQU4" s="254"/>
      <c r="EQV4" s="254"/>
      <c r="EQW4" s="254"/>
      <c r="EQX4" s="254"/>
      <c r="EQY4" s="254"/>
      <c r="EQZ4" s="254"/>
      <c r="ERA4" s="254"/>
      <c r="ERB4" s="254"/>
      <c r="ERC4" s="254"/>
      <c r="ERD4" s="254"/>
      <c r="ERE4" s="254"/>
      <c r="ERF4" s="254"/>
      <c r="ERG4" s="254"/>
      <c r="ERH4" s="254"/>
      <c r="ERI4" s="254"/>
      <c r="ERJ4" s="254"/>
      <c r="ERK4" s="254"/>
      <c r="ERL4" s="254"/>
      <c r="ERM4" s="254"/>
      <c r="ERN4" s="254"/>
      <c r="ERO4" s="254"/>
      <c r="ERP4" s="254"/>
      <c r="ERQ4" s="254"/>
      <c r="ERR4" s="254"/>
      <c r="ERS4" s="254"/>
      <c r="ERT4" s="254"/>
      <c r="ERU4" s="254"/>
      <c r="ERV4" s="254"/>
      <c r="ERW4" s="254"/>
      <c r="ERX4" s="254"/>
      <c r="ERY4" s="254"/>
      <c r="ERZ4" s="254"/>
      <c r="ESA4" s="254"/>
      <c r="ESB4" s="254"/>
      <c r="ESC4" s="254"/>
      <c r="ESD4" s="254"/>
      <c r="ESE4" s="254"/>
      <c r="ESF4" s="254"/>
      <c r="ESG4" s="254"/>
      <c r="ESH4" s="254"/>
      <c r="ESI4" s="254"/>
      <c r="ESJ4" s="254"/>
      <c r="ESK4" s="254"/>
      <c r="ESL4" s="254"/>
      <c r="ESM4" s="254"/>
      <c r="ESN4" s="254"/>
      <c r="ESO4" s="254"/>
      <c r="ESP4" s="254"/>
      <c r="ESQ4" s="254"/>
      <c r="ESR4" s="254"/>
      <c r="ESS4" s="254"/>
      <c r="EST4" s="254"/>
      <c r="ESU4" s="254"/>
      <c r="ESV4" s="254"/>
      <c r="ESW4" s="254"/>
      <c r="ESX4" s="254"/>
      <c r="ESY4" s="254"/>
      <c r="ESZ4" s="254"/>
      <c r="ETA4" s="254"/>
      <c r="ETB4" s="254"/>
      <c r="ETC4" s="254"/>
      <c r="ETD4" s="254"/>
      <c r="ETE4" s="254"/>
      <c r="ETF4" s="254"/>
      <c r="ETG4" s="254"/>
      <c r="ETH4" s="254"/>
      <c r="ETI4" s="254"/>
      <c r="ETJ4" s="254"/>
      <c r="ETK4" s="254"/>
      <c r="ETL4" s="254"/>
      <c r="ETM4" s="254"/>
      <c r="ETN4" s="254"/>
      <c r="ETO4" s="254"/>
      <c r="ETP4" s="254"/>
      <c r="ETQ4" s="254"/>
      <c r="ETR4" s="254"/>
      <c r="ETS4" s="254"/>
      <c r="ETT4" s="254"/>
      <c r="ETU4" s="254"/>
      <c r="ETV4" s="254"/>
      <c r="ETW4" s="254"/>
      <c r="ETX4" s="254"/>
      <c r="ETY4" s="254"/>
      <c r="ETZ4" s="254"/>
      <c r="EUA4" s="254"/>
      <c r="EUB4" s="254"/>
      <c r="EUC4" s="254"/>
      <c r="EUD4" s="254"/>
      <c r="EUE4" s="254"/>
      <c r="EUF4" s="254"/>
      <c r="EUG4" s="254"/>
      <c r="EUH4" s="254"/>
      <c r="EUI4" s="254"/>
      <c r="EUJ4" s="254"/>
      <c r="EUK4" s="254"/>
      <c r="EUL4" s="254"/>
      <c r="EUM4" s="254"/>
      <c r="EUN4" s="254"/>
      <c r="EUO4" s="254"/>
      <c r="EUP4" s="254"/>
      <c r="EUQ4" s="254"/>
      <c r="EUR4" s="254"/>
      <c r="EUS4" s="254"/>
      <c r="EUT4" s="254"/>
      <c r="EUU4" s="254"/>
      <c r="EUV4" s="254"/>
      <c r="EUW4" s="254"/>
      <c r="EUX4" s="254"/>
      <c r="EUY4" s="254"/>
      <c r="EUZ4" s="254"/>
      <c r="EVA4" s="254"/>
      <c r="EVB4" s="254"/>
      <c r="EVC4" s="254"/>
      <c r="EVD4" s="254"/>
      <c r="EVE4" s="254"/>
      <c r="EVF4" s="254"/>
      <c r="EVG4" s="254"/>
      <c r="EVH4" s="254"/>
      <c r="EVI4" s="254"/>
      <c r="EVJ4" s="254"/>
      <c r="EVK4" s="254"/>
      <c r="EVL4" s="254"/>
      <c r="EVM4" s="254"/>
      <c r="EVN4" s="254"/>
      <c r="EVO4" s="254"/>
      <c r="EVP4" s="254"/>
      <c r="EVQ4" s="254"/>
      <c r="EVR4" s="254"/>
      <c r="EVS4" s="254"/>
      <c r="EVT4" s="254"/>
      <c r="EVU4" s="254"/>
      <c r="EVV4" s="254"/>
      <c r="EVW4" s="254"/>
      <c r="EVX4" s="254"/>
      <c r="EVY4" s="254"/>
      <c r="EVZ4" s="254"/>
      <c r="EWA4" s="254"/>
      <c r="EWB4" s="254"/>
      <c r="EWC4" s="254"/>
      <c r="EWD4" s="254"/>
      <c r="EWE4" s="254"/>
      <c r="EWF4" s="254"/>
      <c r="EWG4" s="254"/>
      <c r="EWH4" s="254"/>
      <c r="EWI4" s="254"/>
      <c r="EWJ4" s="254"/>
      <c r="EWK4" s="254"/>
      <c r="EWL4" s="254"/>
      <c r="EWM4" s="254"/>
      <c r="EWN4" s="254"/>
      <c r="EWO4" s="254"/>
      <c r="EWP4" s="254"/>
      <c r="EWQ4" s="254"/>
      <c r="EWR4" s="254"/>
      <c r="EWS4" s="254"/>
      <c r="EWT4" s="254"/>
      <c r="EWU4" s="254"/>
      <c r="EWV4" s="254"/>
      <c r="EWW4" s="254"/>
      <c r="EWX4" s="254"/>
      <c r="EWY4" s="254"/>
      <c r="EWZ4" s="254"/>
      <c r="EXA4" s="254"/>
      <c r="EXB4" s="254"/>
      <c r="EXC4" s="254"/>
      <c r="EXD4" s="254"/>
      <c r="EXE4" s="254"/>
      <c r="EXF4" s="254"/>
      <c r="EXG4" s="254"/>
      <c r="EXH4" s="254"/>
      <c r="EXI4" s="254"/>
      <c r="EXJ4" s="254"/>
      <c r="EXK4" s="254"/>
      <c r="EXL4" s="254"/>
      <c r="EXM4" s="254"/>
      <c r="EXN4" s="254"/>
      <c r="EXO4" s="254"/>
      <c r="EXP4" s="254"/>
      <c r="EXQ4" s="254"/>
      <c r="EXR4" s="254"/>
      <c r="EXS4" s="254"/>
      <c r="EXT4" s="254"/>
      <c r="EXU4" s="254"/>
      <c r="EXV4" s="254"/>
      <c r="EXW4" s="254"/>
      <c r="EXX4" s="254"/>
      <c r="EXY4" s="254"/>
      <c r="EXZ4" s="254"/>
      <c r="EYA4" s="254"/>
      <c r="EYB4" s="254"/>
      <c r="EYC4" s="254"/>
      <c r="EYD4" s="254"/>
      <c r="EYE4" s="254"/>
      <c r="EYF4" s="254"/>
      <c r="EYG4" s="254"/>
      <c r="EYH4" s="254"/>
      <c r="EYI4" s="254"/>
      <c r="EYJ4" s="254"/>
      <c r="EYK4" s="254"/>
      <c r="EYL4" s="254"/>
      <c r="EYM4" s="254"/>
      <c r="EYN4" s="254"/>
      <c r="EYO4" s="254"/>
      <c r="EYP4" s="254"/>
      <c r="EYQ4" s="254"/>
      <c r="EYR4" s="254"/>
      <c r="EYS4" s="254"/>
      <c r="EYT4" s="254"/>
      <c r="EYU4" s="254"/>
      <c r="EYV4" s="254"/>
      <c r="EYW4" s="254"/>
      <c r="EYX4" s="254"/>
      <c r="EYY4" s="254"/>
      <c r="EYZ4" s="254"/>
      <c r="EZA4" s="254"/>
      <c r="EZB4" s="254"/>
      <c r="EZC4" s="254"/>
      <c r="EZD4" s="254"/>
      <c r="EZE4" s="254"/>
      <c r="EZF4" s="254"/>
      <c r="EZG4" s="254"/>
      <c r="EZH4" s="254"/>
      <c r="EZI4" s="254"/>
      <c r="EZJ4" s="254"/>
      <c r="EZK4" s="254"/>
      <c r="EZL4" s="254"/>
      <c r="EZM4" s="254"/>
      <c r="EZN4" s="254"/>
      <c r="EZO4" s="254"/>
      <c r="EZP4" s="254"/>
      <c r="EZQ4" s="254"/>
      <c r="EZR4" s="254"/>
      <c r="EZS4" s="254"/>
      <c r="EZT4" s="254"/>
      <c r="EZU4" s="254"/>
      <c r="EZV4" s="254"/>
      <c r="EZW4" s="254"/>
      <c r="EZX4" s="254"/>
      <c r="EZY4" s="254"/>
      <c r="EZZ4" s="254"/>
      <c r="FAA4" s="254"/>
      <c r="FAB4" s="254"/>
      <c r="FAC4" s="254"/>
      <c r="FAD4" s="254"/>
      <c r="FAE4" s="254"/>
      <c r="FAF4" s="254"/>
      <c r="FAG4" s="254"/>
      <c r="FAH4" s="254"/>
      <c r="FAI4" s="254"/>
      <c r="FAJ4" s="254"/>
      <c r="FAK4" s="254"/>
      <c r="FAL4" s="254"/>
      <c r="FAM4" s="254"/>
      <c r="FAN4" s="254"/>
      <c r="FAO4" s="254"/>
      <c r="FAP4" s="254"/>
      <c r="FAQ4" s="254"/>
      <c r="FAR4" s="254"/>
      <c r="FAS4" s="254"/>
      <c r="FAT4" s="254"/>
      <c r="FAU4" s="254"/>
      <c r="FAV4" s="254"/>
      <c r="FAW4" s="254"/>
      <c r="FAX4" s="254"/>
      <c r="FAY4" s="254"/>
      <c r="FAZ4" s="254"/>
      <c r="FBA4" s="254"/>
      <c r="FBB4" s="254"/>
      <c r="FBC4" s="254"/>
      <c r="FBD4" s="254"/>
      <c r="FBE4" s="254"/>
      <c r="FBF4" s="254"/>
      <c r="FBG4" s="254"/>
      <c r="FBH4" s="254"/>
      <c r="FBI4" s="254"/>
      <c r="FBJ4" s="254"/>
      <c r="FBK4" s="254"/>
      <c r="FBL4" s="254"/>
      <c r="FBM4" s="254"/>
      <c r="FBN4" s="254"/>
      <c r="FBO4" s="254"/>
      <c r="FBP4" s="254"/>
      <c r="FBQ4" s="254"/>
      <c r="FBR4" s="254"/>
      <c r="FBS4" s="254"/>
      <c r="FBT4" s="254"/>
      <c r="FBU4" s="254"/>
      <c r="FBV4" s="254"/>
      <c r="FBW4" s="254"/>
      <c r="FBX4" s="254"/>
      <c r="FBY4" s="254"/>
      <c r="FBZ4" s="254"/>
      <c r="FCA4" s="254"/>
      <c r="FCB4" s="254"/>
      <c r="FCC4" s="254"/>
      <c r="FCD4" s="254"/>
      <c r="FCE4" s="254"/>
      <c r="FCF4" s="254"/>
      <c r="FCG4" s="254"/>
      <c r="FCH4" s="254"/>
      <c r="FCI4" s="254"/>
      <c r="FCJ4" s="254"/>
      <c r="FCK4" s="254"/>
      <c r="FCL4" s="254"/>
      <c r="FCM4" s="254"/>
      <c r="FCN4" s="254"/>
      <c r="FCO4" s="254"/>
      <c r="FCP4" s="254"/>
      <c r="FCQ4" s="254"/>
      <c r="FCR4" s="254"/>
      <c r="FCS4" s="254"/>
      <c r="FCT4" s="254"/>
      <c r="FCU4" s="254"/>
      <c r="FCV4" s="254"/>
      <c r="FCW4" s="254"/>
      <c r="FCX4" s="254"/>
      <c r="FCY4" s="254"/>
      <c r="FCZ4" s="254"/>
      <c r="FDA4" s="254"/>
      <c r="FDB4" s="254"/>
      <c r="FDC4" s="254"/>
      <c r="FDD4" s="254"/>
      <c r="FDE4" s="254"/>
      <c r="FDF4" s="254"/>
      <c r="FDG4" s="254"/>
      <c r="FDH4" s="254"/>
      <c r="FDI4" s="254"/>
      <c r="FDJ4" s="254"/>
      <c r="FDK4" s="254"/>
      <c r="FDL4" s="254"/>
      <c r="FDM4" s="254"/>
      <c r="FDN4" s="254"/>
      <c r="FDO4" s="254"/>
      <c r="FDP4" s="254"/>
      <c r="FDQ4" s="254"/>
      <c r="FDR4" s="254"/>
      <c r="FDS4" s="254"/>
      <c r="FDT4" s="254"/>
      <c r="FDU4" s="254"/>
      <c r="FDV4" s="254"/>
      <c r="FDW4" s="254"/>
      <c r="FDX4" s="254"/>
      <c r="FDY4" s="254"/>
      <c r="FDZ4" s="254"/>
      <c r="FEA4" s="254"/>
      <c r="FEB4" s="254"/>
      <c r="FEC4" s="254"/>
      <c r="FED4" s="254"/>
      <c r="FEE4" s="254"/>
      <c r="FEF4" s="254"/>
      <c r="FEG4" s="254"/>
      <c r="FEH4" s="254"/>
      <c r="FEI4" s="254"/>
      <c r="FEJ4" s="254"/>
      <c r="FEK4" s="254"/>
      <c r="FEL4" s="254"/>
      <c r="FEM4" s="254"/>
      <c r="FEN4" s="254"/>
      <c r="FEO4" s="254"/>
      <c r="FEP4" s="254"/>
      <c r="FEQ4" s="254"/>
      <c r="FER4" s="254"/>
      <c r="FES4" s="254"/>
      <c r="FET4" s="254"/>
      <c r="FEU4" s="254"/>
      <c r="FEV4" s="254"/>
      <c r="FEW4" s="254"/>
      <c r="FEX4" s="254"/>
      <c r="FEY4" s="254"/>
      <c r="FEZ4" s="254"/>
      <c r="FFA4" s="254"/>
      <c r="FFB4" s="254"/>
      <c r="FFC4" s="254"/>
      <c r="FFD4" s="254"/>
      <c r="FFE4" s="254"/>
      <c r="FFF4" s="254"/>
      <c r="FFG4" s="254"/>
      <c r="FFH4" s="254"/>
      <c r="FFI4" s="254"/>
      <c r="FFJ4" s="254"/>
      <c r="FFK4" s="254"/>
      <c r="FFL4" s="254"/>
      <c r="FFM4" s="254"/>
      <c r="FFN4" s="254"/>
      <c r="FFO4" s="254"/>
      <c r="FFP4" s="254"/>
      <c r="FFQ4" s="254"/>
      <c r="FFR4" s="254"/>
      <c r="FFS4" s="254"/>
      <c r="FFT4" s="254"/>
      <c r="FFU4" s="254"/>
      <c r="FFV4" s="254"/>
      <c r="FFW4" s="254"/>
      <c r="FFX4" s="254"/>
      <c r="FFY4" s="254"/>
      <c r="FFZ4" s="254"/>
      <c r="FGA4" s="254"/>
      <c r="FGB4" s="254"/>
      <c r="FGC4" s="254"/>
      <c r="FGD4" s="254"/>
      <c r="FGE4" s="254"/>
      <c r="FGF4" s="254"/>
      <c r="FGG4" s="254"/>
      <c r="FGH4" s="254"/>
      <c r="FGI4" s="254"/>
      <c r="FGJ4" s="254"/>
      <c r="FGK4" s="254"/>
      <c r="FGL4" s="254"/>
      <c r="FGM4" s="254"/>
      <c r="FGN4" s="254"/>
      <c r="FGO4" s="254"/>
      <c r="FGP4" s="254"/>
      <c r="FGQ4" s="254"/>
      <c r="FGR4" s="254"/>
      <c r="FGS4" s="254"/>
      <c r="FGT4" s="254"/>
      <c r="FGU4" s="254"/>
      <c r="FGV4" s="254"/>
      <c r="FGW4" s="254"/>
      <c r="FGX4" s="254"/>
      <c r="FGY4" s="254"/>
      <c r="FGZ4" s="254"/>
      <c r="FHA4" s="254"/>
      <c r="FHB4" s="254"/>
      <c r="FHC4" s="254"/>
      <c r="FHD4" s="254"/>
      <c r="FHE4" s="254"/>
      <c r="FHF4" s="254"/>
      <c r="FHG4" s="254"/>
      <c r="FHH4" s="254"/>
      <c r="FHI4" s="254"/>
      <c r="FHJ4" s="254"/>
      <c r="FHK4" s="254"/>
      <c r="FHL4" s="254"/>
      <c r="FHM4" s="254"/>
      <c r="FHN4" s="254"/>
      <c r="FHO4" s="254"/>
      <c r="FHP4" s="254"/>
      <c r="FHQ4" s="254"/>
      <c r="FHR4" s="254"/>
      <c r="FHS4" s="254"/>
      <c r="FHT4" s="254"/>
      <c r="FHU4" s="254"/>
      <c r="FHV4" s="254"/>
      <c r="FHW4" s="254"/>
      <c r="FHX4" s="254"/>
      <c r="FHY4" s="254"/>
      <c r="FHZ4" s="254"/>
      <c r="FIA4" s="254"/>
      <c r="FIB4" s="254"/>
      <c r="FIC4" s="254"/>
      <c r="FID4" s="254"/>
      <c r="FIE4" s="254"/>
      <c r="FIF4" s="254"/>
      <c r="FIG4" s="254"/>
      <c r="FIH4" s="254"/>
      <c r="FII4" s="254"/>
      <c r="FIJ4" s="254"/>
      <c r="FIK4" s="254"/>
      <c r="FIL4" s="254"/>
      <c r="FIM4" s="254"/>
      <c r="FIN4" s="254"/>
      <c r="FIO4" s="254"/>
      <c r="FIP4" s="254"/>
      <c r="FIQ4" s="254"/>
      <c r="FIR4" s="254"/>
      <c r="FIS4" s="254"/>
      <c r="FIT4" s="254"/>
      <c r="FIU4" s="254"/>
      <c r="FIV4" s="254"/>
      <c r="FIW4" s="254"/>
      <c r="FIX4" s="254"/>
      <c r="FIY4" s="254"/>
      <c r="FIZ4" s="254"/>
      <c r="FJA4" s="254"/>
      <c r="FJB4" s="254"/>
      <c r="FJC4" s="254"/>
      <c r="FJD4" s="254"/>
      <c r="FJE4" s="254"/>
      <c r="FJF4" s="254"/>
      <c r="FJG4" s="254"/>
      <c r="FJH4" s="254"/>
      <c r="FJI4" s="254"/>
      <c r="FJJ4" s="254"/>
      <c r="FJK4" s="254"/>
      <c r="FJL4" s="254"/>
      <c r="FJM4" s="254"/>
      <c r="FJN4" s="254"/>
      <c r="FJO4" s="254"/>
      <c r="FJP4" s="254"/>
      <c r="FJQ4" s="254"/>
      <c r="FJR4" s="254"/>
      <c r="FJS4" s="254"/>
      <c r="FJT4" s="254"/>
      <c r="FJU4" s="254"/>
      <c r="FJV4" s="254"/>
      <c r="FJW4" s="254"/>
      <c r="FJX4" s="254"/>
      <c r="FJY4" s="254"/>
      <c r="FJZ4" s="254"/>
      <c r="FKA4" s="254"/>
      <c r="FKB4" s="254"/>
      <c r="FKC4" s="254"/>
      <c r="FKD4" s="254"/>
      <c r="FKE4" s="254"/>
      <c r="FKF4" s="254"/>
      <c r="FKG4" s="254"/>
      <c r="FKH4" s="254"/>
      <c r="FKI4" s="254"/>
      <c r="FKJ4" s="254"/>
      <c r="FKK4" s="254"/>
      <c r="FKL4" s="254"/>
      <c r="FKM4" s="254"/>
      <c r="FKN4" s="254"/>
      <c r="FKO4" s="254"/>
      <c r="FKP4" s="254"/>
      <c r="FKQ4" s="254"/>
      <c r="FKR4" s="254"/>
      <c r="FKS4" s="254"/>
      <c r="FKT4" s="254"/>
      <c r="FKU4" s="254"/>
      <c r="FKV4" s="254"/>
      <c r="FKW4" s="254"/>
      <c r="FKX4" s="254"/>
      <c r="FKY4" s="254"/>
      <c r="FKZ4" s="254"/>
      <c r="FLA4" s="254"/>
      <c r="FLB4" s="254"/>
      <c r="FLC4" s="254"/>
      <c r="FLD4" s="254"/>
      <c r="FLE4" s="254"/>
      <c r="FLF4" s="254"/>
      <c r="FLG4" s="254"/>
      <c r="FLH4" s="254"/>
      <c r="FLI4" s="254"/>
      <c r="FLJ4" s="254"/>
      <c r="FLK4" s="254"/>
      <c r="FLL4" s="254"/>
      <c r="FLM4" s="254"/>
      <c r="FLN4" s="254"/>
      <c r="FLO4" s="254"/>
      <c r="FLP4" s="254"/>
      <c r="FLQ4" s="254"/>
      <c r="FLR4" s="254"/>
      <c r="FLS4" s="254"/>
      <c r="FLT4" s="254"/>
      <c r="FLU4" s="254"/>
      <c r="FLV4" s="254"/>
      <c r="FLW4" s="254"/>
      <c r="FLX4" s="254"/>
      <c r="FLY4" s="254"/>
      <c r="FLZ4" s="254"/>
      <c r="FMA4" s="254"/>
      <c r="FMB4" s="254"/>
      <c r="FMC4" s="254"/>
      <c r="FMD4" s="254"/>
      <c r="FME4" s="254"/>
      <c r="FMF4" s="254"/>
      <c r="FMG4" s="254"/>
      <c r="FMH4" s="254"/>
      <c r="FMI4" s="254"/>
      <c r="FMJ4" s="254"/>
      <c r="FMK4" s="254"/>
      <c r="FML4" s="254"/>
      <c r="FMM4" s="254"/>
      <c r="FMN4" s="254"/>
      <c r="FMO4" s="254"/>
      <c r="FMP4" s="254"/>
      <c r="FMQ4" s="254"/>
      <c r="FMR4" s="254"/>
      <c r="FMS4" s="254"/>
      <c r="FMT4" s="254"/>
      <c r="FMU4" s="254"/>
      <c r="FMV4" s="254"/>
      <c r="FMW4" s="254"/>
      <c r="FMX4" s="254"/>
      <c r="FMY4" s="254"/>
      <c r="FMZ4" s="254"/>
      <c r="FNA4" s="254"/>
      <c r="FNB4" s="254"/>
      <c r="FNC4" s="254"/>
      <c r="FND4" s="254"/>
      <c r="FNE4" s="254"/>
      <c r="FNF4" s="254"/>
      <c r="FNG4" s="254"/>
      <c r="FNH4" s="254"/>
      <c r="FNI4" s="254"/>
      <c r="FNJ4" s="254"/>
      <c r="FNK4" s="254"/>
      <c r="FNL4" s="254"/>
      <c r="FNM4" s="254"/>
      <c r="FNN4" s="254"/>
      <c r="FNO4" s="254"/>
      <c r="FNP4" s="254"/>
      <c r="FNQ4" s="254"/>
      <c r="FNR4" s="254"/>
      <c r="FNS4" s="254"/>
      <c r="FNT4" s="254"/>
      <c r="FNU4" s="254"/>
      <c r="FNV4" s="254"/>
      <c r="FNW4" s="254"/>
      <c r="FNX4" s="254"/>
      <c r="FNY4" s="254"/>
      <c r="FNZ4" s="254"/>
      <c r="FOA4" s="254"/>
      <c r="FOB4" s="254"/>
      <c r="FOC4" s="254"/>
      <c r="FOD4" s="254"/>
      <c r="FOE4" s="254"/>
      <c r="FOF4" s="254"/>
      <c r="FOG4" s="254"/>
      <c r="FOH4" s="254"/>
      <c r="FOI4" s="254"/>
      <c r="FOJ4" s="254"/>
      <c r="FOK4" s="254"/>
      <c r="FOL4" s="254"/>
      <c r="FOM4" s="254"/>
      <c r="FON4" s="254"/>
      <c r="FOO4" s="254"/>
      <c r="FOP4" s="254"/>
      <c r="FOQ4" s="254"/>
      <c r="FOR4" s="254"/>
      <c r="FOS4" s="254"/>
      <c r="FOT4" s="254"/>
      <c r="FOU4" s="254"/>
      <c r="FOV4" s="254"/>
      <c r="FOW4" s="254"/>
      <c r="FOX4" s="254"/>
      <c r="FOY4" s="254"/>
      <c r="FOZ4" s="254"/>
      <c r="FPA4" s="254"/>
      <c r="FPB4" s="254"/>
      <c r="FPC4" s="254"/>
      <c r="FPD4" s="254"/>
      <c r="FPE4" s="254"/>
      <c r="FPF4" s="254"/>
      <c r="FPG4" s="254"/>
      <c r="FPH4" s="254"/>
      <c r="FPI4" s="254"/>
      <c r="FPJ4" s="254"/>
      <c r="FPK4" s="254"/>
      <c r="FPL4" s="254"/>
      <c r="FPM4" s="254"/>
      <c r="FPN4" s="254"/>
      <c r="FPO4" s="254"/>
      <c r="FPP4" s="254"/>
      <c r="FPQ4" s="254"/>
      <c r="FPR4" s="254"/>
      <c r="FPS4" s="254"/>
      <c r="FPT4" s="254"/>
      <c r="FPU4" s="254"/>
      <c r="FPV4" s="254"/>
      <c r="FPW4" s="254"/>
      <c r="FPX4" s="254"/>
      <c r="FPY4" s="254"/>
      <c r="FPZ4" s="254"/>
      <c r="FQA4" s="254"/>
      <c r="FQB4" s="254"/>
      <c r="FQC4" s="254"/>
      <c r="FQD4" s="254"/>
      <c r="FQE4" s="254"/>
      <c r="FQF4" s="254"/>
      <c r="FQG4" s="254"/>
      <c r="FQH4" s="254"/>
      <c r="FQI4" s="254"/>
      <c r="FQJ4" s="254"/>
      <c r="FQK4" s="254"/>
      <c r="FQL4" s="254"/>
      <c r="FQM4" s="254"/>
      <c r="FQN4" s="254"/>
      <c r="FQO4" s="254"/>
      <c r="FQP4" s="254"/>
      <c r="FQQ4" s="254"/>
      <c r="FQR4" s="254"/>
      <c r="FQS4" s="254"/>
      <c r="FQT4" s="254"/>
      <c r="FQU4" s="254"/>
      <c r="FQV4" s="254"/>
      <c r="FQW4" s="254"/>
      <c r="FQX4" s="254"/>
      <c r="FQY4" s="254"/>
      <c r="FQZ4" s="254"/>
      <c r="FRA4" s="254"/>
      <c r="FRB4" s="254"/>
      <c r="FRC4" s="254"/>
      <c r="FRD4" s="254"/>
      <c r="FRE4" s="254"/>
      <c r="FRF4" s="254"/>
      <c r="FRG4" s="254"/>
      <c r="FRH4" s="254"/>
      <c r="FRI4" s="254"/>
      <c r="FRJ4" s="254"/>
      <c r="FRK4" s="254"/>
      <c r="FRL4" s="254"/>
      <c r="FRM4" s="254"/>
      <c r="FRN4" s="254"/>
      <c r="FRO4" s="254"/>
      <c r="FRP4" s="254"/>
      <c r="FRQ4" s="254"/>
      <c r="FRR4" s="254"/>
      <c r="FRS4" s="254"/>
      <c r="FRT4" s="254"/>
      <c r="FRU4" s="254"/>
      <c r="FRV4" s="254"/>
      <c r="FRW4" s="254"/>
      <c r="FRX4" s="254"/>
      <c r="FRY4" s="254"/>
      <c r="FRZ4" s="254"/>
      <c r="FSA4" s="254"/>
      <c r="FSB4" s="254"/>
      <c r="FSC4" s="254"/>
      <c r="FSD4" s="254"/>
      <c r="FSE4" s="254"/>
      <c r="FSF4" s="254"/>
      <c r="FSG4" s="254"/>
      <c r="FSH4" s="254"/>
      <c r="FSI4" s="254"/>
      <c r="FSJ4" s="254"/>
      <c r="FSK4" s="254"/>
      <c r="FSL4" s="254"/>
      <c r="FSM4" s="254"/>
      <c r="FSN4" s="254"/>
      <c r="FSO4" s="254"/>
      <c r="FSP4" s="254"/>
      <c r="FSQ4" s="254"/>
      <c r="FSR4" s="254"/>
      <c r="FSS4" s="254"/>
      <c r="FST4" s="254"/>
      <c r="FSU4" s="254"/>
      <c r="FSV4" s="254"/>
      <c r="FSW4" s="254"/>
      <c r="FSX4" s="254"/>
      <c r="FSY4" s="254"/>
      <c r="FSZ4" s="254"/>
      <c r="FTA4" s="254"/>
      <c r="FTB4" s="254"/>
      <c r="FTC4" s="254"/>
      <c r="FTD4" s="254"/>
      <c r="FTE4" s="254"/>
      <c r="FTF4" s="254"/>
      <c r="FTG4" s="254"/>
      <c r="FTH4" s="254"/>
      <c r="FTI4" s="254"/>
      <c r="FTJ4" s="254"/>
      <c r="FTK4" s="254"/>
      <c r="FTL4" s="254"/>
      <c r="FTM4" s="254"/>
      <c r="FTN4" s="254"/>
      <c r="FTO4" s="254"/>
      <c r="FTP4" s="254"/>
      <c r="FTQ4" s="254"/>
      <c r="FTR4" s="254"/>
      <c r="FTS4" s="254"/>
      <c r="FTT4" s="254"/>
      <c r="FTU4" s="254"/>
      <c r="FTV4" s="254"/>
      <c r="FTW4" s="254"/>
      <c r="FTX4" s="254"/>
      <c r="FTY4" s="254"/>
      <c r="FTZ4" s="254"/>
      <c r="FUA4" s="254"/>
      <c r="FUB4" s="254"/>
      <c r="FUC4" s="254"/>
      <c r="FUD4" s="254"/>
      <c r="FUE4" s="254"/>
      <c r="FUF4" s="254"/>
      <c r="FUG4" s="254"/>
      <c r="FUH4" s="254"/>
      <c r="FUI4" s="254"/>
      <c r="FUJ4" s="254"/>
      <c r="FUK4" s="254"/>
      <c r="FUL4" s="254"/>
      <c r="FUM4" s="254"/>
      <c r="FUN4" s="254"/>
      <c r="FUO4" s="254"/>
      <c r="FUP4" s="254"/>
      <c r="FUQ4" s="254"/>
      <c r="FUR4" s="254"/>
      <c r="FUS4" s="254"/>
      <c r="FUT4" s="254"/>
      <c r="FUU4" s="254"/>
      <c r="FUV4" s="254"/>
      <c r="FUW4" s="254"/>
      <c r="FUX4" s="254"/>
      <c r="FUY4" s="254"/>
      <c r="FUZ4" s="254"/>
      <c r="FVA4" s="254"/>
      <c r="FVB4" s="254"/>
      <c r="FVC4" s="254"/>
      <c r="FVD4" s="254"/>
      <c r="FVE4" s="254"/>
      <c r="FVF4" s="254"/>
      <c r="FVG4" s="254"/>
      <c r="FVH4" s="254"/>
      <c r="FVI4" s="254"/>
      <c r="FVJ4" s="254"/>
      <c r="FVK4" s="254"/>
      <c r="FVL4" s="254"/>
      <c r="FVM4" s="254"/>
      <c r="FVN4" s="254"/>
      <c r="FVO4" s="254"/>
      <c r="FVP4" s="254"/>
      <c r="FVQ4" s="254"/>
      <c r="FVR4" s="254"/>
      <c r="FVS4" s="254"/>
      <c r="FVT4" s="254"/>
      <c r="FVU4" s="254"/>
      <c r="FVV4" s="254"/>
      <c r="FVW4" s="254"/>
      <c r="FVX4" s="254"/>
      <c r="FVY4" s="254"/>
      <c r="FVZ4" s="254"/>
      <c r="FWA4" s="254"/>
      <c r="FWB4" s="254"/>
      <c r="FWC4" s="254"/>
      <c r="FWD4" s="254"/>
      <c r="FWE4" s="254"/>
      <c r="FWF4" s="254"/>
      <c r="FWG4" s="254"/>
      <c r="FWH4" s="254"/>
      <c r="FWI4" s="254"/>
      <c r="FWJ4" s="254"/>
      <c r="FWK4" s="254"/>
      <c r="FWL4" s="254"/>
      <c r="FWM4" s="254"/>
      <c r="FWN4" s="254"/>
      <c r="FWO4" s="254"/>
      <c r="FWP4" s="254"/>
      <c r="FWQ4" s="254"/>
      <c r="FWR4" s="254"/>
      <c r="FWS4" s="254"/>
      <c r="FWT4" s="254"/>
      <c r="FWU4" s="254"/>
      <c r="FWV4" s="254"/>
      <c r="FWW4" s="254"/>
      <c r="FWX4" s="254"/>
      <c r="FWY4" s="254"/>
      <c r="FWZ4" s="254"/>
      <c r="FXA4" s="254"/>
      <c r="FXB4" s="254"/>
      <c r="FXC4" s="254"/>
      <c r="FXD4" s="254"/>
      <c r="FXE4" s="254"/>
      <c r="FXF4" s="254"/>
      <c r="FXG4" s="254"/>
      <c r="FXH4" s="254"/>
      <c r="FXI4" s="254"/>
      <c r="FXJ4" s="254"/>
      <c r="FXK4" s="254"/>
      <c r="FXL4" s="254"/>
      <c r="FXM4" s="254"/>
      <c r="FXN4" s="254"/>
      <c r="FXO4" s="254"/>
      <c r="FXP4" s="254"/>
      <c r="FXQ4" s="254"/>
      <c r="FXR4" s="254"/>
      <c r="FXS4" s="254"/>
      <c r="FXT4" s="254"/>
      <c r="FXU4" s="254"/>
      <c r="FXV4" s="254"/>
      <c r="FXW4" s="254"/>
      <c r="FXX4" s="254"/>
      <c r="FXY4" s="254"/>
      <c r="FXZ4" s="254"/>
      <c r="FYA4" s="254"/>
      <c r="FYB4" s="254"/>
      <c r="FYC4" s="254"/>
      <c r="FYD4" s="254"/>
      <c r="FYE4" s="254"/>
      <c r="FYF4" s="254"/>
      <c r="FYG4" s="254"/>
      <c r="FYH4" s="254"/>
      <c r="FYI4" s="254"/>
      <c r="FYJ4" s="254"/>
      <c r="FYK4" s="254"/>
      <c r="FYL4" s="254"/>
      <c r="FYM4" s="254"/>
      <c r="FYN4" s="254"/>
      <c r="FYO4" s="254"/>
      <c r="FYP4" s="254"/>
      <c r="FYQ4" s="254"/>
      <c r="FYR4" s="254"/>
      <c r="FYS4" s="254"/>
      <c r="FYT4" s="254"/>
      <c r="FYU4" s="254"/>
      <c r="FYV4" s="254"/>
      <c r="FYW4" s="254"/>
      <c r="FYX4" s="254"/>
      <c r="FYY4" s="254"/>
      <c r="FYZ4" s="254"/>
      <c r="FZA4" s="254"/>
      <c r="FZB4" s="254"/>
      <c r="FZC4" s="254"/>
      <c r="FZD4" s="254"/>
      <c r="FZE4" s="254"/>
      <c r="FZF4" s="254"/>
      <c r="FZG4" s="254"/>
      <c r="FZH4" s="254"/>
      <c r="FZI4" s="254"/>
      <c r="FZJ4" s="254"/>
      <c r="FZK4" s="254"/>
      <c r="FZL4" s="254"/>
      <c r="FZM4" s="254"/>
      <c r="FZN4" s="254"/>
      <c r="FZO4" s="254"/>
      <c r="FZP4" s="254"/>
      <c r="FZQ4" s="254"/>
      <c r="FZR4" s="254"/>
      <c r="FZS4" s="254"/>
      <c r="FZT4" s="254"/>
      <c r="FZU4" s="254"/>
      <c r="FZV4" s="254"/>
      <c r="FZW4" s="254"/>
      <c r="FZX4" s="254"/>
      <c r="FZY4" s="254"/>
      <c r="FZZ4" s="254"/>
      <c r="GAA4" s="254"/>
      <c r="GAB4" s="254"/>
      <c r="GAC4" s="254"/>
      <c r="GAD4" s="254"/>
      <c r="GAE4" s="254"/>
      <c r="GAF4" s="254"/>
      <c r="GAG4" s="254"/>
      <c r="GAH4" s="254"/>
      <c r="GAI4" s="254"/>
      <c r="GAJ4" s="254"/>
      <c r="GAK4" s="254"/>
      <c r="GAL4" s="254"/>
      <c r="GAM4" s="254"/>
      <c r="GAN4" s="254"/>
      <c r="GAO4" s="254"/>
      <c r="GAP4" s="254"/>
      <c r="GAQ4" s="254"/>
      <c r="GAR4" s="254"/>
      <c r="GAS4" s="254"/>
      <c r="GAT4" s="254"/>
      <c r="GAU4" s="254"/>
      <c r="GAV4" s="254"/>
      <c r="GAW4" s="254"/>
      <c r="GAX4" s="254"/>
      <c r="GAY4" s="254"/>
      <c r="GAZ4" s="254"/>
      <c r="GBA4" s="254"/>
      <c r="GBB4" s="254"/>
      <c r="GBC4" s="254"/>
      <c r="GBD4" s="254"/>
      <c r="GBE4" s="254"/>
      <c r="GBF4" s="254"/>
      <c r="GBG4" s="254"/>
      <c r="GBH4" s="254"/>
      <c r="GBI4" s="254"/>
      <c r="GBJ4" s="254"/>
      <c r="GBK4" s="254"/>
      <c r="GBL4" s="254"/>
      <c r="GBM4" s="254"/>
      <c r="GBN4" s="254"/>
      <c r="GBO4" s="254"/>
      <c r="GBP4" s="254"/>
      <c r="GBQ4" s="254"/>
      <c r="GBR4" s="254"/>
      <c r="GBS4" s="254"/>
      <c r="GBT4" s="254"/>
      <c r="GBU4" s="254"/>
      <c r="GBV4" s="254"/>
      <c r="GBW4" s="254"/>
      <c r="GBX4" s="254"/>
      <c r="GBY4" s="254"/>
      <c r="GBZ4" s="254"/>
      <c r="GCA4" s="254"/>
      <c r="GCB4" s="254"/>
      <c r="GCC4" s="254"/>
      <c r="GCD4" s="254"/>
      <c r="GCE4" s="254"/>
      <c r="GCF4" s="254"/>
      <c r="GCG4" s="254"/>
      <c r="GCH4" s="254"/>
      <c r="GCI4" s="254"/>
      <c r="GCJ4" s="254"/>
      <c r="GCK4" s="254"/>
      <c r="GCL4" s="254"/>
      <c r="GCM4" s="254"/>
      <c r="GCN4" s="254"/>
      <c r="GCO4" s="254"/>
      <c r="GCP4" s="254"/>
      <c r="GCQ4" s="254"/>
      <c r="GCR4" s="254"/>
      <c r="GCS4" s="254"/>
      <c r="GCT4" s="254"/>
      <c r="GCU4" s="254"/>
      <c r="GCV4" s="254"/>
      <c r="GCW4" s="254"/>
      <c r="GCX4" s="254"/>
      <c r="GCY4" s="254"/>
      <c r="GCZ4" s="254"/>
      <c r="GDA4" s="254"/>
      <c r="GDB4" s="254"/>
      <c r="GDC4" s="254"/>
      <c r="GDD4" s="254"/>
      <c r="GDE4" s="254"/>
      <c r="GDF4" s="254"/>
      <c r="GDG4" s="254"/>
      <c r="GDH4" s="254"/>
      <c r="GDI4" s="254"/>
      <c r="GDJ4" s="254"/>
      <c r="GDK4" s="254"/>
      <c r="GDL4" s="254"/>
      <c r="GDM4" s="254"/>
      <c r="GDN4" s="254"/>
      <c r="GDO4" s="254"/>
      <c r="GDP4" s="254"/>
      <c r="GDQ4" s="254"/>
      <c r="GDR4" s="254"/>
      <c r="GDS4" s="254"/>
      <c r="GDT4" s="254"/>
      <c r="GDU4" s="254"/>
      <c r="GDV4" s="254"/>
      <c r="GDW4" s="254"/>
      <c r="GDX4" s="254"/>
      <c r="GDY4" s="254"/>
      <c r="GDZ4" s="254"/>
      <c r="GEA4" s="254"/>
      <c r="GEB4" s="254"/>
      <c r="GEC4" s="254"/>
      <c r="GED4" s="254"/>
      <c r="GEE4" s="254"/>
      <c r="GEF4" s="254"/>
      <c r="GEG4" s="254"/>
      <c r="GEH4" s="254"/>
      <c r="GEI4" s="254"/>
      <c r="GEJ4" s="254"/>
      <c r="GEK4" s="254"/>
      <c r="GEL4" s="254"/>
      <c r="GEM4" s="254"/>
      <c r="GEN4" s="254"/>
      <c r="GEO4" s="254"/>
      <c r="GEP4" s="254"/>
      <c r="GEQ4" s="254"/>
      <c r="GER4" s="254"/>
      <c r="GES4" s="254"/>
      <c r="GET4" s="254"/>
      <c r="GEU4" s="254"/>
      <c r="GEV4" s="254"/>
      <c r="GEW4" s="254"/>
      <c r="GEX4" s="254"/>
      <c r="GEY4" s="254"/>
      <c r="GEZ4" s="254"/>
      <c r="GFA4" s="254"/>
      <c r="GFB4" s="254"/>
      <c r="GFC4" s="254"/>
      <c r="GFD4" s="254"/>
      <c r="GFE4" s="254"/>
      <c r="GFF4" s="254"/>
      <c r="GFG4" s="254"/>
      <c r="GFH4" s="254"/>
      <c r="GFI4" s="254"/>
      <c r="GFJ4" s="254"/>
      <c r="GFK4" s="254"/>
      <c r="GFL4" s="254"/>
      <c r="GFM4" s="254"/>
      <c r="GFN4" s="254"/>
      <c r="GFO4" s="254"/>
      <c r="GFP4" s="254"/>
      <c r="GFQ4" s="254"/>
      <c r="GFR4" s="254"/>
      <c r="GFS4" s="254"/>
      <c r="GFT4" s="254"/>
      <c r="GFU4" s="254"/>
      <c r="GFV4" s="254"/>
      <c r="GFW4" s="254"/>
      <c r="GFX4" s="254"/>
      <c r="GFY4" s="254"/>
      <c r="GFZ4" s="254"/>
      <c r="GGA4" s="254"/>
      <c r="GGB4" s="254"/>
      <c r="GGC4" s="254"/>
      <c r="GGD4" s="254"/>
      <c r="GGE4" s="254"/>
      <c r="GGF4" s="254"/>
      <c r="GGG4" s="254"/>
      <c r="GGH4" s="254"/>
      <c r="GGI4" s="254"/>
      <c r="GGJ4" s="254"/>
      <c r="GGK4" s="254"/>
      <c r="GGL4" s="254"/>
      <c r="GGM4" s="254"/>
      <c r="GGN4" s="254"/>
      <c r="GGO4" s="254"/>
      <c r="GGP4" s="254"/>
      <c r="GGQ4" s="254"/>
      <c r="GGR4" s="254"/>
      <c r="GGS4" s="254"/>
      <c r="GGT4" s="254"/>
      <c r="GGU4" s="254"/>
      <c r="GGV4" s="254"/>
      <c r="GGW4" s="254"/>
      <c r="GGX4" s="254"/>
      <c r="GGY4" s="254"/>
      <c r="GGZ4" s="254"/>
      <c r="GHA4" s="254"/>
      <c r="GHB4" s="254"/>
      <c r="GHC4" s="254"/>
      <c r="GHD4" s="254"/>
      <c r="GHE4" s="254"/>
      <c r="GHF4" s="254"/>
      <c r="GHG4" s="254"/>
      <c r="GHH4" s="254"/>
      <c r="GHI4" s="254"/>
      <c r="GHJ4" s="254"/>
      <c r="GHK4" s="254"/>
      <c r="GHL4" s="254"/>
      <c r="GHM4" s="254"/>
      <c r="GHN4" s="254"/>
      <c r="GHO4" s="254"/>
      <c r="GHP4" s="254"/>
      <c r="GHQ4" s="254"/>
      <c r="GHR4" s="254"/>
      <c r="GHS4" s="254"/>
      <c r="GHT4" s="254"/>
      <c r="GHU4" s="254"/>
      <c r="GHV4" s="254"/>
      <c r="GHW4" s="254"/>
      <c r="GHX4" s="254"/>
      <c r="GHY4" s="254"/>
      <c r="GHZ4" s="254"/>
      <c r="GIA4" s="254"/>
      <c r="GIB4" s="254"/>
      <c r="GIC4" s="254"/>
      <c r="GID4" s="254"/>
      <c r="GIE4" s="254"/>
      <c r="GIF4" s="254"/>
      <c r="GIG4" s="254"/>
      <c r="GIH4" s="254"/>
      <c r="GII4" s="254"/>
      <c r="GIJ4" s="254"/>
      <c r="GIK4" s="254"/>
      <c r="GIL4" s="254"/>
      <c r="GIM4" s="254"/>
      <c r="GIN4" s="254"/>
      <c r="GIO4" s="254"/>
      <c r="GIP4" s="254"/>
      <c r="GIQ4" s="254"/>
      <c r="GIR4" s="254"/>
      <c r="GIS4" s="254"/>
      <c r="GIT4" s="254"/>
      <c r="GIU4" s="254"/>
      <c r="GIV4" s="254"/>
      <c r="GIW4" s="254"/>
      <c r="GIX4" s="254"/>
      <c r="GIY4" s="254"/>
      <c r="GIZ4" s="254"/>
      <c r="GJA4" s="254"/>
      <c r="GJB4" s="254"/>
      <c r="GJC4" s="254"/>
      <c r="GJD4" s="254"/>
      <c r="GJE4" s="254"/>
      <c r="GJF4" s="254"/>
      <c r="GJG4" s="254"/>
      <c r="GJH4" s="254"/>
      <c r="GJI4" s="254"/>
      <c r="GJJ4" s="254"/>
      <c r="GJK4" s="254"/>
      <c r="GJL4" s="254"/>
      <c r="GJM4" s="254"/>
      <c r="GJN4" s="254"/>
      <c r="GJO4" s="254"/>
      <c r="GJP4" s="254"/>
      <c r="GJQ4" s="254"/>
      <c r="GJR4" s="254"/>
      <c r="GJS4" s="254"/>
      <c r="GJT4" s="254"/>
      <c r="GJU4" s="254"/>
      <c r="GJV4" s="254"/>
      <c r="GJW4" s="254"/>
      <c r="GJX4" s="254"/>
      <c r="GJY4" s="254"/>
      <c r="GJZ4" s="254"/>
      <c r="GKA4" s="254"/>
      <c r="GKB4" s="254"/>
      <c r="GKC4" s="254"/>
      <c r="GKD4" s="254"/>
      <c r="GKE4" s="254"/>
      <c r="GKF4" s="254"/>
      <c r="GKG4" s="254"/>
      <c r="GKH4" s="254"/>
      <c r="GKI4" s="254"/>
      <c r="GKJ4" s="254"/>
      <c r="GKK4" s="254"/>
      <c r="GKL4" s="254"/>
      <c r="GKM4" s="254"/>
      <c r="GKN4" s="254"/>
      <c r="GKO4" s="254"/>
      <c r="GKP4" s="254"/>
      <c r="GKQ4" s="254"/>
      <c r="GKR4" s="254"/>
      <c r="GKS4" s="254"/>
      <c r="GKT4" s="254"/>
      <c r="GKU4" s="254"/>
      <c r="GKV4" s="254"/>
      <c r="GKW4" s="254"/>
      <c r="GKX4" s="254"/>
      <c r="GKY4" s="254"/>
      <c r="GKZ4" s="254"/>
      <c r="GLA4" s="254"/>
      <c r="GLB4" s="254"/>
      <c r="GLC4" s="254"/>
      <c r="GLD4" s="254"/>
      <c r="GLE4" s="254"/>
      <c r="GLF4" s="254"/>
      <c r="GLG4" s="254"/>
      <c r="GLH4" s="254"/>
      <c r="GLI4" s="254"/>
      <c r="GLJ4" s="254"/>
      <c r="GLK4" s="254"/>
      <c r="GLL4" s="254"/>
      <c r="GLM4" s="254"/>
      <c r="GLN4" s="254"/>
      <c r="GLO4" s="254"/>
      <c r="GLP4" s="254"/>
      <c r="GLQ4" s="254"/>
      <c r="GLR4" s="254"/>
      <c r="GLS4" s="254"/>
      <c r="GLT4" s="254"/>
      <c r="GLU4" s="254"/>
      <c r="GLV4" s="254"/>
      <c r="GLW4" s="254"/>
      <c r="GLX4" s="254"/>
      <c r="GLY4" s="254"/>
      <c r="GLZ4" s="254"/>
      <c r="GMA4" s="254"/>
      <c r="GMB4" s="254"/>
      <c r="GMC4" s="254"/>
      <c r="GMD4" s="254"/>
      <c r="GME4" s="254"/>
      <c r="GMF4" s="254"/>
      <c r="GMG4" s="254"/>
      <c r="GMH4" s="254"/>
      <c r="GMI4" s="254"/>
      <c r="GMJ4" s="254"/>
      <c r="GMK4" s="254"/>
      <c r="GML4" s="254"/>
      <c r="GMM4" s="254"/>
      <c r="GMN4" s="254"/>
      <c r="GMO4" s="254"/>
      <c r="GMP4" s="254"/>
      <c r="GMQ4" s="254"/>
      <c r="GMR4" s="254"/>
      <c r="GMS4" s="254"/>
      <c r="GMT4" s="254"/>
      <c r="GMU4" s="254"/>
      <c r="GMV4" s="254"/>
      <c r="GMW4" s="254"/>
      <c r="GMX4" s="254"/>
      <c r="GMY4" s="254"/>
      <c r="GMZ4" s="254"/>
      <c r="GNA4" s="254"/>
      <c r="GNB4" s="254"/>
      <c r="GNC4" s="254"/>
      <c r="GND4" s="254"/>
      <c r="GNE4" s="254"/>
      <c r="GNF4" s="254"/>
      <c r="GNG4" s="254"/>
      <c r="GNH4" s="254"/>
      <c r="GNI4" s="254"/>
      <c r="GNJ4" s="254"/>
      <c r="GNK4" s="254"/>
      <c r="GNL4" s="254"/>
      <c r="GNM4" s="254"/>
      <c r="GNN4" s="254"/>
      <c r="GNO4" s="254"/>
      <c r="GNP4" s="254"/>
      <c r="GNQ4" s="254"/>
      <c r="GNR4" s="254"/>
      <c r="GNS4" s="254"/>
      <c r="GNT4" s="254"/>
      <c r="GNU4" s="254"/>
      <c r="GNV4" s="254"/>
      <c r="GNW4" s="254"/>
      <c r="GNX4" s="254"/>
      <c r="GNY4" s="254"/>
      <c r="GNZ4" s="254"/>
      <c r="GOA4" s="254"/>
      <c r="GOB4" s="254"/>
      <c r="GOC4" s="254"/>
      <c r="GOD4" s="254"/>
      <c r="GOE4" s="254"/>
      <c r="GOF4" s="254"/>
      <c r="GOG4" s="254"/>
      <c r="GOH4" s="254"/>
      <c r="GOI4" s="254"/>
      <c r="GOJ4" s="254"/>
      <c r="GOK4" s="254"/>
      <c r="GOL4" s="254"/>
      <c r="GOM4" s="254"/>
      <c r="GON4" s="254"/>
      <c r="GOO4" s="254"/>
      <c r="GOP4" s="254"/>
      <c r="GOQ4" s="254"/>
      <c r="GOR4" s="254"/>
      <c r="GOS4" s="254"/>
      <c r="GOT4" s="254"/>
      <c r="GOU4" s="254"/>
      <c r="GOV4" s="254"/>
      <c r="GOW4" s="254"/>
      <c r="GOX4" s="254"/>
      <c r="GOY4" s="254"/>
      <c r="GOZ4" s="254"/>
      <c r="GPA4" s="254"/>
      <c r="GPB4" s="254"/>
      <c r="GPC4" s="254"/>
      <c r="GPD4" s="254"/>
      <c r="GPE4" s="254"/>
      <c r="GPF4" s="254"/>
      <c r="GPG4" s="254"/>
      <c r="GPH4" s="254"/>
      <c r="GPI4" s="254"/>
      <c r="GPJ4" s="254"/>
      <c r="GPK4" s="254"/>
      <c r="GPL4" s="254"/>
      <c r="GPM4" s="254"/>
      <c r="GPN4" s="254"/>
      <c r="GPO4" s="254"/>
      <c r="GPP4" s="254"/>
      <c r="GPQ4" s="254"/>
      <c r="GPR4" s="254"/>
      <c r="GPS4" s="254"/>
      <c r="GPT4" s="254"/>
      <c r="GPU4" s="254"/>
      <c r="GPV4" s="254"/>
      <c r="GPW4" s="254"/>
      <c r="GPX4" s="254"/>
      <c r="GPY4" s="254"/>
      <c r="GPZ4" s="254"/>
      <c r="GQA4" s="254"/>
      <c r="GQB4" s="254"/>
      <c r="GQC4" s="254"/>
      <c r="GQD4" s="254"/>
      <c r="GQE4" s="254"/>
      <c r="GQF4" s="254"/>
      <c r="GQG4" s="254"/>
      <c r="GQH4" s="254"/>
      <c r="GQI4" s="254"/>
      <c r="GQJ4" s="254"/>
      <c r="GQK4" s="254"/>
      <c r="GQL4" s="254"/>
      <c r="GQM4" s="254"/>
      <c r="GQN4" s="254"/>
      <c r="GQO4" s="254"/>
      <c r="GQP4" s="254"/>
      <c r="GQQ4" s="254"/>
      <c r="GQR4" s="254"/>
      <c r="GQS4" s="254"/>
      <c r="GQT4" s="254"/>
      <c r="GQU4" s="254"/>
      <c r="GQV4" s="254"/>
      <c r="GQW4" s="254"/>
      <c r="GQX4" s="254"/>
      <c r="GQY4" s="254"/>
      <c r="GQZ4" s="254"/>
      <c r="GRA4" s="254"/>
      <c r="GRB4" s="254"/>
      <c r="GRC4" s="254"/>
      <c r="GRD4" s="254"/>
      <c r="GRE4" s="254"/>
      <c r="GRF4" s="254"/>
      <c r="GRG4" s="254"/>
      <c r="GRH4" s="254"/>
      <c r="GRI4" s="254"/>
      <c r="GRJ4" s="254"/>
      <c r="GRK4" s="254"/>
      <c r="GRL4" s="254"/>
      <c r="GRM4" s="254"/>
      <c r="GRN4" s="254"/>
      <c r="GRO4" s="254"/>
      <c r="GRP4" s="254"/>
      <c r="GRQ4" s="254"/>
      <c r="GRR4" s="254"/>
      <c r="GRS4" s="254"/>
      <c r="GRT4" s="254"/>
      <c r="GRU4" s="254"/>
      <c r="GRV4" s="254"/>
      <c r="GRW4" s="254"/>
      <c r="GRX4" s="254"/>
      <c r="GRY4" s="254"/>
      <c r="GRZ4" s="254"/>
      <c r="GSA4" s="254"/>
      <c r="GSB4" s="254"/>
      <c r="GSC4" s="254"/>
      <c r="GSD4" s="254"/>
      <c r="GSE4" s="254"/>
      <c r="GSF4" s="254"/>
      <c r="GSG4" s="254"/>
      <c r="GSH4" s="254"/>
      <c r="GSI4" s="254"/>
      <c r="GSJ4" s="254"/>
      <c r="GSK4" s="254"/>
      <c r="GSL4" s="254"/>
      <c r="GSM4" s="254"/>
      <c r="GSN4" s="254"/>
      <c r="GSO4" s="254"/>
      <c r="GSP4" s="254"/>
      <c r="GSQ4" s="254"/>
      <c r="GSR4" s="254"/>
      <c r="GSS4" s="254"/>
      <c r="GST4" s="254"/>
      <c r="GSU4" s="254"/>
      <c r="GSV4" s="254"/>
      <c r="GSW4" s="254"/>
      <c r="GSX4" s="254"/>
      <c r="GSY4" s="254"/>
      <c r="GSZ4" s="254"/>
      <c r="GTA4" s="254"/>
      <c r="GTB4" s="254"/>
      <c r="GTC4" s="254"/>
      <c r="GTD4" s="254"/>
      <c r="GTE4" s="254"/>
      <c r="GTF4" s="254"/>
      <c r="GTG4" s="254"/>
      <c r="GTH4" s="254"/>
      <c r="GTI4" s="254"/>
      <c r="GTJ4" s="254"/>
      <c r="GTK4" s="254"/>
      <c r="GTL4" s="254"/>
      <c r="GTM4" s="254"/>
      <c r="GTN4" s="254"/>
      <c r="GTO4" s="254"/>
      <c r="GTP4" s="254"/>
      <c r="GTQ4" s="254"/>
      <c r="GTR4" s="254"/>
      <c r="GTS4" s="254"/>
      <c r="GTT4" s="254"/>
      <c r="GTU4" s="254"/>
      <c r="GTV4" s="254"/>
      <c r="GTW4" s="254"/>
      <c r="GTX4" s="254"/>
      <c r="GTY4" s="254"/>
      <c r="GTZ4" s="254"/>
      <c r="GUA4" s="254"/>
      <c r="GUB4" s="254"/>
      <c r="GUC4" s="254"/>
      <c r="GUD4" s="254"/>
      <c r="GUE4" s="254"/>
      <c r="GUF4" s="254"/>
      <c r="GUG4" s="254"/>
      <c r="GUH4" s="254"/>
      <c r="GUI4" s="254"/>
      <c r="GUJ4" s="254"/>
      <c r="GUK4" s="254"/>
      <c r="GUL4" s="254"/>
      <c r="GUM4" s="254"/>
      <c r="GUN4" s="254"/>
      <c r="GUO4" s="254"/>
      <c r="GUP4" s="254"/>
      <c r="GUQ4" s="254"/>
      <c r="GUR4" s="254"/>
      <c r="GUS4" s="254"/>
      <c r="GUT4" s="254"/>
      <c r="GUU4" s="254"/>
      <c r="GUV4" s="254"/>
      <c r="GUW4" s="254"/>
      <c r="GUX4" s="254"/>
      <c r="GUY4" s="254"/>
      <c r="GUZ4" s="254"/>
      <c r="GVA4" s="254"/>
      <c r="GVB4" s="254"/>
      <c r="GVC4" s="254"/>
      <c r="GVD4" s="254"/>
      <c r="GVE4" s="254"/>
      <c r="GVF4" s="254"/>
      <c r="GVG4" s="254"/>
      <c r="GVH4" s="254"/>
      <c r="GVI4" s="254"/>
      <c r="GVJ4" s="254"/>
      <c r="GVK4" s="254"/>
      <c r="GVL4" s="254"/>
      <c r="GVM4" s="254"/>
      <c r="GVN4" s="254"/>
      <c r="GVO4" s="254"/>
      <c r="GVP4" s="254"/>
      <c r="GVQ4" s="254"/>
      <c r="GVR4" s="254"/>
      <c r="GVS4" s="254"/>
      <c r="GVT4" s="254"/>
      <c r="GVU4" s="254"/>
      <c r="GVV4" s="254"/>
      <c r="GVW4" s="254"/>
      <c r="GVX4" s="254"/>
      <c r="GVY4" s="254"/>
      <c r="GVZ4" s="254"/>
      <c r="GWA4" s="254"/>
      <c r="GWB4" s="254"/>
      <c r="GWC4" s="254"/>
      <c r="GWD4" s="254"/>
      <c r="GWE4" s="254"/>
      <c r="GWF4" s="254"/>
      <c r="GWG4" s="254"/>
      <c r="GWH4" s="254"/>
      <c r="GWI4" s="254"/>
      <c r="GWJ4" s="254"/>
      <c r="GWK4" s="254"/>
      <c r="GWL4" s="254"/>
      <c r="GWM4" s="254"/>
      <c r="GWN4" s="254"/>
      <c r="GWO4" s="254"/>
      <c r="GWP4" s="254"/>
      <c r="GWQ4" s="254"/>
      <c r="GWR4" s="254"/>
      <c r="GWS4" s="254"/>
      <c r="GWT4" s="254"/>
      <c r="GWU4" s="254"/>
      <c r="GWV4" s="254"/>
      <c r="GWW4" s="254"/>
      <c r="GWX4" s="254"/>
      <c r="GWY4" s="254"/>
      <c r="GWZ4" s="254"/>
      <c r="GXA4" s="254"/>
      <c r="GXB4" s="254"/>
      <c r="GXC4" s="254"/>
      <c r="GXD4" s="254"/>
      <c r="GXE4" s="254"/>
      <c r="GXF4" s="254"/>
      <c r="GXG4" s="254"/>
      <c r="GXH4" s="254"/>
      <c r="GXI4" s="254"/>
      <c r="GXJ4" s="254"/>
      <c r="GXK4" s="254"/>
      <c r="GXL4" s="254"/>
      <c r="GXM4" s="254"/>
      <c r="GXN4" s="254"/>
      <c r="GXO4" s="254"/>
      <c r="GXP4" s="254"/>
      <c r="GXQ4" s="254"/>
      <c r="GXR4" s="254"/>
      <c r="GXS4" s="254"/>
      <c r="GXT4" s="254"/>
      <c r="GXU4" s="254"/>
      <c r="GXV4" s="254"/>
      <c r="GXW4" s="254"/>
      <c r="GXX4" s="254"/>
      <c r="GXY4" s="254"/>
      <c r="GXZ4" s="254"/>
      <c r="GYA4" s="254"/>
      <c r="GYB4" s="254"/>
      <c r="GYC4" s="254"/>
      <c r="GYD4" s="254"/>
      <c r="GYE4" s="254"/>
      <c r="GYF4" s="254"/>
      <c r="GYG4" s="254"/>
      <c r="GYH4" s="254"/>
      <c r="GYI4" s="254"/>
      <c r="GYJ4" s="254"/>
      <c r="GYK4" s="254"/>
      <c r="GYL4" s="254"/>
      <c r="GYM4" s="254"/>
      <c r="GYN4" s="254"/>
      <c r="GYO4" s="254"/>
      <c r="GYP4" s="254"/>
      <c r="GYQ4" s="254"/>
      <c r="GYR4" s="254"/>
      <c r="GYS4" s="254"/>
      <c r="GYT4" s="254"/>
      <c r="GYU4" s="254"/>
      <c r="GYV4" s="254"/>
      <c r="GYW4" s="254"/>
      <c r="GYX4" s="254"/>
      <c r="GYY4" s="254"/>
      <c r="GYZ4" s="254"/>
      <c r="GZA4" s="254"/>
      <c r="GZB4" s="254"/>
      <c r="GZC4" s="254"/>
      <c r="GZD4" s="254"/>
      <c r="GZE4" s="254"/>
      <c r="GZF4" s="254"/>
      <c r="GZG4" s="254"/>
      <c r="GZH4" s="254"/>
      <c r="GZI4" s="254"/>
      <c r="GZJ4" s="254"/>
      <c r="GZK4" s="254"/>
      <c r="GZL4" s="254"/>
      <c r="GZM4" s="254"/>
      <c r="GZN4" s="254"/>
      <c r="GZO4" s="254"/>
      <c r="GZP4" s="254"/>
      <c r="GZQ4" s="254"/>
      <c r="GZR4" s="254"/>
      <c r="GZS4" s="254"/>
      <c r="GZT4" s="254"/>
      <c r="GZU4" s="254"/>
      <c r="GZV4" s="254"/>
      <c r="GZW4" s="254"/>
      <c r="GZX4" s="254"/>
      <c r="GZY4" s="254"/>
      <c r="GZZ4" s="254"/>
      <c r="HAA4" s="254"/>
      <c r="HAB4" s="254"/>
      <c r="HAC4" s="254"/>
      <c r="HAD4" s="254"/>
      <c r="HAE4" s="254"/>
      <c r="HAF4" s="254"/>
      <c r="HAG4" s="254"/>
      <c r="HAH4" s="254"/>
      <c r="HAI4" s="254"/>
      <c r="HAJ4" s="254"/>
      <c r="HAK4" s="254"/>
      <c r="HAL4" s="254"/>
      <c r="HAM4" s="254"/>
      <c r="HAN4" s="254"/>
      <c r="HAO4" s="254"/>
      <c r="HAP4" s="254"/>
      <c r="HAQ4" s="254"/>
      <c r="HAR4" s="254"/>
      <c r="HAS4" s="254"/>
      <c r="HAT4" s="254"/>
      <c r="HAU4" s="254"/>
      <c r="HAV4" s="254"/>
      <c r="HAW4" s="254"/>
      <c r="HAX4" s="254"/>
      <c r="HAY4" s="254"/>
      <c r="HAZ4" s="254"/>
      <c r="HBA4" s="254"/>
      <c r="HBB4" s="254"/>
      <c r="HBC4" s="254"/>
      <c r="HBD4" s="254"/>
      <c r="HBE4" s="254"/>
      <c r="HBF4" s="254"/>
      <c r="HBG4" s="254"/>
      <c r="HBH4" s="254"/>
      <c r="HBI4" s="254"/>
      <c r="HBJ4" s="254"/>
      <c r="HBK4" s="254"/>
      <c r="HBL4" s="254"/>
      <c r="HBM4" s="254"/>
      <c r="HBN4" s="254"/>
      <c r="HBO4" s="254"/>
      <c r="HBP4" s="254"/>
      <c r="HBQ4" s="254"/>
      <c r="HBR4" s="254"/>
      <c r="HBS4" s="254"/>
      <c r="HBT4" s="254"/>
      <c r="HBU4" s="254"/>
      <c r="HBV4" s="254"/>
      <c r="HBW4" s="254"/>
      <c r="HBX4" s="254"/>
      <c r="HBY4" s="254"/>
      <c r="HBZ4" s="254"/>
      <c r="HCA4" s="254"/>
      <c r="HCB4" s="254"/>
      <c r="HCC4" s="254"/>
      <c r="HCD4" s="254"/>
      <c r="HCE4" s="254"/>
      <c r="HCF4" s="254"/>
      <c r="HCG4" s="254"/>
      <c r="HCH4" s="254"/>
      <c r="HCI4" s="254"/>
      <c r="HCJ4" s="254"/>
      <c r="HCK4" s="254"/>
      <c r="HCL4" s="254"/>
      <c r="HCM4" s="254"/>
      <c r="HCN4" s="254"/>
      <c r="HCO4" s="254"/>
      <c r="HCP4" s="254"/>
      <c r="HCQ4" s="254"/>
      <c r="HCR4" s="254"/>
      <c r="HCS4" s="254"/>
      <c r="HCT4" s="254"/>
      <c r="HCU4" s="254"/>
      <c r="HCV4" s="254"/>
      <c r="HCW4" s="254"/>
      <c r="HCX4" s="254"/>
      <c r="HCY4" s="254"/>
      <c r="HCZ4" s="254"/>
      <c r="HDA4" s="254"/>
      <c r="HDB4" s="254"/>
      <c r="HDC4" s="254"/>
      <c r="HDD4" s="254"/>
      <c r="HDE4" s="254"/>
      <c r="HDF4" s="254"/>
      <c r="HDG4" s="254"/>
      <c r="HDH4" s="254"/>
      <c r="HDI4" s="254"/>
      <c r="HDJ4" s="254"/>
      <c r="HDK4" s="254"/>
      <c r="HDL4" s="254"/>
      <c r="HDM4" s="254"/>
      <c r="HDN4" s="254"/>
      <c r="HDO4" s="254"/>
      <c r="HDP4" s="254"/>
      <c r="HDQ4" s="254"/>
      <c r="HDR4" s="254"/>
      <c r="HDS4" s="254"/>
      <c r="HDT4" s="254"/>
      <c r="HDU4" s="254"/>
      <c r="HDV4" s="254"/>
      <c r="HDW4" s="254"/>
      <c r="HDX4" s="254"/>
      <c r="HDY4" s="254"/>
      <c r="HDZ4" s="254"/>
      <c r="HEA4" s="254"/>
      <c r="HEB4" s="254"/>
      <c r="HEC4" s="254"/>
      <c r="HED4" s="254"/>
      <c r="HEE4" s="254"/>
      <c r="HEF4" s="254"/>
      <c r="HEG4" s="254"/>
      <c r="HEH4" s="254"/>
      <c r="HEI4" s="254"/>
      <c r="HEJ4" s="254"/>
      <c r="HEK4" s="254"/>
      <c r="HEL4" s="254"/>
      <c r="HEM4" s="254"/>
      <c r="HEN4" s="254"/>
      <c r="HEO4" s="254"/>
      <c r="HEP4" s="254"/>
      <c r="HEQ4" s="254"/>
      <c r="HER4" s="254"/>
      <c r="HES4" s="254"/>
      <c r="HET4" s="254"/>
      <c r="HEU4" s="254"/>
      <c r="HEV4" s="254"/>
      <c r="HEW4" s="254"/>
      <c r="HEX4" s="254"/>
      <c r="HEY4" s="254"/>
      <c r="HEZ4" s="254"/>
      <c r="HFA4" s="254"/>
      <c r="HFB4" s="254"/>
      <c r="HFC4" s="254"/>
      <c r="HFD4" s="254"/>
      <c r="HFE4" s="254"/>
      <c r="HFF4" s="254"/>
      <c r="HFG4" s="254"/>
      <c r="HFH4" s="254"/>
      <c r="HFI4" s="254"/>
      <c r="HFJ4" s="254"/>
      <c r="HFK4" s="254"/>
      <c r="HFL4" s="254"/>
      <c r="HFM4" s="254"/>
      <c r="HFN4" s="254"/>
      <c r="HFO4" s="254"/>
      <c r="HFP4" s="254"/>
      <c r="HFQ4" s="254"/>
      <c r="HFR4" s="254"/>
      <c r="HFS4" s="254"/>
      <c r="HFT4" s="254"/>
      <c r="HFU4" s="254"/>
      <c r="HFV4" s="254"/>
      <c r="HFW4" s="254"/>
      <c r="HFX4" s="254"/>
      <c r="HFY4" s="254"/>
      <c r="HFZ4" s="254"/>
      <c r="HGA4" s="254"/>
      <c r="HGB4" s="254"/>
      <c r="HGC4" s="254"/>
      <c r="HGD4" s="254"/>
      <c r="HGE4" s="254"/>
      <c r="HGF4" s="254"/>
      <c r="HGG4" s="254"/>
      <c r="HGH4" s="254"/>
      <c r="HGI4" s="254"/>
      <c r="HGJ4" s="254"/>
      <c r="HGK4" s="254"/>
      <c r="HGL4" s="254"/>
      <c r="HGM4" s="254"/>
      <c r="HGN4" s="254"/>
      <c r="HGO4" s="254"/>
      <c r="HGP4" s="254"/>
      <c r="HGQ4" s="254"/>
      <c r="HGR4" s="254"/>
      <c r="HGS4" s="254"/>
      <c r="HGT4" s="254"/>
      <c r="HGU4" s="254"/>
      <c r="HGV4" s="254"/>
      <c r="HGW4" s="254"/>
      <c r="HGX4" s="254"/>
      <c r="HGY4" s="254"/>
      <c r="HGZ4" s="254"/>
      <c r="HHA4" s="254"/>
      <c r="HHB4" s="254"/>
      <c r="HHC4" s="254"/>
      <c r="HHD4" s="254"/>
      <c r="HHE4" s="254"/>
      <c r="HHF4" s="254"/>
      <c r="HHG4" s="254"/>
      <c r="HHH4" s="254"/>
      <c r="HHI4" s="254"/>
      <c r="HHJ4" s="254"/>
      <c r="HHK4" s="254"/>
      <c r="HHL4" s="254"/>
      <c r="HHM4" s="254"/>
      <c r="HHN4" s="254"/>
      <c r="HHO4" s="254"/>
      <c r="HHP4" s="254"/>
      <c r="HHQ4" s="254"/>
      <c r="HHR4" s="254"/>
      <c r="HHS4" s="254"/>
      <c r="HHT4" s="254"/>
      <c r="HHU4" s="254"/>
      <c r="HHV4" s="254"/>
      <c r="HHW4" s="254"/>
      <c r="HHX4" s="254"/>
      <c r="HHY4" s="254"/>
      <c r="HHZ4" s="254"/>
      <c r="HIA4" s="254"/>
      <c r="HIB4" s="254"/>
      <c r="HIC4" s="254"/>
      <c r="HID4" s="254"/>
      <c r="HIE4" s="254"/>
      <c r="HIF4" s="254"/>
      <c r="HIG4" s="254"/>
      <c r="HIH4" s="254"/>
      <c r="HII4" s="254"/>
      <c r="HIJ4" s="254"/>
      <c r="HIK4" s="254"/>
      <c r="HIL4" s="254"/>
      <c r="HIM4" s="254"/>
      <c r="HIN4" s="254"/>
      <c r="HIO4" s="254"/>
      <c r="HIP4" s="254"/>
      <c r="HIQ4" s="254"/>
      <c r="HIR4" s="254"/>
      <c r="HIS4" s="254"/>
      <c r="HIT4" s="254"/>
      <c r="HIU4" s="254"/>
      <c r="HIV4" s="254"/>
      <c r="HIW4" s="254"/>
      <c r="HIX4" s="254"/>
      <c r="HIY4" s="254"/>
      <c r="HIZ4" s="254"/>
      <c r="HJA4" s="254"/>
      <c r="HJB4" s="254"/>
      <c r="HJC4" s="254"/>
      <c r="HJD4" s="254"/>
      <c r="HJE4" s="254"/>
      <c r="HJF4" s="254"/>
      <c r="HJG4" s="254"/>
      <c r="HJH4" s="254"/>
      <c r="HJI4" s="254"/>
      <c r="HJJ4" s="254"/>
      <c r="HJK4" s="254"/>
      <c r="HJL4" s="254"/>
      <c r="HJM4" s="254"/>
      <c r="HJN4" s="254"/>
      <c r="HJO4" s="254"/>
      <c r="HJP4" s="254"/>
      <c r="HJQ4" s="254"/>
      <c r="HJR4" s="254"/>
      <c r="HJS4" s="254"/>
      <c r="HJT4" s="254"/>
      <c r="HJU4" s="254"/>
      <c r="HJV4" s="254"/>
      <c r="HJW4" s="254"/>
      <c r="HJX4" s="254"/>
      <c r="HJY4" s="254"/>
      <c r="HJZ4" s="254"/>
      <c r="HKA4" s="254"/>
      <c r="HKB4" s="254"/>
      <c r="HKC4" s="254"/>
      <c r="HKD4" s="254"/>
      <c r="HKE4" s="254"/>
      <c r="HKF4" s="254"/>
      <c r="HKG4" s="254"/>
      <c r="HKH4" s="254"/>
      <c r="HKI4" s="254"/>
      <c r="HKJ4" s="254"/>
      <c r="HKK4" s="254"/>
      <c r="HKL4" s="254"/>
      <c r="HKM4" s="254"/>
      <c r="HKN4" s="254"/>
      <c r="HKO4" s="254"/>
      <c r="HKP4" s="254"/>
      <c r="HKQ4" s="254"/>
      <c r="HKR4" s="254"/>
      <c r="HKS4" s="254"/>
      <c r="HKT4" s="254"/>
      <c r="HKU4" s="254"/>
      <c r="HKV4" s="254"/>
      <c r="HKW4" s="254"/>
      <c r="HKX4" s="254"/>
      <c r="HKY4" s="254"/>
      <c r="HKZ4" s="254"/>
      <c r="HLA4" s="254"/>
      <c r="HLB4" s="254"/>
      <c r="HLC4" s="254"/>
      <c r="HLD4" s="254"/>
      <c r="HLE4" s="254"/>
      <c r="HLF4" s="254"/>
      <c r="HLG4" s="254"/>
      <c r="HLH4" s="254"/>
      <c r="HLI4" s="254"/>
      <c r="HLJ4" s="254"/>
      <c r="HLK4" s="254"/>
      <c r="HLL4" s="254"/>
      <c r="HLM4" s="254"/>
      <c r="HLN4" s="254"/>
      <c r="HLO4" s="254"/>
      <c r="HLP4" s="254"/>
      <c r="HLQ4" s="254"/>
      <c r="HLR4" s="254"/>
      <c r="HLS4" s="254"/>
      <c r="HLT4" s="254"/>
      <c r="HLU4" s="254"/>
      <c r="HLV4" s="254"/>
      <c r="HLW4" s="254"/>
      <c r="HLX4" s="254"/>
      <c r="HLY4" s="254"/>
      <c r="HLZ4" s="254"/>
      <c r="HMA4" s="254"/>
      <c r="HMB4" s="254"/>
      <c r="HMC4" s="254"/>
      <c r="HMD4" s="254"/>
      <c r="HME4" s="254"/>
      <c r="HMF4" s="254"/>
      <c r="HMG4" s="254"/>
      <c r="HMH4" s="254"/>
      <c r="HMI4" s="254"/>
      <c r="HMJ4" s="254"/>
      <c r="HMK4" s="254"/>
      <c r="HML4" s="254"/>
      <c r="HMM4" s="254"/>
      <c r="HMN4" s="254"/>
      <c r="HMO4" s="254"/>
      <c r="HMP4" s="254"/>
      <c r="HMQ4" s="254"/>
      <c r="HMR4" s="254"/>
      <c r="HMS4" s="254"/>
      <c r="HMT4" s="254"/>
      <c r="HMU4" s="254"/>
      <c r="HMV4" s="254"/>
      <c r="HMW4" s="254"/>
      <c r="HMX4" s="254"/>
      <c r="HMY4" s="254"/>
      <c r="HMZ4" s="254"/>
      <c r="HNA4" s="254"/>
      <c r="HNB4" s="254"/>
      <c r="HNC4" s="254"/>
      <c r="HND4" s="254"/>
      <c r="HNE4" s="254"/>
      <c r="HNF4" s="254"/>
      <c r="HNG4" s="254"/>
      <c r="HNH4" s="254"/>
      <c r="HNI4" s="254"/>
      <c r="HNJ4" s="254"/>
      <c r="HNK4" s="254"/>
      <c r="HNL4" s="254"/>
      <c r="HNM4" s="254"/>
      <c r="HNN4" s="254"/>
      <c r="HNO4" s="254"/>
      <c r="HNP4" s="254"/>
      <c r="HNQ4" s="254"/>
      <c r="HNR4" s="254"/>
      <c r="HNS4" s="254"/>
      <c r="HNT4" s="254"/>
      <c r="HNU4" s="254"/>
      <c r="HNV4" s="254"/>
      <c r="HNW4" s="254"/>
      <c r="HNX4" s="254"/>
      <c r="HNY4" s="254"/>
      <c r="HNZ4" s="254"/>
      <c r="HOA4" s="254"/>
      <c r="HOB4" s="254"/>
      <c r="HOC4" s="254"/>
      <c r="HOD4" s="254"/>
      <c r="HOE4" s="254"/>
      <c r="HOF4" s="254"/>
      <c r="HOG4" s="254"/>
      <c r="HOH4" s="254"/>
      <c r="HOI4" s="254"/>
      <c r="HOJ4" s="254"/>
      <c r="HOK4" s="254"/>
      <c r="HOL4" s="254"/>
      <c r="HOM4" s="254"/>
      <c r="HON4" s="254"/>
      <c r="HOO4" s="254"/>
      <c r="HOP4" s="254"/>
      <c r="HOQ4" s="254"/>
      <c r="HOR4" s="254"/>
      <c r="HOS4" s="254"/>
      <c r="HOT4" s="254"/>
      <c r="HOU4" s="254"/>
      <c r="HOV4" s="254"/>
      <c r="HOW4" s="254"/>
      <c r="HOX4" s="254"/>
      <c r="HOY4" s="254"/>
      <c r="HOZ4" s="254"/>
      <c r="HPA4" s="254"/>
      <c r="HPB4" s="254"/>
      <c r="HPC4" s="254"/>
      <c r="HPD4" s="254"/>
      <c r="HPE4" s="254"/>
      <c r="HPF4" s="254"/>
      <c r="HPG4" s="254"/>
      <c r="HPH4" s="254"/>
      <c r="HPI4" s="254"/>
      <c r="HPJ4" s="254"/>
      <c r="HPK4" s="254"/>
      <c r="HPL4" s="254"/>
      <c r="HPM4" s="254"/>
      <c r="HPN4" s="254"/>
      <c r="HPO4" s="254"/>
      <c r="HPP4" s="254"/>
      <c r="HPQ4" s="254"/>
      <c r="HPR4" s="254"/>
      <c r="HPS4" s="254"/>
      <c r="HPT4" s="254"/>
      <c r="HPU4" s="254"/>
      <c r="HPV4" s="254"/>
      <c r="HPW4" s="254"/>
      <c r="HPX4" s="254"/>
      <c r="HPY4" s="254"/>
      <c r="HPZ4" s="254"/>
      <c r="HQA4" s="254"/>
      <c r="HQB4" s="254"/>
      <c r="HQC4" s="254"/>
      <c r="HQD4" s="254"/>
      <c r="HQE4" s="254"/>
      <c r="HQF4" s="254"/>
      <c r="HQG4" s="254"/>
      <c r="HQH4" s="254"/>
      <c r="HQI4" s="254"/>
      <c r="HQJ4" s="254"/>
      <c r="HQK4" s="254"/>
      <c r="HQL4" s="254"/>
      <c r="HQM4" s="254"/>
      <c r="HQN4" s="254"/>
      <c r="HQO4" s="254"/>
      <c r="HQP4" s="254"/>
      <c r="HQQ4" s="254"/>
      <c r="HQR4" s="254"/>
      <c r="HQS4" s="254"/>
      <c r="HQT4" s="254"/>
      <c r="HQU4" s="254"/>
      <c r="HQV4" s="254"/>
      <c r="HQW4" s="254"/>
      <c r="HQX4" s="254"/>
      <c r="HQY4" s="254"/>
      <c r="HQZ4" s="254"/>
      <c r="HRA4" s="254"/>
      <c r="HRB4" s="254"/>
      <c r="HRC4" s="254"/>
      <c r="HRD4" s="254"/>
      <c r="HRE4" s="254"/>
      <c r="HRF4" s="254"/>
      <c r="HRG4" s="254"/>
      <c r="HRH4" s="254"/>
      <c r="HRI4" s="254"/>
      <c r="HRJ4" s="254"/>
      <c r="HRK4" s="254"/>
      <c r="HRL4" s="254"/>
      <c r="HRM4" s="254"/>
      <c r="HRN4" s="254"/>
      <c r="HRO4" s="254"/>
      <c r="HRP4" s="254"/>
      <c r="HRQ4" s="254"/>
      <c r="HRR4" s="254"/>
      <c r="HRS4" s="254"/>
      <c r="HRT4" s="254"/>
      <c r="HRU4" s="254"/>
      <c r="HRV4" s="254"/>
      <c r="HRW4" s="254"/>
      <c r="HRX4" s="254"/>
      <c r="HRY4" s="254"/>
      <c r="HRZ4" s="254"/>
      <c r="HSA4" s="254"/>
      <c r="HSB4" s="254"/>
      <c r="HSC4" s="254"/>
      <c r="HSD4" s="254"/>
      <c r="HSE4" s="254"/>
      <c r="HSF4" s="254"/>
      <c r="HSG4" s="254"/>
      <c r="HSH4" s="254"/>
      <c r="HSI4" s="254"/>
      <c r="HSJ4" s="254"/>
      <c r="HSK4" s="254"/>
      <c r="HSL4" s="254"/>
      <c r="HSM4" s="254"/>
      <c r="HSN4" s="254"/>
      <c r="HSO4" s="254"/>
      <c r="HSP4" s="254"/>
      <c r="HSQ4" s="254"/>
      <c r="HSR4" s="254"/>
      <c r="HSS4" s="254"/>
      <c r="HST4" s="254"/>
      <c r="HSU4" s="254"/>
      <c r="HSV4" s="254"/>
      <c r="HSW4" s="254"/>
      <c r="HSX4" s="254"/>
      <c r="HSY4" s="254"/>
      <c r="HSZ4" s="254"/>
      <c r="HTA4" s="254"/>
      <c r="HTB4" s="254"/>
      <c r="HTC4" s="254"/>
      <c r="HTD4" s="254"/>
      <c r="HTE4" s="254"/>
      <c r="HTF4" s="254"/>
      <c r="HTG4" s="254"/>
      <c r="HTH4" s="254"/>
      <c r="HTI4" s="254"/>
      <c r="HTJ4" s="254"/>
      <c r="HTK4" s="254"/>
      <c r="HTL4" s="254"/>
      <c r="HTM4" s="254"/>
      <c r="HTN4" s="254"/>
      <c r="HTO4" s="254"/>
      <c r="HTP4" s="254"/>
      <c r="HTQ4" s="254"/>
      <c r="HTR4" s="254"/>
      <c r="HTS4" s="254"/>
      <c r="HTT4" s="254"/>
      <c r="HTU4" s="254"/>
      <c r="HTV4" s="254"/>
      <c r="HTW4" s="254"/>
      <c r="HTX4" s="254"/>
      <c r="HTY4" s="254"/>
      <c r="HTZ4" s="254"/>
      <c r="HUA4" s="254"/>
      <c r="HUB4" s="254"/>
      <c r="HUC4" s="254"/>
      <c r="HUD4" s="254"/>
      <c r="HUE4" s="254"/>
      <c r="HUF4" s="254"/>
      <c r="HUG4" s="254"/>
      <c r="HUH4" s="254"/>
      <c r="HUI4" s="254"/>
      <c r="HUJ4" s="254"/>
      <c r="HUK4" s="254"/>
      <c r="HUL4" s="254"/>
      <c r="HUM4" s="254"/>
      <c r="HUN4" s="254"/>
      <c r="HUO4" s="254"/>
      <c r="HUP4" s="254"/>
      <c r="HUQ4" s="254"/>
      <c r="HUR4" s="254"/>
      <c r="HUS4" s="254"/>
      <c r="HUT4" s="254"/>
      <c r="HUU4" s="254"/>
      <c r="HUV4" s="254"/>
      <c r="HUW4" s="254"/>
      <c r="HUX4" s="254"/>
      <c r="HUY4" s="254"/>
      <c r="HUZ4" s="254"/>
      <c r="HVA4" s="254"/>
      <c r="HVB4" s="254"/>
      <c r="HVC4" s="254"/>
      <c r="HVD4" s="254"/>
      <c r="HVE4" s="254"/>
      <c r="HVF4" s="254"/>
      <c r="HVG4" s="254"/>
      <c r="HVH4" s="254"/>
      <c r="HVI4" s="254"/>
      <c r="HVJ4" s="254"/>
      <c r="HVK4" s="254"/>
      <c r="HVL4" s="254"/>
      <c r="HVM4" s="254"/>
      <c r="HVN4" s="254"/>
      <c r="HVO4" s="254"/>
      <c r="HVP4" s="254"/>
      <c r="HVQ4" s="254"/>
      <c r="HVR4" s="254"/>
      <c r="HVS4" s="254"/>
      <c r="HVT4" s="254"/>
      <c r="HVU4" s="254"/>
      <c r="HVV4" s="254"/>
      <c r="HVW4" s="254"/>
      <c r="HVX4" s="254"/>
      <c r="HVY4" s="254"/>
      <c r="HVZ4" s="254"/>
      <c r="HWA4" s="254"/>
      <c r="HWB4" s="254"/>
      <c r="HWC4" s="254"/>
      <c r="HWD4" s="254"/>
      <c r="HWE4" s="254"/>
      <c r="HWF4" s="254"/>
      <c r="HWG4" s="254"/>
      <c r="HWH4" s="254"/>
      <c r="HWI4" s="254"/>
      <c r="HWJ4" s="254"/>
      <c r="HWK4" s="254"/>
      <c r="HWL4" s="254"/>
      <c r="HWM4" s="254"/>
      <c r="HWN4" s="254"/>
      <c r="HWO4" s="254"/>
      <c r="HWP4" s="254"/>
      <c r="HWQ4" s="254"/>
      <c r="HWR4" s="254"/>
      <c r="HWS4" s="254"/>
      <c r="HWT4" s="254"/>
      <c r="HWU4" s="254"/>
      <c r="HWV4" s="254"/>
      <c r="HWW4" s="254"/>
      <c r="HWX4" s="254"/>
      <c r="HWY4" s="254"/>
      <c r="HWZ4" s="254"/>
      <c r="HXA4" s="254"/>
      <c r="HXB4" s="254"/>
      <c r="HXC4" s="254"/>
      <c r="HXD4" s="254"/>
      <c r="HXE4" s="254"/>
      <c r="HXF4" s="254"/>
      <c r="HXG4" s="254"/>
      <c r="HXH4" s="254"/>
      <c r="HXI4" s="254"/>
      <c r="HXJ4" s="254"/>
      <c r="HXK4" s="254"/>
      <c r="HXL4" s="254"/>
      <c r="HXM4" s="254"/>
      <c r="HXN4" s="254"/>
      <c r="HXO4" s="254"/>
      <c r="HXP4" s="254"/>
      <c r="HXQ4" s="254"/>
      <c r="HXR4" s="254"/>
      <c r="HXS4" s="254"/>
      <c r="HXT4" s="254"/>
      <c r="HXU4" s="254"/>
      <c r="HXV4" s="254"/>
      <c r="HXW4" s="254"/>
      <c r="HXX4" s="254"/>
      <c r="HXY4" s="254"/>
      <c r="HXZ4" s="254"/>
      <c r="HYA4" s="254"/>
      <c r="HYB4" s="254"/>
      <c r="HYC4" s="254"/>
      <c r="HYD4" s="254"/>
      <c r="HYE4" s="254"/>
      <c r="HYF4" s="254"/>
      <c r="HYG4" s="254"/>
      <c r="HYH4" s="254"/>
      <c r="HYI4" s="254"/>
      <c r="HYJ4" s="254"/>
      <c r="HYK4" s="254"/>
      <c r="HYL4" s="254"/>
      <c r="HYM4" s="254"/>
      <c r="HYN4" s="254"/>
      <c r="HYO4" s="254"/>
      <c r="HYP4" s="254"/>
      <c r="HYQ4" s="254"/>
      <c r="HYR4" s="254"/>
      <c r="HYS4" s="254"/>
      <c r="HYT4" s="254"/>
      <c r="HYU4" s="254"/>
      <c r="HYV4" s="254"/>
      <c r="HYW4" s="254"/>
      <c r="HYX4" s="254"/>
      <c r="HYY4" s="254"/>
      <c r="HYZ4" s="254"/>
      <c r="HZA4" s="254"/>
      <c r="HZB4" s="254"/>
      <c r="HZC4" s="254"/>
      <c r="HZD4" s="254"/>
      <c r="HZE4" s="254"/>
      <c r="HZF4" s="254"/>
      <c r="HZG4" s="254"/>
      <c r="HZH4" s="254"/>
      <c r="HZI4" s="254"/>
      <c r="HZJ4" s="254"/>
      <c r="HZK4" s="254"/>
      <c r="HZL4" s="254"/>
      <c r="HZM4" s="254"/>
      <c r="HZN4" s="254"/>
      <c r="HZO4" s="254"/>
      <c r="HZP4" s="254"/>
      <c r="HZQ4" s="254"/>
      <c r="HZR4" s="254"/>
      <c r="HZS4" s="254"/>
      <c r="HZT4" s="254"/>
      <c r="HZU4" s="254"/>
      <c r="HZV4" s="254"/>
      <c r="HZW4" s="254"/>
      <c r="HZX4" s="254"/>
      <c r="HZY4" s="254"/>
      <c r="HZZ4" s="254"/>
      <c r="IAA4" s="254"/>
      <c r="IAB4" s="254"/>
      <c r="IAC4" s="254"/>
      <c r="IAD4" s="254"/>
      <c r="IAE4" s="254"/>
      <c r="IAF4" s="254"/>
      <c r="IAG4" s="254"/>
      <c r="IAH4" s="254"/>
      <c r="IAI4" s="254"/>
      <c r="IAJ4" s="254"/>
      <c r="IAK4" s="254"/>
      <c r="IAL4" s="254"/>
      <c r="IAM4" s="254"/>
      <c r="IAN4" s="254"/>
      <c r="IAO4" s="254"/>
      <c r="IAP4" s="254"/>
      <c r="IAQ4" s="254"/>
      <c r="IAR4" s="254"/>
      <c r="IAS4" s="254"/>
      <c r="IAT4" s="254"/>
      <c r="IAU4" s="254"/>
      <c r="IAV4" s="254"/>
      <c r="IAW4" s="254"/>
      <c r="IAX4" s="254"/>
      <c r="IAY4" s="254"/>
      <c r="IAZ4" s="254"/>
      <c r="IBA4" s="254"/>
      <c r="IBB4" s="254"/>
      <c r="IBC4" s="254"/>
      <c r="IBD4" s="254"/>
      <c r="IBE4" s="254"/>
      <c r="IBF4" s="254"/>
      <c r="IBG4" s="254"/>
      <c r="IBH4" s="254"/>
      <c r="IBI4" s="254"/>
      <c r="IBJ4" s="254"/>
      <c r="IBK4" s="254"/>
      <c r="IBL4" s="254"/>
      <c r="IBM4" s="254"/>
      <c r="IBN4" s="254"/>
      <c r="IBO4" s="254"/>
      <c r="IBP4" s="254"/>
      <c r="IBQ4" s="254"/>
      <c r="IBR4" s="254"/>
      <c r="IBS4" s="254"/>
      <c r="IBT4" s="254"/>
      <c r="IBU4" s="254"/>
      <c r="IBV4" s="254"/>
      <c r="IBW4" s="254"/>
      <c r="IBX4" s="254"/>
      <c r="IBY4" s="254"/>
      <c r="IBZ4" s="254"/>
      <c r="ICA4" s="254"/>
      <c r="ICB4" s="254"/>
      <c r="ICC4" s="254"/>
      <c r="ICD4" s="254"/>
      <c r="ICE4" s="254"/>
      <c r="ICF4" s="254"/>
      <c r="ICG4" s="254"/>
      <c r="ICH4" s="254"/>
      <c r="ICI4" s="254"/>
      <c r="ICJ4" s="254"/>
      <c r="ICK4" s="254"/>
      <c r="ICL4" s="254"/>
      <c r="ICM4" s="254"/>
      <c r="ICN4" s="254"/>
      <c r="ICO4" s="254"/>
      <c r="ICP4" s="254"/>
      <c r="ICQ4" s="254"/>
      <c r="ICR4" s="254"/>
      <c r="ICS4" s="254"/>
      <c r="ICT4" s="254"/>
      <c r="ICU4" s="254"/>
      <c r="ICV4" s="254"/>
      <c r="ICW4" s="254"/>
      <c r="ICX4" s="254"/>
      <c r="ICY4" s="254"/>
      <c r="ICZ4" s="254"/>
      <c r="IDA4" s="254"/>
      <c r="IDB4" s="254"/>
      <c r="IDC4" s="254"/>
      <c r="IDD4" s="254"/>
      <c r="IDE4" s="254"/>
      <c r="IDF4" s="254"/>
      <c r="IDG4" s="254"/>
      <c r="IDH4" s="254"/>
      <c r="IDI4" s="254"/>
      <c r="IDJ4" s="254"/>
      <c r="IDK4" s="254"/>
      <c r="IDL4" s="254"/>
      <c r="IDM4" s="254"/>
      <c r="IDN4" s="254"/>
      <c r="IDO4" s="254"/>
      <c r="IDP4" s="254"/>
      <c r="IDQ4" s="254"/>
      <c r="IDR4" s="254"/>
      <c r="IDS4" s="254"/>
      <c r="IDT4" s="254"/>
      <c r="IDU4" s="254"/>
      <c r="IDV4" s="254"/>
      <c r="IDW4" s="254"/>
      <c r="IDX4" s="254"/>
      <c r="IDY4" s="254"/>
      <c r="IDZ4" s="254"/>
      <c r="IEA4" s="254"/>
      <c r="IEB4" s="254"/>
      <c r="IEC4" s="254"/>
      <c r="IED4" s="254"/>
      <c r="IEE4" s="254"/>
      <c r="IEF4" s="254"/>
      <c r="IEG4" s="254"/>
      <c r="IEH4" s="254"/>
      <c r="IEI4" s="254"/>
      <c r="IEJ4" s="254"/>
      <c r="IEK4" s="254"/>
      <c r="IEL4" s="254"/>
      <c r="IEM4" s="254"/>
      <c r="IEN4" s="254"/>
      <c r="IEO4" s="254"/>
      <c r="IEP4" s="254"/>
      <c r="IEQ4" s="254"/>
      <c r="IER4" s="254"/>
      <c r="IES4" s="254"/>
      <c r="IET4" s="254"/>
      <c r="IEU4" s="254"/>
      <c r="IEV4" s="254"/>
      <c r="IEW4" s="254"/>
      <c r="IEX4" s="254"/>
      <c r="IEY4" s="254"/>
      <c r="IEZ4" s="254"/>
      <c r="IFA4" s="254"/>
      <c r="IFB4" s="254"/>
      <c r="IFC4" s="254"/>
      <c r="IFD4" s="254"/>
      <c r="IFE4" s="254"/>
      <c r="IFF4" s="254"/>
      <c r="IFG4" s="254"/>
      <c r="IFH4" s="254"/>
      <c r="IFI4" s="254"/>
      <c r="IFJ4" s="254"/>
      <c r="IFK4" s="254"/>
      <c r="IFL4" s="254"/>
      <c r="IFM4" s="254"/>
      <c r="IFN4" s="254"/>
      <c r="IFO4" s="254"/>
      <c r="IFP4" s="254"/>
      <c r="IFQ4" s="254"/>
      <c r="IFR4" s="254"/>
      <c r="IFS4" s="254"/>
      <c r="IFT4" s="254"/>
      <c r="IFU4" s="254"/>
      <c r="IFV4" s="254"/>
      <c r="IFW4" s="254"/>
      <c r="IFX4" s="254"/>
      <c r="IFY4" s="254"/>
      <c r="IFZ4" s="254"/>
      <c r="IGA4" s="254"/>
      <c r="IGB4" s="254"/>
      <c r="IGC4" s="254"/>
      <c r="IGD4" s="254"/>
      <c r="IGE4" s="254"/>
      <c r="IGF4" s="254"/>
      <c r="IGG4" s="254"/>
      <c r="IGH4" s="254"/>
      <c r="IGI4" s="254"/>
      <c r="IGJ4" s="254"/>
      <c r="IGK4" s="254"/>
      <c r="IGL4" s="254"/>
      <c r="IGM4" s="254"/>
      <c r="IGN4" s="254"/>
      <c r="IGO4" s="254"/>
      <c r="IGP4" s="254"/>
      <c r="IGQ4" s="254"/>
      <c r="IGR4" s="254"/>
      <c r="IGS4" s="254"/>
      <c r="IGT4" s="254"/>
      <c r="IGU4" s="254"/>
      <c r="IGV4" s="254"/>
      <c r="IGW4" s="254"/>
      <c r="IGX4" s="254"/>
      <c r="IGY4" s="254"/>
      <c r="IGZ4" s="254"/>
      <c r="IHA4" s="254"/>
      <c r="IHB4" s="254"/>
      <c r="IHC4" s="254"/>
      <c r="IHD4" s="254"/>
      <c r="IHE4" s="254"/>
      <c r="IHF4" s="254"/>
      <c r="IHG4" s="254"/>
      <c r="IHH4" s="254"/>
      <c r="IHI4" s="254"/>
      <c r="IHJ4" s="254"/>
      <c r="IHK4" s="254"/>
      <c r="IHL4" s="254"/>
      <c r="IHM4" s="254"/>
      <c r="IHN4" s="254"/>
      <c r="IHO4" s="254"/>
      <c r="IHP4" s="254"/>
      <c r="IHQ4" s="254"/>
      <c r="IHR4" s="254"/>
      <c r="IHS4" s="254"/>
      <c r="IHT4" s="254"/>
      <c r="IHU4" s="254"/>
      <c r="IHV4" s="254"/>
      <c r="IHW4" s="254"/>
      <c r="IHX4" s="254"/>
      <c r="IHY4" s="254"/>
      <c r="IHZ4" s="254"/>
      <c r="IIA4" s="254"/>
      <c r="IIB4" s="254"/>
      <c r="IIC4" s="254"/>
      <c r="IID4" s="254"/>
      <c r="IIE4" s="254"/>
      <c r="IIF4" s="254"/>
      <c r="IIG4" s="254"/>
      <c r="IIH4" s="254"/>
      <c r="III4" s="254"/>
      <c r="IIJ4" s="254"/>
      <c r="IIK4" s="254"/>
      <c r="IIL4" s="254"/>
      <c r="IIM4" s="254"/>
      <c r="IIN4" s="254"/>
      <c r="IIO4" s="254"/>
      <c r="IIP4" s="254"/>
      <c r="IIQ4" s="254"/>
      <c r="IIR4" s="254"/>
      <c r="IIS4" s="254"/>
      <c r="IIT4" s="254"/>
      <c r="IIU4" s="254"/>
      <c r="IIV4" s="254"/>
      <c r="IIW4" s="254"/>
      <c r="IIX4" s="254"/>
      <c r="IIY4" s="254"/>
      <c r="IIZ4" s="254"/>
      <c r="IJA4" s="254"/>
      <c r="IJB4" s="254"/>
      <c r="IJC4" s="254"/>
      <c r="IJD4" s="254"/>
      <c r="IJE4" s="254"/>
      <c r="IJF4" s="254"/>
      <c r="IJG4" s="254"/>
      <c r="IJH4" s="254"/>
      <c r="IJI4" s="254"/>
      <c r="IJJ4" s="254"/>
      <c r="IJK4" s="254"/>
      <c r="IJL4" s="254"/>
      <c r="IJM4" s="254"/>
      <c r="IJN4" s="254"/>
      <c r="IJO4" s="254"/>
      <c r="IJP4" s="254"/>
      <c r="IJQ4" s="254"/>
      <c r="IJR4" s="254"/>
      <c r="IJS4" s="254"/>
      <c r="IJT4" s="254"/>
      <c r="IJU4" s="254"/>
      <c r="IJV4" s="254"/>
      <c r="IJW4" s="254"/>
      <c r="IJX4" s="254"/>
      <c r="IJY4" s="254"/>
      <c r="IJZ4" s="254"/>
      <c r="IKA4" s="254"/>
      <c r="IKB4" s="254"/>
      <c r="IKC4" s="254"/>
      <c r="IKD4" s="254"/>
      <c r="IKE4" s="254"/>
      <c r="IKF4" s="254"/>
      <c r="IKG4" s="254"/>
      <c r="IKH4" s="254"/>
      <c r="IKI4" s="254"/>
      <c r="IKJ4" s="254"/>
      <c r="IKK4" s="254"/>
      <c r="IKL4" s="254"/>
      <c r="IKM4" s="254"/>
      <c r="IKN4" s="254"/>
      <c r="IKO4" s="254"/>
      <c r="IKP4" s="254"/>
      <c r="IKQ4" s="254"/>
      <c r="IKR4" s="254"/>
      <c r="IKS4" s="254"/>
      <c r="IKT4" s="254"/>
      <c r="IKU4" s="254"/>
      <c r="IKV4" s="254"/>
      <c r="IKW4" s="254"/>
      <c r="IKX4" s="254"/>
      <c r="IKY4" s="254"/>
      <c r="IKZ4" s="254"/>
      <c r="ILA4" s="254"/>
      <c r="ILB4" s="254"/>
      <c r="ILC4" s="254"/>
      <c r="ILD4" s="254"/>
      <c r="ILE4" s="254"/>
      <c r="ILF4" s="254"/>
      <c r="ILG4" s="254"/>
      <c r="ILH4" s="254"/>
      <c r="ILI4" s="254"/>
      <c r="ILJ4" s="254"/>
      <c r="ILK4" s="254"/>
      <c r="ILL4" s="254"/>
      <c r="ILM4" s="254"/>
      <c r="ILN4" s="254"/>
      <c r="ILO4" s="254"/>
      <c r="ILP4" s="254"/>
      <c r="ILQ4" s="254"/>
      <c r="ILR4" s="254"/>
      <c r="ILS4" s="254"/>
      <c r="ILT4" s="254"/>
      <c r="ILU4" s="254"/>
      <c r="ILV4" s="254"/>
      <c r="ILW4" s="254"/>
      <c r="ILX4" s="254"/>
      <c r="ILY4" s="254"/>
      <c r="ILZ4" s="254"/>
      <c r="IMA4" s="254"/>
      <c r="IMB4" s="254"/>
      <c r="IMC4" s="254"/>
      <c r="IMD4" s="254"/>
      <c r="IME4" s="254"/>
      <c r="IMF4" s="254"/>
      <c r="IMG4" s="254"/>
      <c r="IMH4" s="254"/>
      <c r="IMI4" s="254"/>
      <c r="IMJ4" s="254"/>
      <c r="IMK4" s="254"/>
      <c r="IML4" s="254"/>
      <c r="IMM4" s="254"/>
      <c r="IMN4" s="254"/>
      <c r="IMO4" s="254"/>
      <c r="IMP4" s="254"/>
      <c r="IMQ4" s="254"/>
      <c r="IMR4" s="254"/>
      <c r="IMS4" s="254"/>
      <c r="IMT4" s="254"/>
      <c r="IMU4" s="254"/>
      <c r="IMV4" s="254"/>
      <c r="IMW4" s="254"/>
      <c r="IMX4" s="254"/>
      <c r="IMY4" s="254"/>
      <c r="IMZ4" s="254"/>
      <c r="INA4" s="254"/>
      <c r="INB4" s="254"/>
      <c r="INC4" s="254"/>
      <c r="IND4" s="254"/>
      <c r="INE4" s="254"/>
      <c r="INF4" s="254"/>
      <c r="ING4" s="254"/>
      <c r="INH4" s="254"/>
      <c r="INI4" s="254"/>
      <c r="INJ4" s="254"/>
      <c r="INK4" s="254"/>
      <c r="INL4" s="254"/>
      <c r="INM4" s="254"/>
      <c r="INN4" s="254"/>
      <c r="INO4" s="254"/>
      <c r="INP4" s="254"/>
      <c r="INQ4" s="254"/>
      <c r="INR4" s="254"/>
      <c r="INS4" s="254"/>
      <c r="INT4" s="254"/>
      <c r="INU4" s="254"/>
      <c r="INV4" s="254"/>
      <c r="INW4" s="254"/>
      <c r="INX4" s="254"/>
      <c r="INY4" s="254"/>
      <c r="INZ4" s="254"/>
      <c r="IOA4" s="254"/>
      <c r="IOB4" s="254"/>
      <c r="IOC4" s="254"/>
      <c r="IOD4" s="254"/>
      <c r="IOE4" s="254"/>
      <c r="IOF4" s="254"/>
      <c r="IOG4" s="254"/>
      <c r="IOH4" s="254"/>
      <c r="IOI4" s="254"/>
      <c r="IOJ4" s="254"/>
      <c r="IOK4" s="254"/>
      <c r="IOL4" s="254"/>
      <c r="IOM4" s="254"/>
      <c r="ION4" s="254"/>
      <c r="IOO4" s="254"/>
      <c r="IOP4" s="254"/>
      <c r="IOQ4" s="254"/>
      <c r="IOR4" s="254"/>
      <c r="IOS4" s="254"/>
      <c r="IOT4" s="254"/>
      <c r="IOU4" s="254"/>
      <c r="IOV4" s="254"/>
      <c r="IOW4" s="254"/>
      <c r="IOX4" s="254"/>
      <c r="IOY4" s="254"/>
      <c r="IOZ4" s="254"/>
      <c r="IPA4" s="254"/>
      <c r="IPB4" s="254"/>
      <c r="IPC4" s="254"/>
      <c r="IPD4" s="254"/>
      <c r="IPE4" s="254"/>
      <c r="IPF4" s="254"/>
      <c r="IPG4" s="254"/>
      <c r="IPH4" s="254"/>
      <c r="IPI4" s="254"/>
      <c r="IPJ4" s="254"/>
      <c r="IPK4" s="254"/>
      <c r="IPL4" s="254"/>
      <c r="IPM4" s="254"/>
      <c r="IPN4" s="254"/>
      <c r="IPO4" s="254"/>
      <c r="IPP4" s="254"/>
      <c r="IPQ4" s="254"/>
      <c r="IPR4" s="254"/>
      <c r="IPS4" s="254"/>
      <c r="IPT4" s="254"/>
      <c r="IPU4" s="254"/>
      <c r="IPV4" s="254"/>
      <c r="IPW4" s="254"/>
      <c r="IPX4" s="254"/>
      <c r="IPY4" s="254"/>
      <c r="IPZ4" s="254"/>
      <c r="IQA4" s="254"/>
      <c r="IQB4" s="254"/>
      <c r="IQC4" s="254"/>
      <c r="IQD4" s="254"/>
      <c r="IQE4" s="254"/>
      <c r="IQF4" s="254"/>
      <c r="IQG4" s="254"/>
      <c r="IQH4" s="254"/>
      <c r="IQI4" s="254"/>
      <c r="IQJ4" s="254"/>
      <c r="IQK4" s="254"/>
      <c r="IQL4" s="254"/>
      <c r="IQM4" s="254"/>
      <c r="IQN4" s="254"/>
      <c r="IQO4" s="254"/>
      <c r="IQP4" s="254"/>
      <c r="IQQ4" s="254"/>
      <c r="IQR4" s="254"/>
      <c r="IQS4" s="254"/>
      <c r="IQT4" s="254"/>
      <c r="IQU4" s="254"/>
      <c r="IQV4" s="254"/>
      <c r="IQW4" s="254"/>
      <c r="IQX4" s="254"/>
      <c r="IQY4" s="254"/>
      <c r="IQZ4" s="254"/>
      <c r="IRA4" s="254"/>
      <c r="IRB4" s="254"/>
      <c r="IRC4" s="254"/>
      <c r="IRD4" s="254"/>
      <c r="IRE4" s="254"/>
      <c r="IRF4" s="254"/>
      <c r="IRG4" s="254"/>
      <c r="IRH4" s="254"/>
      <c r="IRI4" s="254"/>
      <c r="IRJ4" s="254"/>
      <c r="IRK4" s="254"/>
      <c r="IRL4" s="254"/>
      <c r="IRM4" s="254"/>
      <c r="IRN4" s="254"/>
      <c r="IRO4" s="254"/>
      <c r="IRP4" s="254"/>
      <c r="IRQ4" s="254"/>
      <c r="IRR4" s="254"/>
      <c r="IRS4" s="254"/>
      <c r="IRT4" s="254"/>
      <c r="IRU4" s="254"/>
      <c r="IRV4" s="254"/>
      <c r="IRW4" s="254"/>
      <c r="IRX4" s="254"/>
      <c r="IRY4" s="254"/>
      <c r="IRZ4" s="254"/>
      <c r="ISA4" s="254"/>
      <c r="ISB4" s="254"/>
      <c r="ISC4" s="254"/>
      <c r="ISD4" s="254"/>
      <c r="ISE4" s="254"/>
      <c r="ISF4" s="254"/>
      <c r="ISG4" s="254"/>
      <c r="ISH4" s="254"/>
      <c r="ISI4" s="254"/>
      <c r="ISJ4" s="254"/>
      <c r="ISK4" s="254"/>
      <c r="ISL4" s="254"/>
      <c r="ISM4" s="254"/>
      <c r="ISN4" s="254"/>
      <c r="ISO4" s="254"/>
      <c r="ISP4" s="254"/>
      <c r="ISQ4" s="254"/>
      <c r="ISR4" s="254"/>
      <c r="ISS4" s="254"/>
      <c r="IST4" s="254"/>
      <c r="ISU4" s="254"/>
      <c r="ISV4" s="254"/>
      <c r="ISW4" s="254"/>
      <c r="ISX4" s="254"/>
      <c r="ISY4" s="254"/>
      <c r="ISZ4" s="254"/>
      <c r="ITA4" s="254"/>
      <c r="ITB4" s="254"/>
      <c r="ITC4" s="254"/>
      <c r="ITD4" s="254"/>
      <c r="ITE4" s="254"/>
      <c r="ITF4" s="254"/>
      <c r="ITG4" s="254"/>
      <c r="ITH4" s="254"/>
      <c r="ITI4" s="254"/>
      <c r="ITJ4" s="254"/>
      <c r="ITK4" s="254"/>
      <c r="ITL4" s="254"/>
      <c r="ITM4" s="254"/>
      <c r="ITN4" s="254"/>
      <c r="ITO4" s="254"/>
      <c r="ITP4" s="254"/>
      <c r="ITQ4" s="254"/>
      <c r="ITR4" s="254"/>
      <c r="ITS4" s="254"/>
      <c r="ITT4" s="254"/>
      <c r="ITU4" s="254"/>
      <c r="ITV4" s="254"/>
      <c r="ITW4" s="254"/>
      <c r="ITX4" s="254"/>
      <c r="ITY4" s="254"/>
      <c r="ITZ4" s="254"/>
      <c r="IUA4" s="254"/>
      <c r="IUB4" s="254"/>
      <c r="IUC4" s="254"/>
      <c r="IUD4" s="254"/>
      <c r="IUE4" s="254"/>
      <c r="IUF4" s="254"/>
      <c r="IUG4" s="254"/>
      <c r="IUH4" s="254"/>
      <c r="IUI4" s="254"/>
      <c r="IUJ4" s="254"/>
      <c r="IUK4" s="254"/>
      <c r="IUL4" s="254"/>
      <c r="IUM4" s="254"/>
      <c r="IUN4" s="254"/>
      <c r="IUO4" s="254"/>
      <c r="IUP4" s="254"/>
      <c r="IUQ4" s="254"/>
      <c r="IUR4" s="254"/>
      <c r="IUS4" s="254"/>
      <c r="IUT4" s="254"/>
      <c r="IUU4" s="254"/>
      <c r="IUV4" s="254"/>
      <c r="IUW4" s="254"/>
      <c r="IUX4" s="254"/>
      <c r="IUY4" s="254"/>
      <c r="IUZ4" s="254"/>
      <c r="IVA4" s="254"/>
      <c r="IVB4" s="254"/>
      <c r="IVC4" s="254"/>
      <c r="IVD4" s="254"/>
      <c r="IVE4" s="254"/>
      <c r="IVF4" s="254"/>
      <c r="IVG4" s="254"/>
      <c r="IVH4" s="254"/>
      <c r="IVI4" s="254"/>
      <c r="IVJ4" s="254"/>
      <c r="IVK4" s="254"/>
      <c r="IVL4" s="254"/>
      <c r="IVM4" s="254"/>
      <c r="IVN4" s="254"/>
      <c r="IVO4" s="254"/>
      <c r="IVP4" s="254"/>
      <c r="IVQ4" s="254"/>
      <c r="IVR4" s="254"/>
      <c r="IVS4" s="254"/>
      <c r="IVT4" s="254"/>
      <c r="IVU4" s="254"/>
      <c r="IVV4" s="254"/>
      <c r="IVW4" s="254"/>
      <c r="IVX4" s="254"/>
      <c r="IVY4" s="254"/>
      <c r="IVZ4" s="254"/>
      <c r="IWA4" s="254"/>
      <c r="IWB4" s="254"/>
      <c r="IWC4" s="254"/>
      <c r="IWD4" s="254"/>
      <c r="IWE4" s="254"/>
      <c r="IWF4" s="254"/>
      <c r="IWG4" s="254"/>
      <c r="IWH4" s="254"/>
      <c r="IWI4" s="254"/>
      <c r="IWJ4" s="254"/>
      <c r="IWK4" s="254"/>
      <c r="IWL4" s="254"/>
      <c r="IWM4" s="254"/>
      <c r="IWN4" s="254"/>
      <c r="IWO4" s="254"/>
      <c r="IWP4" s="254"/>
      <c r="IWQ4" s="254"/>
      <c r="IWR4" s="254"/>
      <c r="IWS4" s="254"/>
      <c r="IWT4" s="254"/>
      <c r="IWU4" s="254"/>
      <c r="IWV4" s="254"/>
      <c r="IWW4" s="254"/>
      <c r="IWX4" s="254"/>
      <c r="IWY4" s="254"/>
      <c r="IWZ4" s="254"/>
      <c r="IXA4" s="254"/>
      <c r="IXB4" s="254"/>
      <c r="IXC4" s="254"/>
      <c r="IXD4" s="254"/>
      <c r="IXE4" s="254"/>
      <c r="IXF4" s="254"/>
      <c r="IXG4" s="254"/>
      <c r="IXH4" s="254"/>
      <c r="IXI4" s="254"/>
      <c r="IXJ4" s="254"/>
      <c r="IXK4" s="254"/>
      <c r="IXL4" s="254"/>
      <c r="IXM4" s="254"/>
      <c r="IXN4" s="254"/>
      <c r="IXO4" s="254"/>
      <c r="IXP4" s="254"/>
      <c r="IXQ4" s="254"/>
      <c r="IXR4" s="254"/>
      <c r="IXS4" s="254"/>
      <c r="IXT4" s="254"/>
      <c r="IXU4" s="254"/>
      <c r="IXV4" s="254"/>
      <c r="IXW4" s="254"/>
      <c r="IXX4" s="254"/>
      <c r="IXY4" s="254"/>
      <c r="IXZ4" s="254"/>
      <c r="IYA4" s="254"/>
      <c r="IYB4" s="254"/>
      <c r="IYC4" s="254"/>
      <c r="IYD4" s="254"/>
      <c r="IYE4" s="254"/>
      <c r="IYF4" s="254"/>
      <c r="IYG4" s="254"/>
      <c r="IYH4" s="254"/>
      <c r="IYI4" s="254"/>
      <c r="IYJ4" s="254"/>
      <c r="IYK4" s="254"/>
      <c r="IYL4" s="254"/>
      <c r="IYM4" s="254"/>
      <c r="IYN4" s="254"/>
      <c r="IYO4" s="254"/>
      <c r="IYP4" s="254"/>
      <c r="IYQ4" s="254"/>
      <c r="IYR4" s="254"/>
      <c r="IYS4" s="254"/>
      <c r="IYT4" s="254"/>
      <c r="IYU4" s="254"/>
      <c r="IYV4" s="254"/>
      <c r="IYW4" s="254"/>
      <c r="IYX4" s="254"/>
      <c r="IYY4" s="254"/>
      <c r="IYZ4" s="254"/>
      <c r="IZA4" s="254"/>
      <c r="IZB4" s="254"/>
      <c r="IZC4" s="254"/>
      <c r="IZD4" s="254"/>
      <c r="IZE4" s="254"/>
      <c r="IZF4" s="254"/>
      <c r="IZG4" s="254"/>
      <c r="IZH4" s="254"/>
      <c r="IZI4" s="254"/>
      <c r="IZJ4" s="254"/>
      <c r="IZK4" s="254"/>
      <c r="IZL4" s="254"/>
      <c r="IZM4" s="254"/>
      <c r="IZN4" s="254"/>
      <c r="IZO4" s="254"/>
      <c r="IZP4" s="254"/>
      <c r="IZQ4" s="254"/>
      <c r="IZR4" s="254"/>
      <c r="IZS4" s="254"/>
      <c r="IZT4" s="254"/>
      <c r="IZU4" s="254"/>
      <c r="IZV4" s="254"/>
      <c r="IZW4" s="254"/>
      <c r="IZX4" s="254"/>
      <c r="IZY4" s="254"/>
      <c r="IZZ4" s="254"/>
      <c r="JAA4" s="254"/>
      <c r="JAB4" s="254"/>
      <c r="JAC4" s="254"/>
      <c r="JAD4" s="254"/>
      <c r="JAE4" s="254"/>
      <c r="JAF4" s="254"/>
      <c r="JAG4" s="254"/>
      <c r="JAH4" s="254"/>
      <c r="JAI4" s="254"/>
      <c r="JAJ4" s="254"/>
      <c r="JAK4" s="254"/>
      <c r="JAL4" s="254"/>
      <c r="JAM4" s="254"/>
      <c r="JAN4" s="254"/>
      <c r="JAO4" s="254"/>
      <c r="JAP4" s="254"/>
      <c r="JAQ4" s="254"/>
      <c r="JAR4" s="254"/>
      <c r="JAS4" s="254"/>
      <c r="JAT4" s="254"/>
      <c r="JAU4" s="254"/>
      <c r="JAV4" s="254"/>
      <c r="JAW4" s="254"/>
      <c r="JAX4" s="254"/>
      <c r="JAY4" s="254"/>
      <c r="JAZ4" s="254"/>
      <c r="JBA4" s="254"/>
      <c r="JBB4" s="254"/>
      <c r="JBC4" s="254"/>
      <c r="JBD4" s="254"/>
      <c r="JBE4" s="254"/>
      <c r="JBF4" s="254"/>
      <c r="JBG4" s="254"/>
      <c r="JBH4" s="254"/>
      <c r="JBI4" s="254"/>
      <c r="JBJ4" s="254"/>
      <c r="JBK4" s="254"/>
      <c r="JBL4" s="254"/>
      <c r="JBM4" s="254"/>
      <c r="JBN4" s="254"/>
      <c r="JBO4" s="254"/>
      <c r="JBP4" s="254"/>
      <c r="JBQ4" s="254"/>
      <c r="JBR4" s="254"/>
      <c r="JBS4" s="254"/>
      <c r="JBT4" s="254"/>
      <c r="JBU4" s="254"/>
      <c r="JBV4" s="254"/>
      <c r="JBW4" s="254"/>
      <c r="JBX4" s="254"/>
      <c r="JBY4" s="254"/>
      <c r="JBZ4" s="254"/>
      <c r="JCA4" s="254"/>
      <c r="JCB4" s="254"/>
      <c r="JCC4" s="254"/>
      <c r="JCD4" s="254"/>
      <c r="JCE4" s="254"/>
      <c r="JCF4" s="254"/>
      <c r="JCG4" s="254"/>
      <c r="JCH4" s="254"/>
      <c r="JCI4" s="254"/>
      <c r="JCJ4" s="254"/>
      <c r="JCK4" s="254"/>
      <c r="JCL4" s="254"/>
      <c r="JCM4" s="254"/>
      <c r="JCN4" s="254"/>
      <c r="JCO4" s="254"/>
      <c r="JCP4" s="254"/>
      <c r="JCQ4" s="254"/>
      <c r="JCR4" s="254"/>
      <c r="JCS4" s="254"/>
      <c r="JCT4" s="254"/>
      <c r="JCU4" s="254"/>
      <c r="JCV4" s="254"/>
      <c r="JCW4" s="254"/>
      <c r="JCX4" s="254"/>
      <c r="JCY4" s="254"/>
      <c r="JCZ4" s="254"/>
      <c r="JDA4" s="254"/>
      <c r="JDB4" s="254"/>
      <c r="JDC4" s="254"/>
      <c r="JDD4" s="254"/>
      <c r="JDE4" s="254"/>
      <c r="JDF4" s="254"/>
      <c r="JDG4" s="254"/>
      <c r="JDH4" s="254"/>
      <c r="JDI4" s="254"/>
      <c r="JDJ4" s="254"/>
      <c r="JDK4" s="254"/>
      <c r="JDL4" s="254"/>
      <c r="JDM4" s="254"/>
      <c r="JDN4" s="254"/>
      <c r="JDO4" s="254"/>
      <c r="JDP4" s="254"/>
      <c r="JDQ4" s="254"/>
      <c r="JDR4" s="254"/>
      <c r="JDS4" s="254"/>
      <c r="JDT4" s="254"/>
      <c r="JDU4" s="254"/>
      <c r="JDV4" s="254"/>
      <c r="JDW4" s="254"/>
      <c r="JDX4" s="254"/>
      <c r="JDY4" s="254"/>
      <c r="JDZ4" s="254"/>
      <c r="JEA4" s="254"/>
      <c r="JEB4" s="254"/>
      <c r="JEC4" s="254"/>
      <c r="JED4" s="254"/>
      <c r="JEE4" s="254"/>
      <c r="JEF4" s="254"/>
      <c r="JEG4" s="254"/>
      <c r="JEH4" s="254"/>
      <c r="JEI4" s="254"/>
      <c r="JEJ4" s="254"/>
      <c r="JEK4" s="254"/>
      <c r="JEL4" s="254"/>
      <c r="JEM4" s="254"/>
      <c r="JEN4" s="254"/>
      <c r="JEO4" s="254"/>
      <c r="JEP4" s="254"/>
      <c r="JEQ4" s="254"/>
      <c r="JER4" s="254"/>
      <c r="JES4" s="254"/>
      <c r="JET4" s="254"/>
      <c r="JEU4" s="254"/>
      <c r="JEV4" s="254"/>
      <c r="JEW4" s="254"/>
      <c r="JEX4" s="254"/>
      <c r="JEY4" s="254"/>
      <c r="JEZ4" s="254"/>
      <c r="JFA4" s="254"/>
      <c r="JFB4" s="254"/>
      <c r="JFC4" s="254"/>
      <c r="JFD4" s="254"/>
      <c r="JFE4" s="254"/>
      <c r="JFF4" s="254"/>
      <c r="JFG4" s="254"/>
      <c r="JFH4" s="254"/>
      <c r="JFI4" s="254"/>
      <c r="JFJ4" s="254"/>
      <c r="JFK4" s="254"/>
      <c r="JFL4" s="254"/>
      <c r="JFM4" s="254"/>
      <c r="JFN4" s="254"/>
      <c r="JFO4" s="254"/>
      <c r="JFP4" s="254"/>
      <c r="JFQ4" s="254"/>
      <c r="JFR4" s="254"/>
      <c r="JFS4" s="254"/>
      <c r="JFT4" s="254"/>
      <c r="JFU4" s="254"/>
      <c r="JFV4" s="254"/>
      <c r="JFW4" s="254"/>
      <c r="JFX4" s="254"/>
      <c r="JFY4" s="254"/>
      <c r="JFZ4" s="254"/>
      <c r="JGA4" s="254"/>
      <c r="JGB4" s="254"/>
      <c r="JGC4" s="254"/>
      <c r="JGD4" s="254"/>
      <c r="JGE4" s="254"/>
      <c r="JGF4" s="254"/>
      <c r="JGG4" s="254"/>
      <c r="JGH4" s="254"/>
      <c r="JGI4" s="254"/>
      <c r="JGJ4" s="254"/>
      <c r="JGK4" s="254"/>
      <c r="JGL4" s="254"/>
      <c r="JGM4" s="254"/>
      <c r="JGN4" s="254"/>
      <c r="JGO4" s="254"/>
      <c r="JGP4" s="254"/>
      <c r="JGQ4" s="254"/>
      <c r="JGR4" s="254"/>
      <c r="JGS4" s="254"/>
      <c r="JGT4" s="254"/>
      <c r="JGU4" s="254"/>
      <c r="JGV4" s="254"/>
      <c r="JGW4" s="254"/>
      <c r="JGX4" s="254"/>
      <c r="JGY4" s="254"/>
      <c r="JGZ4" s="254"/>
      <c r="JHA4" s="254"/>
      <c r="JHB4" s="254"/>
      <c r="JHC4" s="254"/>
      <c r="JHD4" s="254"/>
      <c r="JHE4" s="254"/>
      <c r="JHF4" s="254"/>
      <c r="JHG4" s="254"/>
      <c r="JHH4" s="254"/>
      <c r="JHI4" s="254"/>
      <c r="JHJ4" s="254"/>
      <c r="JHK4" s="254"/>
      <c r="JHL4" s="254"/>
      <c r="JHM4" s="254"/>
      <c r="JHN4" s="254"/>
      <c r="JHO4" s="254"/>
      <c r="JHP4" s="254"/>
      <c r="JHQ4" s="254"/>
      <c r="JHR4" s="254"/>
      <c r="JHS4" s="254"/>
      <c r="JHT4" s="254"/>
      <c r="JHU4" s="254"/>
      <c r="JHV4" s="254"/>
      <c r="JHW4" s="254"/>
      <c r="JHX4" s="254"/>
      <c r="JHY4" s="254"/>
      <c r="JHZ4" s="254"/>
      <c r="JIA4" s="254"/>
      <c r="JIB4" s="254"/>
      <c r="JIC4" s="254"/>
      <c r="JID4" s="254"/>
      <c r="JIE4" s="254"/>
      <c r="JIF4" s="254"/>
      <c r="JIG4" s="254"/>
      <c r="JIH4" s="254"/>
      <c r="JII4" s="254"/>
      <c r="JIJ4" s="254"/>
      <c r="JIK4" s="254"/>
      <c r="JIL4" s="254"/>
      <c r="JIM4" s="254"/>
      <c r="JIN4" s="254"/>
      <c r="JIO4" s="254"/>
      <c r="JIP4" s="254"/>
      <c r="JIQ4" s="254"/>
      <c r="JIR4" s="254"/>
      <c r="JIS4" s="254"/>
      <c r="JIT4" s="254"/>
      <c r="JIU4" s="254"/>
      <c r="JIV4" s="254"/>
      <c r="JIW4" s="254"/>
      <c r="JIX4" s="254"/>
      <c r="JIY4" s="254"/>
      <c r="JIZ4" s="254"/>
      <c r="JJA4" s="254"/>
      <c r="JJB4" s="254"/>
      <c r="JJC4" s="254"/>
      <c r="JJD4" s="254"/>
      <c r="JJE4" s="254"/>
      <c r="JJF4" s="254"/>
      <c r="JJG4" s="254"/>
      <c r="JJH4" s="254"/>
      <c r="JJI4" s="254"/>
      <c r="JJJ4" s="254"/>
      <c r="JJK4" s="254"/>
      <c r="JJL4" s="254"/>
      <c r="JJM4" s="254"/>
      <c r="JJN4" s="254"/>
      <c r="JJO4" s="254"/>
      <c r="JJP4" s="254"/>
      <c r="JJQ4" s="254"/>
      <c r="JJR4" s="254"/>
      <c r="JJS4" s="254"/>
      <c r="JJT4" s="254"/>
      <c r="JJU4" s="254"/>
      <c r="JJV4" s="254"/>
      <c r="JJW4" s="254"/>
      <c r="JJX4" s="254"/>
      <c r="JJY4" s="254"/>
      <c r="JJZ4" s="254"/>
      <c r="JKA4" s="254"/>
      <c r="JKB4" s="254"/>
      <c r="JKC4" s="254"/>
      <c r="JKD4" s="254"/>
      <c r="JKE4" s="254"/>
      <c r="JKF4" s="254"/>
      <c r="JKG4" s="254"/>
      <c r="JKH4" s="254"/>
      <c r="JKI4" s="254"/>
      <c r="JKJ4" s="254"/>
      <c r="JKK4" s="254"/>
      <c r="JKL4" s="254"/>
      <c r="JKM4" s="254"/>
      <c r="JKN4" s="254"/>
      <c r="JKO4" s="254"/>
      <c r="JKP4" s="254"/>
      <c r="JKQ4" s="254"/>
      <c r="JKR4" s="254"/>
      <c r="JKS4" s="254"/>
      <c r="JKT4" s="254"/>
      <c r="JKU4" s="254"/>
      <c r="JKV4" s="254"/>
      <c r="JKW4" s="254"/>
      <c r="JKX4" s="254"/>
      <c r="JKY4" s="254"/>
      <c r="JKZ4" s="254"/>
      <c r="JLA4" s="254"/>
      <c r="JLB4" s="254"/>
      <c r="JLC4" s="254"/>
      <c r="JLD4" s="254"/>
      <c r="JLE4" s="254"/>
      <c r="JLF4" s="254"/>
      <c r="JLG4" s="254"/>
      <c r="JLH4" s="254"/>
      <c r="JLI4" s="254"/>
      <c r="JLJ4" s="254"/>
      <c r="JLK4" s="254"/>
      <c r="JLL4" s="254"/>
      <c r="JLM4" s="254"/>
      <c r="JLN4" s="254"/>
      <c r="JLO4" s="254"/>
      <c r="JLP4" s="254"/>
      <c r="JLQ4" s="254"/>
      <c r="JLR4" s="254"/>
      <c r="JLS4" s="254"/>
      <c r="JLT4" s="254"/>
      <c r="JLU4" s="254"/>
      <c r="JLV4" s="254"/>
      <c r="JLW4" s="254"/>
      <c r="JLX4" s="254"/>
      <c r="JLY4" s="254"/>
      <c r="JLZ4" s="254"/>
      <c r="JMA4" s="254"/>
      <c r="JMB4" s="254"/>
      <c r="JMC4" s="254"/>
      <c r="JMD4" s="254"/>
      <c r="JME4" s="254"/>
      <c r="JMF4" s="254"/>
      <c r="JMG4" s="254"/>
      <c r="JMH4" s="254"/>
      <c r="JMI4" s="254"/>
      <c r="JMJ4" s="254"/>
      <c r="JMK4" s="254"/>
      <c r="JML4" s="254"/>
      <c r="JMM4" s="254"/>
      <c r="JMN4" s="254"/>
      <c r="JMO4" s="254"/>
      <c r="JMP4" s="254"/>
      <c r="JMQ4" s="254"/>
      <c r="JMR4" s="254"/>
      <c r="JMS4" s="254"/>
      <c r="JMT4" s="254"/>
      <c r="JMU4" s="254"/>
      <c r="JMV4" s="254"/>
      <c r="JMW4" s="254"/>
      <c r="JMX4" s="254"/>
      <c r="JMY4" s="254"/>
      <c r="JMZ4" s="254"/>
      <c r="JNA4" s="254"/>
      <c r="JNB4" s="254"/>
      <c r="JNC4" s="254"/>
      <c r="JND4" s="254"/>
      <c r="JNE4" s="254"/>
      <c r="JNF4" s="254"/>
      <c r="JNG4" s="254"/>
      <c r="JNH4" s="254"/>
      <c r="JNI4" s="254"/>
      <c r="JNJ4" s="254"/>
      <c r="JNK4" s="254"/>
      <c r="JNL4" s="254"/>
      <c r="JNM4" s="254"/>
      <c r="JNN4" s="254"/>
      <c r="JNO4" s="254"/>
      <c r="JNP4" s="254"/>
      <c r="JNQ4" s="254"/>
      <c r="JNR4" s="254"/>
      <c r="JNS4" s="254"/>
      <c r="JNT4" s="254"/>
      <c r="JNU4" s="254"/>
      <c r="JNV4" s="254"/>
      <c r="JNW4" s="254"/>
      <c r="JNX4" s="254"/>
      <c r="JNY4" s="254"/>
      <c r="JNZ4" s="254"/>
      <c r="JOA4" s="254"/>
      <c r="JOB4" s="254"/>
      <c r="JOC4" s="254"/>
      <c r="JOD4" s="254"/>
      <c r="JOE4" s="254"/>
      <c r="JOF4" s="254"/>
      <c r="JOG4" s="254"/>
      <c r="JOH4" s="254"/>
      <c r="JOI4" s="254"/>
      <c r="JOJ4" s="254"/>
      <c r="JOK4" s="254"/>
      <c r="JOL4" s="254"/>
      <c r="JOM4" s="254"/>
      <c r="JON4" s="254"/>
      <c r="JOO4" s="254"/>
      <c r="JOP4" s="254"/>
      <c r="JOQ4" s="254"/>
      <c r="JOR4" s="254"/>
      <c r="JOS4" s="254"/>
      <c r="JOT4" s="254"/>
      <c r="JOU4" s="254"/>
      <c r="JOV4" s="254"/>
      <c r="JOW4" s="254"/>
      <c r="JOX4" s="254"/>
      <c r="JOY4" s="254"/>
      <c r="JOZ4" s="254"/>
      <c r="JPA4" s="254"/>
      <c r="JPB4" s="254"/>
      <c r="JPC4" s="254"/>
      <c r="JPD4" s="254"/>
      <c r="JPE4" s="254"/>
      <c r="JPF4" s="254"/>
      <c r="JPG4" s="254"/>
      <c r="JPH4" s="254"/>
      <c r="JPI4" s="254"/>
      <c r="JPJ4" s="254"/>
      <c r="JPK4" s="254"/>
      <c r="JPL4" s="254"/>
      <c r="JPM4" s="254"/>
      <c r="JPN4" s="254"/>
      <c r="JPO4" s="254"/>
      <c r="JPP4" s="254"/>
      <c r="JPQ4" s="254"/>
      <c r="JPR4" s="254"/>
      <c r="JPS4" s="254"/>
      <c r="JPT4" s="254"/>
      <c r="JPU4" s="254"/>
      <c r="JPV4" s="254"/>
      <c r="JPW4" s="254"/>
      <c r="JPX4" s="254"/>
      <c r="JPY4" s="254"/>
      <c r="JPZ4" s="254"/>
      <c r="JQA4" s="254"/>
      <c r="JQB4" s="254"/>
      <c r="JQC4" s="254"/>
      <c r="JQD4" s="254"/>
      <c r="JQE4" s="254"/>
      <c r="JQF4" s="254"/>
      <c r="JQG4" s="254"/>
      <c r="JQH4" s="254"/>
      <c r="JQI4" s="254"/>
      <c r="JQJ4" s="254"/>
      <c r="JQK4" s="254"/>
      <c r="JQL4" s="254"/>
      <c r="JQM4" s="254"/>
      <c r="JQN4" s="254"/>
      <c r="JQO4" s="254"/>
      <c r="JQP4" s="254"/>
      <c r="JQQ4" s="254"/>
      <c r="JQR4" s="254"/>
      <c r="JQS4" s="254"/>
      <c r="JQT4" s="254"/>
      <c r="JQU4" s="254"/>
      <c r="JQV4" s="254"/>
      <c r="JQW4" s="254"/>
      <c r="JQX4" s="254"/>
      <c r="JQY4" s="254"/>
      <c r="JQZ4" s="254"/>
      <c r="JRA4" s="254"/>
      <c r="JRB4" s="254"/>
      <c r="JRC4" s="254"/>
      <c r="JRD4" s="254"/>
      <c r="JRE4" s="254"/>
      <c r="JRF4" s="254"/>
      <c r="JRG4" s="254"/>
      <c r="JRH4" s="254"/>
      <c r="JRI4" s="254"/>
      <c r="JRJ4" s="254"/>
      <c r="JRK4" s="254"/>
      <c r="JRL4" s="254"/>
      <c r="JRM4" s="254"/>
      <c r="JRN4" s="254"/>
      <c r="JRO4" s="254"/>
      <c r="JRP4" s="254"/>
      <c r="JRQ4" s="254"/>
      <c r="JRR4" s="254"/>
      <c r="JRS4" s="254"/>
      <c r="JRT4" s="254"/>
      <c r="JRU4" s="254"/>
      <c r="JRV4" s="254"/>
      <c r="JRW4" s="254"/>
      <c r="JRX4" s="254"/>
      <c r="JRY4" s="254"/>
      <c r="JRZ4" s="254"/>
      <c r="JSA4" s="254"/>
      <c r="JSB4" s="254"/>
      <c r="JSC4" s="254"/>
      <c r="JSD4" s="254"/>
      <c r="JSE4" s="254"/>
      <c r="JSF4" s="254"/>
      <c r="JSG4" s="254"/>
      <c r="JSH4" s="254"/>
      <c r="JSI4" s="254"/>
      <c r="JSJ4" s="254"/>
      <c r="JSK4" s="254"/>
      <c r="JSL4" s="254"/>
      <c r="JSM4" s="254"/>
      <c r="JSN4" s="254"/>
      <c r="JSO4" s="254"/>
      <c r="JSP4" s="254"/>
      <c r="JSQ4" s="254"/>
      <c r="JSR4" s="254"/>
      <c r="JSS4" s="254"/>
      <c r="JST4" s="254"/>
      <c r="JSU4" s="254"/>
      <c r="JSV4" s="254"/>
      <c r="JSW4" s="254"/>
      <c r="JSX4" s="254"/>
      <c r="JSY4" s="254"/>
      <c r="JSZ4" s="254"/>
      <c r="JTA4" s="254"/>
      <c r="JTB4" s="254"/>
      <c r="JTC4" s="254"/>
      <c r="JTD4" s="254"/>
      <c r="JTE4" s="254"/>
      <c r="JTF4" s="254"/>
      <c r="JTG4" s="254"/>
      <c r="JTH4" s="254"/>
      <c r="JTI4" s="254"/>
      <c r="JTJ4" s="254"/>
      <c r="JTK4" s="254"/>
      <c r="JTL4" s="254"/>
      <c r="JTM4" s="254"/>
      <c r="JTN4" s="254"/>
      <c r="JTO4" s="254"/>
      <c r="JTP4" s="254"/>
      <c r="JTQ4" s="254"/>
      <c r="JTR4" s="254"/>
      <c r="JTS4" s="254"/>
      <c r="JTT4" s="254"/>
      <c r="JTU4" s="254"/>
      <c r="JTV4" s="254"/>
      <c r="JTW4" s="254"/>
      <c r="JTX4" s="254"/>
      <c r="JTY4" s="254"/>
      <c r="JTZ4" s="254"/>
      <c r="JUA4" s="254"/>
      <c r="JUB4" s="254"/>
      <c r="JUC4" s="254"/>
      <c r="JUD4" s="254"/>
      <c r="JUE4" s="254"/>
      <c r="JUF4" s="254"/>
      <c r="JUG4" s="254"/>
      <c r="JUH4" s="254"/>
      <c r="JUI4" s="254"/>
      <c r="JUJ4" s="254"/>
      <c r="JUK4" s="254"/>
      <c r="JUL4" s="254"/>
      <c r="JUM4" s="254"/>
      <c r="JUN4" s="254"/>
      <c r="JUO4" s="254"/>
      <c r="JUP4" s="254"/>
      <c r="JUQ4" s="254"/>
      <c r="JUR4" s="254"/>
      <c r="JUS4" s="254"/>
      <c r="JUT4" s="254"/>
      <c r="JUU4" s="254"/>
      <c r="JUV4" s="254"/>
      <c r="JUW4" s="254"/>
      <c r="JUX4" s="254"/>
      <c r="JUY4" s="254"/>
      <c r="JUZ4" s="254"/>
      <c r="JVA4" s="254"/>
      <c r="JVB4" s="254"/>
      <c r="JVC4" s="254"/>
      <c r="JVD4" s="254"/>
      <c r="JVE4" s="254"/>
      <c r="JVF4" s="254"/>
      <c r="JVG4" s="254"/>
      <c r="JVH4" s="254"/>
      <c r="JVI4" s="254"/>
      <c r="JVJ4" s="254"/>
      <c r="JVK4" s="254"/>
      <c r="JVL4" s="254"/>
      <c r="JVM4" s="254"/>
      <c r="JVN4" s="254"/>
      <c r="JVO4" s="254"/>
      <c r="JVP4" s="254"/>
      <c r="JVQ4" s="254"/>
      <c r="JVR4" s="254"/>
      <c r="JVS4" s="254"/>
      <c r="JVT4" s="254"/>
      <c r="JVU4" s="254"/>
      <c r="JVV4" s="254"/>
      <c r="JVW4" s="254"/>
      <c r="JVX4" s="254"/>
      <c r="JVY4" s="254"/>
      <c r="JVZ4" s="254"/>
      <c r="JWA4" s="254"/>
      <c r="JWB4" s="254"/>
      <c r="JWC4" s="254"/>
      <c r="JWD4" s="254"/>
      <c r="JWE4" s="254"/>
      <c r="JWF4" s="254"/>
      <c r="JWG4" s="254"/>
      <c r="JWH4" s="254"/>
      <c r="JWI4" s="254"/>
      <c r="JWJ4" s="254"/>
      <c r="JWK4" s="254"/>
      <c r="JWL4" s="254"/>
      <c r="JWM4" s="254"/>
      <c r="JWN4" s="254"/>
      <c r="JWO4" s="254"/>
      <c r="JWP4" s="254"/>
      <c r="JWQ4" s="254"/>
      <c r="JWR4" s="254"/>
      <c r="JWS4" s="254"/>
      <c r="JWT4" s="254"/>
      <c r="JWU4" s="254"/>
      <c r="JWV4" s="254"/>
      <c r="JWW4" s="254"/>
      <c r="JWX4" s="254"/>
      <c r="JWY4" s="254"/>
      <c r="JWZ4" s="254"/>
      <c r="JXA4" s="254"/>
      <c r="JXB4" s="254"/>
      <c r="JXC4" s="254"/>
      <c r="JXD4" s="254"/>
      <c r="JXE4" s="254"/>
      <c r="JXF4" s="254"/>
      <c r="JXG4" s="254"/>
      <c r="JXH4" s="254"/>
      <c r="JXI4" s="254"/>
      <c r="JXJ4" s="254"/>
      <c r="JXK4" s="254"/>
      <c r="JXL4" s="254"/>
      <c r="JXM4" s="254"/>
      <c r="JXN4" s="254"/>
      <c r="JXO4" s="254"/>
      <c r="JXP4" s="254"/>
      <c r="JXQ4" s="254"/>
      <c r="JXR4" s="254"/>
      <c r="JXS4" s="254"/>
      <c r="JXT4" s="254"/>
      <c r="JXU4" s="254"/>
      <c r="JXV4" s="254"/>
      <c r="JXW4" s="254"/>
      <c r="JXX4" s="254"/>
      <c r="JXY4" s="254"/>
      <c r="JXZ4" s="254"/>
      <c r="JYA4" s="254"/>
      <c r="JYB4" s="254"/>
      <c r="JYC4" s="254"/>
      <c r="JYD4" s="254"/>
      <c r="JYE4" s="254"/>
      <c r="JYF4" s="254"/>
      <c r="JYG4" s="254"/>
      <c r="JYH4" s="254"/>
      <c r="JYI4" s="254"/>
      <c r="JYJ4" s="254"/>
      <c r="JYK4" s="254"/>
      <c r="JYL4" s="254"/>
      <c r="JYM4" s="254"/>
      <c r="JYN4" s="254"/>
      <c r="JYO4" s="254"/>
      <c r="JYP4" s="254"/>
      <c r="JYQ4" s="254"/>
      <c r="JYR4" s="254"/>
      <c r="JYS4" s="254"/>
      <c r="JYT4" s="254"/>
      <c r="JYU4" s="254"/>
      <c r="JYV4" s="254"/>
      <c r="JYW4" s="254"/>
      <c r="JYX4" s="254"/>
      <c r="JYY4" s="254"/>
      <c r="JYZ4" s="254"/>
      <c r="JZA4" s="254"/>
      <c r="JZB4" s="254"/>
      <c r="JZC4" s="254"/>
      <c r="JZD4" s="254"/>
      <c r="JZE4" s="254"/>
      <c r="JZF4" s="254"/>
      <c r="JZG4" s="254"/>
      <c r="JZH4" s="254"/>
      <c r="JZI4" s="254"/>
      <c r="JZJ4" s="254"/>
      <c r="JZK4" s="254"/>
      <c r="JZL4" s="254"/>
      <c r="JZM4" s="254"/>
      <c r="JZN4" s="254"/>
      <c r="JZO4" s="254"/>
      <c r="JZP4" s="254"/>
      <c r="JZQ4" s="254"/>
      <c r="JZR4" s="254"/>
      <c r="JZS4" s="254"/>
      <c r="JZT4" s="254"/>
      <c r="JZU4" s="254"/>
      <c r="JZV4" s="254"/>
      <c r="JZW4" s="254"/>
      <c r="JZX4" s="254"/>
      <c r="JZY4" s="254"/>
      <c r="JZZ4" s="254"/>
      <c r="KAA4" s="254"/>
      <c r="KAB4" s="254"/>
      <c r="KAC4" s="254"/>
      <c r="KAD4" s="254"/>
      <c r="KAE4" s="254"/>
      <c r="KAF4" s="254"/>
      <c r="KAG4" s="254"/>
      <c r="KAH4" s="254"/>
      <c r="KAI4" s="254"/>
      <c r="KAJ4" s="254"/>
      <c r="KAK4" s="254"/>
      <c r="KAL4" s="254"/>
      <c r="KAM4" s="254"/>
      <c r="KAN4" s="254"/>
      <c r="KAO4" s="254"/>
      <c r="KAP4" s="254"/>
      <c r="KAQ4" s="254"/>
      <c r="KAR4" s="254"/>
      <c r="KAS4" s="254"/>
      <c r="KAT4" s="254"/>
      <c r="KAU4" s="254"/>
      <c r="KAV4" s="254"/>
      <c r="KAW4" s="254"/>
      <c r="KAX4" s="254"/>
      <c r="KAY4" s="254"/>
      <c r="KAZ4" s="254"/>
      <c r="KBA4" s="254"/>
      <c r="KBB4" s="254"/>
      <c r="KBC4" s="254"/>
      <c r="KBD4" s="254"/>
      <c r="KBE4" s="254"/>
      <c r="KBF4" s="254"/>
      <c r="KBG4" s="254"/>
      <c r="KBH4" s="254"/>
      <c r="KBI4" s="254"/>
      <c r="KBJ4" s="254"/>
      <c r="KBK4" s="254"/>
      <c r="KBL4" s="254"/>
      <c r="KBM4" s="254"/>
      <c r="KBN4" s="254"/>
      <c r="KBO4" s="254"/>
      <c r="KBP4" s="254"/>
      <c r="KBQ4" s="254"/>
      <c r="KBR4" s="254"/>
      <c r="KBS4" s="254"/>
      <c r="KBT4" s="254"/>
      <c r="KBU4" s="254"/>
      <c r="KBV4" s="254"/>
      <c r="KBW4" s="254"/>
      <c r="KBX4" s="254"/>
      <c r="KBY4" s="254"/>
      <c r="KBZ4" s="254"/>
      <c r="KCA4" s="254"/>
      <c r="KCB4" s="254"/>
      <c r="KCC4" s="254"/>
      <c r="KCD4" s="254"/>
      <c r="KCE4" s="254"/>
      <c r="KCF4" s="254"/>
      <c r="KCG4" s="254"/>
      <c r="KCH4" s="254"/>
      <c r="KCI4" s="254"/>
      <c r="KCJ4" s="254"/>
      <c r="KCK4" s="254"/>
      <c r="KCL4" s="254"/>
      <c r="KCM4" s="254"/>
      <c r="KCN4" s="254"/>
      <c r="KCO4" s="254"/>
      <c r="KCP4" s="254"/>
      <c r="KCQ4" s="254"/>
      <c r="KCR4" s="254"/>
      <c r="KCS4" s="254"/>
      <c r="KCT4" s="254"/>
      <c r="KCU4" s="254"/>
      <c r="KCV4" s="254"/>
      <c r="KCW4" s="254"/>
      <c r="KCX4" s="254"/>
      <c r="KCY4" s="254"/>
      <c r="KCZ4" s="254"/>
      <c r="KDA4" s="254"/>
      <c r="KDB4" s="254"/>
      <c r="KDC4" s="254"/>
      <c r="KDD4" s="254"/>
      <c r="KDE4" s="254"/>
      <c r="KDF4" s="254"/>
      <c r="KDG4" s="254"/>
      <c r="KDH4" s="254"/>
      <c r="KDI4" s="254"/>
      <c r="KDJ4" s="254"/>
      <c r="KDK4" s="254"/>
      <c r="KDL4" s="254"/>
      <c r="KDM4" s="254"/>
      <c r="KDN4" s="254"/>
      <c r="KDO4" s="254"/>
      <c r="KDP4" s="254"/>
      <c r="KDQ4" s="254"/>
      <c r="KDR4" s="254"/>
      <c r="KDS4" s="254"/>
      <c r="KDT4" s="254"/>
      <c r="KDU4" s="254"/>
      <c r="KDV4" s="254"/>
      <c r="KDW4" s="254"/>
      <c r="KDX4" s="254"/>
      <c r="KDY4" s="254"/>
      <c r="KDZ4" s="254"/>
      <c r="KEA4" s="254"/>
      <c r="KEB4" s="254"/>
      <c r="KEC4" s="254"/>
      <c r="KED4" s="254"/>
      <c r="KEE4" s="254"/>
      <c r="KEF4" s="254"/>
      <c r="KEG4" s="254"/>
      <c r="KEH4" s="254"/>
      <c r="KEI4" s="254"/>
      <c r="KEJ4" s="254"/>
      <c r="KEK4" s="254"/>
      <c r="KEL4" s="254"/>
      <c r="KEM4" s="254"/>
      <c r="KEN4" s="254"/>
      <c r="KEO4" s="254"/>
      <c r="KEP4" s="254"/>
      <c r="KEQ4" s="254"/>
      <c r="KER4" s="254"/>
      <c r="KES4" s="254"/>
      <c r="KET4" s="254"/>
      <c r="KEU4" s="254"/>
      <c r="KEV4" s="254"/>
      <c r="KEW4" s="254"/>
      <c r="KEX4" s="254"/>
      <c r="KEY4" s="254"/>
      <c r="KEZ4" s="254"/>
      <c r="KFA4" s="254"/>
      <c r="KFB4" s="254"/>
      <c r="KFC4" s="254"/>
      <c r="KFD4" s="254"/>
      <c r="KFE4" s="254"/>
      <c r="KFF4" s="254"/>
      <c r="KFG4" s="254"/>
      <c r="KFH4" s="254"/>
      <c r="KFI4" s="254"/>
      <c r="KFJ4" s="254"/>
      <c r="KFK4" s="254"/>
      <c r="KFL4" s="254"/>
      <c r="KFM4" s="254"/>
      <c r="KFN4" s="254"/>
      <c r="KFO4" s="254"/>
      <c r="KFP4" s="254"/>
      <c r="KFQ4" s="254"/>
      <c r="KFR4" s="254"/>
      <c r="KFS4" s="254"/>
      <c r="KFT4" s="254"/>
      <c r="KFU4" s="254"/>
      <c r="KFV4" s="254"/>
      <c r="KFW4" s="254"/>
      <c r="KFX4" s="254"/>
      <c r="KFY4" s="254"/>
      <c r="KFZ4" s="254"/>
      <c r="KGA4" s="254"/>
      <c r="KGB4" s="254"/>
      <c r="KGC4" s="254"/>
      <c r="KGD4" s="254"/>
      <c r="KGE4" s="254"/>
      <c r="KGF4" s="254"/>
      <c r="KGG4" s="254"/>
      <c r="KGH4" s="254"/>
      <c r="KGI4" s="254"/>
      <c r="KGJ4" s="254"/>
      <c r="KGK4" s="254"/>
      <c r="KGL4" s="254"/>
      <c r="KGM4" s="254"/>
      <c r="KGN4" s="254"/>
      <c r="KGO4" s="254"/>
      <c r="KGP4" s="254"/>
      <c r="KGQ4" s="254"/>
      <c r="KGR4" s="254"/>
      <c r="KGS4" s="254"/>
      <c r="KGT4" s="254"/>
      <c r="KGU4" s="254"/>
      <c r="KGV4" s="254"/>
      <c r="KGW4" s="254"/>
      <c r="KGX4" s="254"/>
      <c r="KGY4" s="254"/>
      <c r="KGZ4" s="254"/>
      <c r="KHA4" s="254"/>
      <c r="KHB4" s="254"/>
      <c r="KHC4" s="254"/>
      <c r="KHD4" s="254"/>
      <c r="KHE4" s="254"/>
      <c r="KHF4" s="254"/>
      <c r="KHG4" s="254"/>
      <c r="KHH4" s="254"/>
      <c r="KHI4" s="254"/>
      <c r="KHJ4" s="254"/>
      <c r="KHK4" s="254"/>
      <c r="KHL4" s="254"/>
      <c r="KHM4" s="254"/>
      <c r="KHN4" s="254"/>
      <c r="KHO4" s="254"/>
      <c r="KHP4" s="254"/>
      <c r="KHQ4" s="254"/>
      <c r="KHR4" s="254"/>
      <c r="KHS4" s="254"/>
      <c r="KHT4" s="254"/>
      <c r="KHU4" s="254"/>
      <c r="KHV4" s="254"/>
      <c r="KHW4" s="254"/>
      <c r="KHX4" s="254"/>
      <c r="KHY4" s="254"/>
      <c r="KHZ4" s="254"/>
      <c r="KIA4" s="254"/>
      <c r="KIB4" s="254"/>
      <c r="KIC4" s="254"/>
      <c r="KID4" s="254"/>
      <c r="KIE4" s="254"/>
      <c r="KIF4" s="254"/>
      <c r="KIG4" s="254"/>
      <c r="KIH4" s="254"/>
      <c r="KII4" s="254"/>
      <c r="KIJ4" s="254"/>
      <c r="KIK4" s="254"/>
      <c r="KIL4" s="254"/>
      <c r="KIM4" s="254"/>
      <c r="KIN4" s="254"/>
      <c r="KIO4" s="254"/>
      <c r="KIP4" s="254"/>
      <c r="KIQ4" s="254"/>
      <c r="KIR4" s="254"/>
      <c r="KIS4" s="254"/>
      <c r="KIT4" s="254"/>
      <c r="KIU4" s="254"/>
      <c r="KIV4" s="254"/>
      <c r="KIW4" s="254"/>
      <c r="KIX4" s="254"/>
      <c r="KIY4" s="254"/>
      <c r="KIZ4" s="254"/>
      <c r="KJA4" s="254"/>
      <c r="KJB4" s="254"/>
      <c r="KJC4" s="254"/>
      <c r="KJD4" s="254"/>
      <c r="KJE4" s="254"/>
      <c r="KJF4" s="254"/>
      <c r="KJG4" s="254"/>
      <c r="KJH4" s="254"/>
      <c r="KJI4" s="254"/>
      <c r="KJJ4" s="254"/>
      <c r="KJK4" s="254"/>
      <c r="KJL4" s="254"/>
      <c r="KJM4" s="254"/>
      <c r="KJN4" s="254"/>
      <c r="KJO4" s="254"/>
      <c r="KJP4" s="254"/>
      <c r="KJQ4" s="254"/>
      <c r="KJR4" s="254"/>
      <c r="KJS4" s="254"/>
      <c r="KJT4" s="254"/>
      <c r="KJU4" s="254"/>
      <c r="KJV4" s="254"/>
      <c r="KJW4" s="254"/>
      <c r="KJX4" s="254"/>
      <c r="KJY4" s="254"/>
      <c r="KJZ4" s="254"/>
      <c r="KKA4" s="254"/>
      <c r="KKB4" s="254"/>
      <c r="KKC4" s="254"/>
      <c r="KKD4" s="254"/>
      <c r="KKE4" s="254"/>
      <c r="KKF4" s="254"/>
      <c r="KKG4" s="254"/>
      <c r="KKH4" s="254"/>
      <c r="KKI4" s="254"/>
      <c r="KKJ4" s="254"/>
      <c r="KKK4" s="254"/>
      <c r="KKL4" s="254"/>
      <c r="KKM4" s="254"/>
      <c r="KKN4" s="254"/>
      <c r="KKO4" s="254"/>
      <c r="KKP4" s="254"/>
      <c r="KKQ4" s="254"/>
      <c r="KKR4" s="254"/>
      <c r="KKS4" s="254"/>
      <c r="KKT4" s="254"/>
      <c r="KKU4" s="254"/>
      <c r="KKV4" s="254"/>
      <c r="KKW4" s="254"/>
      <c r="KKX4" s="254"/>
      <c r="KKY4" s="254"/>
      <c r="KKZ4" s="254"/>
      <c r="KLA4" s="254"/>
      <c r="KLB4" s="254"/>
      <c r="KLC4" s="254"/>
      <c r="KLD4" s="254"/>
      <c r="KLE4" s="254"/>
      <c r="KLF4" s="254"/>
      <c r="KLG4" s="254"/>
      <c r="KLH4" s="254"/>
      <c r="KLI4" s="254"/>
      <c r="KLJ4" s="254"/>
      <c r="KLK4" s="254"/>
      <c r="KLL4" s="254"/>
      <c r="KLM4" s="254"/>
      <c r="KLN4" s="254"/>
      <c r="KLO4" s="254"/>
      <c r="KLP4" s="254"/>
      <c r="KLQ4" s="254"/>
      <c r="KLR4" s="254"/>
      <c r="KLS4" s="254"/>
      <c r="KLT4" s="254"/>
      <c r="KLU4" s="254"/>
      <c r="KLV4" s="254"/>
      <c r="KLW4" s="254"/>
      <c r="KLX4" s="254"/>
      <c r="KLY4" s="254"/>
      <c r="KLZ4" s="254"/>
      <c r="KMA4" s="254"/>
      <c r="KMB4" s="254"/>
      <c r="KMC4" s="254"/>
      <c r="KMD4" s="254"/>
      <c r="KME4" s="254"/>
      <c r="KMF4" s="254"/>
      <c r="KMG4" s="254"/>
      <c r="KMH4" s="254"/>
      <c r="KMI4" s="254"/>
      <c r="KMJ4" s="254"/>
      <c r="KMK4" s="254"/>
      <c r="KML4" s="254"/>
      <c r="KMM4" s="254"/>
      <c r="KMN4" s="254"/>
      <c r="KMO4" s="254"/>
      <c r="KMP4" s="254"/>
      <c r="KMQ4" s="254"/>
      <c r="KMR4" s="254"/>
      <c r="KMS4" s="254"/>
      <c r="KMT4" s="254"/>
      <c r="KMU4" s="254"/>
      <c r="KMV4" s="254"/>
      <c r="KMW4" s="254"/>
      <c r="KMX4" s="254"/>
      <c r="KMY4" s="254"/>
      <c r="KMZ4" s="254"/>
      <c r="KNA4" s="254"/>
      <c r="KNB4" s="254"/>
      <c r="KNC4" s="254"/>
      <c r="KND4" s="254"/>
      <c r="KNE4" s="254"/>
      <c r="KNF4" s="254"/>
      <c r="KNG4" s="254"/>
      <c r="KNH4" s="254"/>
      <c r="KNI4" s="254"/>
      <c r="KNJ4" s="254"/>
      <c r="KNK4" s="254"/>
      <c r="KNL4" s="254"/>
      <c r="KNM4" s="254"/>
      <c r="KNN4" s="254"/>
      <c r="KNO4" s="254"/>
      <c r="KNP4" s="254"/>
      <c r="KNQ4" s="254"/>
      <c r="KNR4" s="254"/>
      <c r="KNS4" s="254"/>
      <c r="KNT4" s="254"/>
      <c r="KNU4" s="254"/>
      <c r="KNV4" s="254"/>
      <c r="KNW4" s="254"/>
      <c r="KNX4" s="254"/>
      <c r="KNY4" s="254"/>
      <c r="KNZ4" s="254"/>
      <c r="KOA4" s="254"/>
      <c r="KOB4" s="254"/>
      <c r="KOC4" s="254"/>
      <c r="KOD4" s="254"/>
      <c r="KOE4" s="254"/>
      <c r="KOF4" s="254"/>
      <c r="KOG4" s="254"/>
      <c r="KOH4" s="254"/>
      <c r="KOI4" s="254"/>
      <c r="KOJ4" s="254"/>
      <c r="KOK4" s="254"/>
      <c r="KOL4" s="254"/>
      <c r="KOM4" s="254"/>
      <c r="KON4" s="254"/>
      <c r="KOO4" s="254"/>
      <c r="KOP4" s="254"/>
      <c r="KOQ4" s="254"/>
      <c r="KOR4" s="254"/>
      <c r="KOS4" s="254"/>
      <c r="KOT4" s="254"/>
      <c r="KOU4" s="254"/>
      <c r="KOV4" s="254"/>
      <c r="KOW4" s="254"/>
      <c r="KOX4" s="254"/>
      <c r="KOY4" s="254"/>
      <c r="KOZ4" s="254"/>
      <c r="KPA4" s="254"/>
      <c r="KPB4" s="254"/>
      <c r="KPC4" s="254"/>
      <c r="KPD4" s="254"/>
      <c r="KPE4" s="254"/>
      <c r="KPF4" s="254"/>
      <c r="KPG4" s="254"/>
      <c r="KPH4" s="254"/>
      <c r="KPI4" s="254"/>
      <c r="KPJ4" s="254"/>
      <c r="KPK4" s="254"/>
      <c r="KPL4" s="254"/>
      <c r="KPM4" s="254"/>
      <c r="KPN4" s="254"/>
      <c r="KPO4" s="254"/>
      <c r="KPP4" s="254"/>
      <c r="KPQ4" s="254"/>
      <c r="KPR4" s="254"/>
      <c r="KPS4" s="254"/>
      <c r="KPT4" s="254"/>
      <c r="KPU4" s="254"/>
      <c r="KPV4" s="254"/>
      <c r="KPW4" s="254"/>
      <c r="KPX4" s="254"/>
      <c r="KPY4" s="254"/>
      <c r="KPZ4" s="254"/>
      <c r="KQA4" s="254"/>
      <c r="KQB4" s="254"/>
      <c r="KQC4" s="254"/>
      <c r="KQD4" s="254"/>
      <c r="KQE4" s="254"/>
      <c r="KQF4" s="254"/>
      <c r="KQG4" s="254"/>
      <c r="KQH4" s="254"/>
      <c r="KQI4" s="254"/>
      <c r="KQJ4" s="254"/>
      <c r="KQK4" s="254"/>
      <c r="KQL4" s="254"/>
      <c r="KQM4" s="254"/>
      <c r="KQN4" s="254"/>
      <c r="KQO4" s="254"/>
      <c r="KQP4" s="254"/>
      <c r="KQQ4" s="254"/>
      <c r="KQR4" s="254"/>
      <c r="KQS4" s="254"/>
      <c r="KQT4" s="254"/>
      <c r="KQU4" s="254"/>
      <c r="KQV4" s="254"/>
      <c r="KQW4" s="254"/>
      <c r="KQX4" s="254"/>
      <c r="KQY4" s="254"/>
      <c r="KQZ4" s="254"/>
      <c r="KRA4" s="254"/>
      <c r="KRB4" s="254"/>
      <c r="KRC4" s="254"/>
      <c r="KRD4" s="254"/>
      <c r="KRE4" s="254"/>
      <c r="KRF4" s="254"/>
      <c r="KRG4" s="254"/>
      <c r="KRH4" s="254"/>
      <c r="KRI4" s="254"/>
      <c r="KRJ4" s="254"/>
      <c r="KRK4" s="254"/>
      <c r="KRL4" s="254"/>
      <c r="KRM4" s="254"/>
      <c r="KRN4" s="254"/>
      <c r="KRO4" s="254"/>
      <c r="KRP4" s="254"/>
      <c r="KRQ4" s="254"/>
      <c r="KRR4" s="254"/>
      <c r="KRS4" s="254"/>
      <c r="KRT4" s="254"/>
      <c r="KRU4" s="254"/>
      <c r="KRV4" s="254"/>
      <c r="KRW4" s="254"/>
      <c r="KRX4" s="254"/>
      <c r="KRY4" s="254"/>
      <c r="KRZ4" s="254"/>
      <c r="KSA4" s="254"/>
      <c r="KSB4" s="254"/>
      <c r="KSC4" s="254"/>
      <c r="KSD4" s="254"/>
      <c r="KSE4" s="254"/>
      <c r="KSF4" s="254"/>
      <c r="KSG4" s="254"/>
      <c r="KSH4" s="254"/>
      <c r="KSI4" s="254"/>
      <c r="KSJ4" s="254"/>
      <c r="KSK4" s="254"/>
      <c r="KSL4" s="254"/>
      <c r="KSM4" s="254"/>
      <c r="KSN4" s="254"/>
      <c r="KSO4" s="254"/>
      <c r="KSP4" s="254"/>
      <c r="KSQ4" s="254"/>
      <c r="KSR4" s="254"/>
      <c r="KSS4" s="254"/>
      <c r="KST4" s="254"/>
      <c r="KSU4" s="254"/>
      <c r="KSV4" s="254"/>
      <c r="KSW4" s="254"/>
      <c r="KSX4" s="254"/>
      <c r="KSY4" s="254"/>
      <c r="KSZ4" s="254"/>
      <c r="KTA4" s="254"/>
      <c r="KTB4" s="254"/>
      <c r="KTC4" s="254"/>
      <c r="KTD4" s="254"/>
      <c r="KTE4" s="254"/>
      <c r="KTF4" s="254"/>
      <c r="KTG4" s="254"/>
      <c r="KTH4" s="254"/>
      <c r="KTI4" s="254"/>
      <c r="KTJ4" s="254"/>
      <c r="KTK4" s="254"/>
      <c r="KTL4" s="254"/>
      <c r="KTM4" s="254"/>
      <c r="KTN4" s="254"/>
      <c r="KTO4" s="254"/>
      <c r="KTP4" s="254"/>
      <c r="KTQ4" s="254"/>
      <c r="KTR4" s="254"/>
      <c r="KTS4" s="254"/>
      <c r="KTT4" s="254"/>
      <c r="KTU4" s="254"/>
      <c r="KTV4" s="254"/>
      <c r="KTW4" s="254"/>
      <c r="KTX4" s="254"/>
      <c r="KTY4" s="254"/>
      <c r="KTZ4" s="254"/>
      <c r="KUA4" s="254"/>
      <c r="KUB4" s="254"/>
      <c r="KUC4" s="254"/>
      <c r="KUD4" s="254"/>
      <c r="KUE4" s="254"/>
      <c r="KUF4" s="254"/>
      <c r="KUG4" s="254"/>
      <c r="KUH4" s="254"/>
      <c r="KUI4" s="254"/>
      <c r="KUJ4" s="254"/>
      <c r="KUK4" s="254"/>
      <c r="KUL4" s="254"/>
      <c r="KUM4" s="254"/>
      <c r="KUN4" s="254"/>
      <c r="KUO4" s="254"/>
      <c r="KUP4" s="254"/>
      <c r="KUQ4" s="254"/>
      <c r="KUR4" s="254"/>
      <c r="KUS4" s="254"/>
      <c r="KUT4" s="254"/>
      <c r="KUU4" s="254"/>
      <c r="KUV4" s="254"/>
      <c r="KUW4" s="254"/>
      <c r="KUX4" s="254"/>
      <c r="KUY4" s="254"/>
      <c r="KUZ4" s="254"/>
      <c r="KVA4" s="254"/>
      <c r="KVB4" s="254"/>
      <c r="KVC4" s="254"/>
      <c r="KVD4" s="254"/>
      <c r="KVE4" s="254"/>
      <c r="KVF4" s="254"/>
      <c r="KVG4" s="254"/>
      <c r="KVH4" s="254"/>
      <c r="KVI4" s="254"/>
      <c r="KVJ4" s="254"/>
      <c r="KVK4" s="254"/>
      <c r="KVL4" s="254"/>
      <c r="KVM4" s="254"/>
      <c r="KVN4" s="254"/>
      <c r="KVO4" s="254"/>
      <c r="KVP4" s="254"/>
      <c r="KVQ4" s="254"/>
      <c r="KVR4" s="254"/>
      <c r="KVS4" s="254"/>
      <c r="KVT4" s="254"/>
      <c r="KVU4" s="254"/>
      <c r="KVV4" s="254"/>
      <c r="KVW4" s="254"/>
      <c r="KVX4" s="254"/>
      <c r="KVY4" s="254"/>
      <c r="KVZ4" s="254"/>
      <c r="KWA4" s="254"/>
      <c r="KWB4" s="254"/>
      <c r="KWC4" s="254"/>
      <c r="KWD4" s="254"/>
      <c r="KWE4" s="254"/>
      <c r="KWF4" s="254"/>
      <c r="KWG4" s="254"/>
      <c r="KWH4" s="254"/>
      <c r="KWI4" s="254"/>
      <c r="KWJ4" s="254"/>
      <c r="KWK4" s="254"/>
      <c r="KWL4" s="254"/>
      <c r="KWM4" s="254"/>
      <c r="KWN4" s="254"/>
      <c r="KWO4" s="254"/>
      <c r="KWP4" s="254"/>
      <c r="KWQ4" s="254"/>
      <c r="KWR4" s="254"/>
      <c r="KWS4" s="254"/>
      <c r="KWT4" s="254"/>
      <c r="KWU4" s="254"/>
      <c r="KWV4" s="254"/>
      <c r="KWW4" s="254"/>
      <c r="KWX4" s="254"/>
      <c r="KWY4" s="254"/>
      <c r="KWZ4" s="254"/>
      <c r="KXA4" s="254"/>
      <c r="KXB4" s="254"/>
      <c r="KXC4" s="254"/>
      <c r="KXD4" s="254"/>
      <c r="KXE4" s="254"/>
      <c r="KXF4" s="254"/>
      <c r="KXG4" s="254"/>
      <c r="KXH4" s="254"/>
      <c r="KXI4" s="254"/>
      <c r="KXJ4" s="254"/>
      <c r="KXK4" s="254"/>
      <c r="KXL4" s="254"/>
      <c r="KXM4" s="254"/>
      <c r="KXN4" s="254"/>
      <c r="KXO4" s="254"/>
      <c r="KXP4" s="254"/>
      <c r="KXQ4" s="254"/>
      <c r="KXR4" s="254"/>
      <c r="KXS4" s="254"/>
      <c r="KXT4" s="254"/>
      <c r="KXU4" s="254"/>
      <c r="KXV4" s="254"/>
      <c r="KXW4" s="254"/>
      <c r="KXX4" s="254"/>
      <c r="KXY4" s="254"/>
      <c r="KXZ4" s="254"/>
      <c r="KYA4" s="254"/>
      <c r="KYB4" s="254"/>
      <c r="KYC4" s="254"/>
      <c r="KYD4" s="254"/>
      <c r="KYE4" s="254"/>
      <c r="KYF4" s="254"/>
      <c r="KYG4" s="254"/>
      <c r="KYH4" s="254"/>
      <c r="KYI4" s="254"/>
      <c r="KYJ4" s="254"/>
      <c r="KYK4" s="254"/>
      <c r="KYL4" s="254"/>
      <c r="KYM4" s="254"/>
      <c r="KYN4" s="254"/>
      <c r="KYO4" s="254"/>
      <c r="KYP4" s="254"/>
      <c r="KYQ4" s="254"/>
      <c r="KYR4" s="254"/>
      <c r="KYS4" s="254"/>
      <c r="KYT4" s="254"/>
      <c r="KYU4" s="254"/>
      <c r="KYV4" s="254"/>
      <c r="KYW4" s="254"/>
      <c r="KYX4" s="254"/>
      <c r="KYY4" s="254"/>
      <c r="KYZ4" s="254"/>
      <c r="KZA4" s="254"/>
      <c r="KZB4" s="254"/>
      <c r="KZC4" s="254"/>
      <c r="KZD4" s="254"/>
      <c r="KZE4" s="254"/>
      <c r="KZF4" s="254"/>
      <c r="KZG4" s="254"/>
      <c r="KZH4" s="254"/>
      <c r="KZI4" s="254"/>
      <c r="KZJ4" s="254"/>
      <c r="KZK4" s="254"/>
      <c r="KZL4" s="254"/>
      <c r="KZM4" s="254"/>
      <c r="KZN4" s="254"/>
      <c r="KZO4" s="254"/>
      <c r="KZP4" s="254"/>
      <c r="KZQ4" s="254"/>
      <c r="KZR4" s="254"/>
      <c r="KZS4" s="254"/>
      <c r="KZT4" s="254"/>
      <c r="KZU4" s="254"/>
      <c r="KZV4" s="254"/>
      <c r="KZW4" s="254"/>
      <c r="KZX4" s="254"/>
      <c r="KZY4" s="254"/>
      <c r="KZZ4" s="254"/>
      <c r="LAA4" s="254"/>
      <c r="LAB4" s="254"/>
      <c r="LAC4" s="254"/>
      <c r="LAD4" s="254"/>
      <c r="LAE4" s="254"/>
      <c r="LAF4" s="254"/>
      <c r="LAG4" s="254"/>
      <c r="LAH4" s="254"/>
      <c r="LAI4" s="254"/>
      <c r="LAJ4" s="254"/>
      <c r="LAK4" s="254"/>
      <c r="LAL4" s="254"/>
      <c r="LAM4" s="254"/>
      <c r="LAN4" s="254"/>
      <c r="LAO4" s="254"/>
      <c r="LAP4" s="254"/>
      <c r="LAQ4" s="254"/>
      <c r="LAR4" s="254"/>
      <c r="LAS4" s="254"/>
      <c r="LAT4" s="254"/>
      <c r="LAU4" s="254"/>
      <c r="LAV4" s="254"/>
      <c r="LAW4" s="254"/>
      <c r="LAX4" s="254"/>
      <c r="LAY4" s="254"/>
      <c r="LAZ4" s="254"/>
      <c r="LBA4" s="254"/>
      <c r="LBB4" s="254"/>
      <c r="LBC4" s="254"/>
      <c r="LBD4" s="254"/>
      <c r="LBE4" s="254"/>
      <c r="LBF4" s="254"/>
      <c r="LBG4" s="254"/>
      <c r="LBH4" s="254"/>
      <c r="LBI4" s="254"/>
      <c r="LBJ4" s="254"/>
      <c r="LBK4" s="254"/>
      <c r="LBL4" s="254"/>
      <c r="LBM4" s="254"/>
      <c r="LBN4" s="254"/>
      <c r="LBO4" s="254"/>
      <c r="LBP4" s="254"/>
      <c r="LBQ4" s="254"/>
      <c r="LBR4" s="254"/>
      <c r="LBS4" s="254"/>
      <c r="LBT4" s="254"/>
      <c r="LBU4" s="254"/>
      <c r="LBV4" s="254"/>
      <c r="LBW4" s="254"/>
      <c r="LBX4" s="254"/>
      <c r="LBY4" s="254"/>
      <c r="LBZ4" s="254"/>
      <c r="LCA4" s="254"/>
      <c r="LCB4" s="254"/>
      <c r="LCC4" s="254"/>
      <c r="LCD4" s="254"/>
      <c r="LCE4" s="254"/>
      <c r="LCF4" s="254"/>
      <c r="LCG4" s="254"/>
      <c r="LCH4" s="254"/>
      <c r="LCI4" s="254"/>
      <c r="LCJ4" s="254"/>
      <c r="LCK4" s="254"/>
      <c r="LCL4" s="254"/>
      <c r="LCM4" s="254"/>
      <c r="LCN4" s="254"/>
      <c r="LCO4" s="254"/>
      <c r="LCP4" s="254"/>
      <c r="LCQ4" s="254"/>
      <c r="LCR4" s="254"/>
      <c r="LCS4" s="254"/>
      <c r="LCT4" s="254"/>
      <c r="LCU4" s="254"/>
      <c r="LCV4" s="254"/>
      <c r="LCW4" s="254"/>
      <c r="LCX4" s="254"/>
      <c r="LCY4" s="254"/>
      <c r="LCZ4" s="254"/>
      <c r="LDA4" s="254"/>
      <c r="LDB4" s="254"/>
      <c r="LDC4" s="254"/>
      <c r="LDD4" s="254"/>
      <c r="LDE4" s="254"/>
      <c r="LDF4" s="254"/>
      <c r="LDG4" s="254"/>
      <c r="LDH4" s="254"/>
      <c r="LDI4" s="254"/>
      <c r="LDJ4" s="254"/>
      <c r="LDK4" s="254"/>
      <c r="LDL4" s="254"/>
      <c r="LDM4" s="254"/>
      <c r="LDN4" s="254"/>
      <c r="LDO4" s="254"/>
      <c r="LDP4" s="254"/>
      <c r="LDQ4" s="254"/>
      <c r="LDR4" s="254"/>
      <c r="LDS4" s="254"/>
      <c r="LDT4" s="254"/>
      <c r="LDU4" s="254"/>
      <c r="LDV4" s="254"/>
      <c r="LDW4" s="254"/>
      <c r="LDX4" s="254"/>
      <c r="LDY4" s="254"/>
      <c r="LDZ4" s="254"/>
      <c r="LEA4" s="254"/>
      <c r="LEB4" s="254"/>
      <c r="LEC4" s="254"/>
      <c r="LED4" s="254"/>
      <c r="LEE4" s="254"/>
      <c r="LEF4" s="254"/>
      <c r="LEG4" s="254"/>
      <c r="LEH4" s="254"/>
      <c r="LEI4" s="254"/>
      <c r="LEJ4" s="254"/>
      <c r="LEK4" s="254"/>
      <c r="LEL4" s="254"/>
      <c r="LEM4" s="254"/>
      <c r="LEN4" s="254"/>
      <c r="LEO4" s="254"/>
      <c r="LEP4" s="254"/>
      <c r="LEQ4" s="254"/>
      <c r="LER4" s="254"/>
      <c r="LES4" s="254"/>
      <c r="LET4" s="254"/>
      <c r="LEU4" s="254"/>
      <c r="LEV4" s="254"/>
      <c r="LEW4" s="254"/>
      <c r="LEX4" s="254"/>
      <c r="LEY4" s="254"/>
      <c r="LEZ4" s="254"/>
      <c r="LFA4" s="254"/>
      <c r="LFB4" s="254"/>
      <c r="LFC4" s="254"/>
      <c r="LFD4" s="254"/>
      <c r="LFE4" s="254"/>
      <c r="LFF4" s="254"/>
      <c r="LFG4" s="254"/>
      <c r="LFH4" s="254"/>
      <c r="LFI4" s="254"/>
      <c r="LFJ4" s="254"/>
      <c r="LFK4" s="254"/>
      <c r="LFL4" s="254"/>
      <c r="LFM4" s="254"/>
      <c r="LFN4" s="254"/>
      <c r="LFO4" s="254"/>
      <c r="LFP4" s="254"/>
      <c r="LFQ4" s="254"/>
      <c r="LFR4" s="254"/>
      <c r="LFS4" s="254"/>
      <c r="LFT4" s="254"/>
      <c r="LFU4" s="254"/>
      <c r="LFV4" s="254"/>
      <c r="LFW4" s="254"/>
      <c r="LFX4" s="254"/>
      <c r="LFY4" s="254"/>
      <c r="LFZ4" s="254"/>
      <c r="LGA4" s="254"/>
      <c r="LGB4" s="254"/>
      <c r="LGC4" s="254"/>
      <c r="LGD4" s="254"/>
      <c r="LGE4" s="254"/>
      <c r="LGF4" s="254"/>
      <c r="LGG4" s="254"/>
      <c r="LGH4" s="254"/>
      <c r="LGI4" s="254"/>
      <c r="LGJ4" s="254"/>
      <c r="LGK4" s="254"/>
      <c r="LGL4" s="254"/>
      <c r="LGM4" s="254"/>
      <c r="LGN4" s="254"/>
      <c r="LGO4" s="254"/>
      <c r="LGP4" s="254"/>
      <c r="LGQ4" s="254"/>
      <c r="LGR4" s="254"/>
      <c r="LGS4" s="254"/>
      <c r="LGT4" s="254"/>
      <c r="LGU4" s="254"/>
      <c r="LGV4" s="254"/>
      <c r="LGW4" s="254"/>
      <c r="LGX4" s="254"/>
      <c r="LGY4" s="254"/>
      <c r="LGZ4" s="254"/>
      <c r="LHA4" s="254"/>
      <c r="LHB4" s="254"/>
      <c r="LHC4" s="254"/>
      <c r="LHD4" s="254"/>
      <c r="LHE4" s="254"/>
      <c r="LHF4" s="254"/>
      <c r="LHG4" s="254"/>
      <c r="LHH4" s="254"/>
      <c r="LHI4" s="254"/>
      <c r="LHJ4" s="254"/>
      <c r="LHK4" s="254"/>
      <c r="LHL4" s="254"/>
      <c r="LHM4" s="254"/>
      <c r="LHN4" s="254"/>
      <c r="LHO4" s="254"/>
      <c r="LHP4" s="254"/>
      <c r="LHQ4" s="254"/>
      <c r="LHR4" s="254"/>
      <c r="LHS4" s="254"/>
      <c r="LHT4" s="254"/>
      <c r="LHU4" s="254"/>
      <c r="LHV4" s="254"/>
      <c r="LHW4" s="254"/>
      <c r="LHX4" s="254"/>
      <c r="LHY4" s="254"/>
      <c r="LHZ4" s="254"/>
      <c r="LIA4" s="254"/>
      <c r="LIB4" s="254"/>
      <c r="LIC4" s="254"/>
      <c r="LID4" s="254"/>
      <c r="LIE4" s="254"/>
      <c r="LIF4" s="254"/>
      <c r="LIG4" s="254"/>
      <c r="LIH4" s="254"/>
      <c r="LII4" s="254"/>
      <c r="LIJ4" s="254"/>
      <c r="LIK4" s="254"/>
      <c r="LIL4" s="254"/>
      <c r="LIM4" s="254"/>
      <c r="LIN4" s="254"/>
      <c r="LIO4" s="254"/>
      <c r="LIP4" s="254"/>
      <c r="LIQ4" s="254"/>
      <c r="LIR4" s="254"/>
      <c r="LIS4" s="254"/>
      <c r="LIT4" s="254"/>
      <c r="LIU4" s="254"/>
      <c r="LIV4" s="254"/>
      <c r="LIW4" s="254"/>
      <c r="LIX4" s="254"/>
      <c r="LIY4" s="254"/>
      <c r="LIZ4" s="254"/>
      <c r="LJA4" s="254"/>
      <c r="LJB4" s="254"/>
      <c r="LJC4" s="254"/>
      <c r="LJD4" s="254"/>
      <c r="LJE4" s="254"/>
      <c r="LJF4" s="254"/>
      <c r="LJG4" s="254"/>
      <c r="LJH4" s="254"/>
      <c r="LJI4" s="254"/>
      <c r="LJJ4" s="254"/>
      <c r="LJK4" s="254"/>
      <c r="LJL4" s="254"/>
      <c r="LJM4" s="254"/>
      <c r="LJN4" s="254"/>
      <c r="LJO4" s="254"/>
      <c r="LJP4" s="254"/>
      <c r="LJQ4" s="254"/>
      <c r="LJR4" s="254"/>
      <c r="LJS4" s="254"/>
      <c r="LJT4" s="254"/>
      <c r="LJU4" s="254"/>
      <c r="LJV4" s="254"/>
      <c r="LJW4" s="254"/>
      <c r="LJX4" s="254"/>
      <c r="LJY4" s="254"/>
      <c r="LJZ4" s="254"/>
      <c r="LKA4" s="254"/>
      <c r="LKB4" s="254"/>
      <c r="LKC4" s="254"/>
      <c r="LKD4" s="254"/>
      <c r="LKE4" s="254"/>
      <c r="LKF4" s="254"/>
      <c r="LKG4" s="254"/>
      <c r="LKH4" s="254"/>
      <c r="LKI4" s="254"/>
      <c r="LKJ4" s="254"/>
      <c r="LKK4" s="254"/>
      <c r="LKL4" s="254"/>
      <c r="LKM4" s="254"/>
      <c r="LKN4" s="254"/>
      <c r="LKO4" s="254"/>
      <c r="LKP4" s="254"/>
      <c r="LKQ4" s="254"/>
      <c r="LKR4" s="254"/>
      <c r="LKS4" s="254"/>
      <c r="LKT4" s="254"/>
      <c r="LKU4" s="254"/>
      <c r="LKV4" s="254"/>
      <c r="LKW4" s="254"/>
      <c r="LKX4" s="254"/>
      <c r="LKY4" s="254"/>
      <c r="LKZ4" s="254"/>
      <c r="LLA4" s="254"/>
      <c r="LLB4" s="254"/>
      <c r="LLC4" s="254"/>
      <c r="LLD4" s="254"/>
      <c r="LLE4" s="254"/>
      <c r="LLF4" s="254"/>
      <c r="LLG4" s="254"/>
      <c r="LLH4" s="254"/>
      <c r="LLI4" s="254"/>
      <c r="LLJ4" s="254"/>
      <c r="LLK4" s="254"/>
      <c r="LLL4" s="254"/>
      <c r="LLM4" s="254"/>
      <c r="LLN4" s="254"/>
      <c r="LLO4" s="254"/>
      <c r="LLP4" s="254"/>
      <c r="LLQ4" s="254"/>
      <c r="LLR4" s="254"/>
      <c r="LLS4" s="254"/>
      <c r="LLT4" s="254"/>
      <c r="LLU4" s="254"/>
      <c r="LLV4" s="254"/>
      <c r="LLW4" s="254"/>
      <c r="LLX4" s="254"/>
      <c r="LLY4" s="254"/>
      <c r="LLZ4" s="254"/>
      <c r="LMA4" s="254"/>
      <c r="LMB4" s="254"/>
      <c r="LMC4" s="254"/>
      <c r="LMD4" s="254"/>
      <c r="LME4" s="254"/>
      <c r="LMF4" s="254"/>
      <c r="LMG4" s="254"/>
      <c r="LMH4" s="254"/>
      <c r="LMI4" s="254"/>
      <c r="LMJ4" s="254"/>
      <c r="LMK4" s="254"/>
      <c r="LML4" s="254"/>
      <c r="LMM4" s="254"/>
      <c r="LMN4" s="254"/>
      <c r="LMO4" s="254"/>
      <c r="LMP4" s="254"/>
      <c r="LMQ4" s="254"/>
      <c r="LMR4" s="254"/>
      <c r="LMS4" s="254"/>
      <c r="LMT4" s="254"/>
      <c r="LMU4" s="254"/>
      <c r="LMV4" s="254"/>
      <c r="LMW4" s="254"/>
      <c r="LMX4" s="254"/>
      <c r="LMY4" s="254"/>
      <c r="LMZ4" s="254"/>
      <c r="LNA4" s="254"/>
      <c r="LNB4" s="254"/>
      <c r="LNC4" s="254"/>
      <c r="LND4" s="254"/>
      <c r="LNE4" s="254"/>
      <c r="LNF4" s="254"/>
      <c r="LNG4" s="254"/>
      <c r="LNH4" s="254"/>
      <c r="LNI4" s="254"/>
      <c r="LNJ4" s="254"/>
      <c r="LNK4" s="254"/>
      <c r="LNL4" s="254"/>
      <c r="LNM4" s="254"/>
      <c r="LNN4" s="254"/>
      <c r="LNO4" s="254"/>
      <c r="LNP4" s="254"/>
      <c r="LNQ4" s="254"/>
      <c r="LNR4" s="254"/>
      <c r="LNS4" s="254"/>
      <c r="LNT4" s="254"/>
      <c r="LNU4" s="254"/>
      <c r="LNV4" s="254"/>
      <c r="LNW4" s="254"/>
      <c r="LNX4" s="254"/>
      <c r="LNY4" s="254"/>
      <c r="LNZ4" s="254"/>
      <c r="LOA4" s="254"/>
      <c r="LOB4" s="254"/>
      <c r="LOC4" s="254"/>
      <c r="LOD4" s="254"/>
      <c r="LOE4" s="254"/>
      <c r="LOF4" s="254"/>
      <c r="LOG4" s="254"/>
      <c r="LOH4" s="254"/>
      <c r="LOI4" s="254"/>
      <c r="LOJ4" s="254"/>
      <c r="LOK4" s="254"/>
      <c r="LOL4" s="254"/>
      <c r="LOM4" s="254"/>
      <c r="LON4" s="254"/>
      <c r="LOO4" s="254"/>
      <c r="LOP4" s="254"/>
      <c r="LOQ4" s="254"/>
      <c r="LOR4" s="254"/>
      <c r="LOS4" s="254"/>
      <c r="LOT4" s="254"/>
      <c r="LOU4" s="254"/>
      <c r="LOV4" s="254"/>
      <c r="LOW4" s="254"/>
      <c r="LOX4" s="254"/>
      <c r="LOY4" s="254"/>
      <c r="LOZ4" s="254"/>
      <c r="LPA4" s="254"/>
      <c r="LPB4" s="254"/>
      <c r="LPC4" s="254"/>
      <c r="LPD4" s="254"/>
      <c r="LPE4" s="254"/>
      <c r="LPF4" s="254"/>
      <c r="LPG4" s="254"/>
      <c r="LPH4" s="254"/>
      <c r="LPI4" s="254"/>
      <c r="LPJ4" s="254"/>
      <c r="LPK4" s="254"/>
      <c r="LPL4" s="254"/>
      <c r="LPM4" s="254"/>
      <c r="LPN4" s="254"/>
      <c r="LPO4" s="254"/>
      <c r="LPP4" s="254"/>
      <c r="LPQ4" s="254"/>
      <c r="LPR4" s="254"/>
      <c r="LPS4" s="254"/>
      <c r="LPT4" s="254"/>
      <c r="LPU4" s="254"/>
      <c r="LPV4" s="254"/>
      <c r="LPW4" s="254"/>
      <c r="LPX4" s="254"/>
      <c r="LPY4" s="254"/>
      <c r="LPZ4" s="254"/>
      <c r="LQA4" s="254"/>
      <c r="LQB4" s="254"/>
      <c r="LQC4" s="254"/>
      <c r="LQD4" s="254"/>
      <c r="LQE4" s="254"/>
      <c r="LQF4" s="254"/>
      <c r="LQG4" s="254"/>
      <c r="LQH4" s="254"/>
      <c r="LQI4" s="254"/>
      <c r="LQJ4" s="254"/>
      <c r="LQK4" s="254"/>
      <c r="LQL4" s="254"/>
      <c r="LQM4" s="254"/>
      <c r="LQN4" s="254"/>
      <c r="LQO4" s="254"/>
      <c r="LQP4" s="254"/>
      <c r="LQQ4" s="254"/>
      <c r="LQR4" s="254"/>
      <c r="LQS4" s="254"/>
      <c r="LQT4" s="254"/>
      <c r="LQU4" s="254"/>
      <c r="LQV4" s="254"/>
      <c r="LQW4" s="254"/>
      <c r="LQX4" s="254"/>
      <c r="LQY4" s="254"/>
      <c r="LQZ4" s="254"/>
      <c r="LRA4" s="254"/>
      <c r="LRB4" s="254"/>
      <c r="LRC4" s="254"/>
      <c r="LRD4" s="254"/>
      <c r="LRE4" s="254"/>
      <c r="LRF4" s="254"/>
      <c r="LRG4" s="254"/>
      <c r="LRH4" s="254"/>
      <c r="LRI4" s="254"/>
      <c r="LRJ4" s="254"/>
      <c r="LRK4" s="254"/>
      <c r="LRL4" s="254"/>
      <c r="LRM4" s="254"/>
      <c r="LRN4" s="254"/>
      <c r="LRO4" s="254"/>
      <c r="LRP4" s="254"/>
      <c r="LRQ4" s="254"/>
      <c r="LRR4" s="254"/>
      <c r="LRS4" s="254"/>
      <c r="LRT4" s="254"/>
      <c r="LRU4" s="254"/>
      <c r="LRV4" s="254"/>
      <c r="LRW4" s="254"/>
      <c r="LRX4" s="254"/>
      <c r="LRY4" s="254"/>
      <c r="LRZ4" s="254"/>
      <c r="LSA4" s="254"/>
      <c r="LSB4" s="254"/>
      <c r="LSC4" s="254"/>
      <c r="LSD4" s="254"/>
      <c r="LSE4" s="254"/>
      <c r="LSF4" s="254"/>
      <c r="LSG4" s="254"/>
      <c r="LSH4" s="254"/>
      <c r="LSI4" s="254"/>
      <c r="LSJ4" s="254"/>
      <c r="LSK4" s="254"/>
      <c r="LSL4" s="254"/>
      <c r="LSM4" s="254"/>
      <c r="LSN4" s="254"/>
      <c r="LSO4" s="254"/>
      <c r="LSP4" s="254"/>
      <c r="LSQ4" s="254"/>
      <c r="LSR4" s="254"/>
      <c r="LSS4" s="254"/>
      <c r="LST4" s="254"/>
      <c r="LSU4" s="254"/>
      <c r="LSV4" s="254"/>
      <c r="LSW4" s="254"/>
      <c r="LSX4" s="254"/>
      <c r="LSY4" s="254"/>
      <c r="LSZ4" s="254"/>
      <c r="LTA4" s="254"/>
      <c r="LTB4" s="254"/>
      <c r="LTC4" s="254"/>
      <c r="LTD4" s="254"/>
      <c r="LTE4" s="254"/>
      <c r="LTF4" s="254"/>
      <c r="LTG4" s="254"/>
      <c r="LTH4" s="254"/>
      <c r="LTI4" s="254"/>
      <c r="LTJ4" s="254"/>
      <c r="LTK4" s="254"/>
      <c r="LTL4" s="254"/>
      <c r="LTM4" s="254"/>
      <c r="LTN4" s="254"/>
      <c r="LTO4" s="254"/>
      <c r="LTP4" s="254"/>
      <c r="LTQ4" s="254"/>
      <c r="LTR4" s="254"/>
      <c r="LTS4" s="254"/>
      <c r="LTT4" s="254"/>
      <c r="LTU4" s="254"/>
      <c r="LTV4" s="254"/>
      <c r="LTW4" s="254"/>
      <c r="LTX4" s="254"/>
      <c r="LTY4" s="254"/>
      <c r="LTZ4" s="254"/>
      <c r="LUA4" s="254"/>
      <c r="LUB4" s="254"/>
      <c r="LUC4" s="254"/>
      <c r="LUD4" s="254"/>
      <c r="LUE4" s="254"/>
      <c r="LUF4" s="254"/>
      <c r="LUG4" s="254"/>
      <c r="LUH4" s="254"/>
      <c r="LUI4" s="254"/>
      <c r="LUJ4" s="254"/>
      <c r="LUK4" s="254"/>
      <c r="LUL4" s="254"/>
      <c r="LUM4" s="254"/>
      <c r="LUN4" s="254"/>
      <c r="LUO4" s="254"/>
      <c r="LUP4" s="254"/>
      <c r="LUQ4" s="254"/>
      <c r="LUR4" s="254"/>
      <c r="LUS4" s="254"/>
      <c r="LUT4" s="254"/>
      <c r="LUU4" s="254"/>
      <c r="LUV4" s="254"/>
      <c r="LUW4" s="254"/>
      <c r="LUX4" s="254"/>
      <c r="LUY4" s="254"/>
      <c r="LUZ4" s="254"/>
      <c r="LVA4" s="254"/>
      <c r="LVB4" s="254"/>
      <c r="LVC4" s="254"/>
      <c r="LVD4" s="254"/>
      <c r="LVE4" s="254"/>
      <c r="LVF4" s="254"/>
      <c r="LVG4" s="254"/>
      <c r="LVH4" s="254"/>
      <c r="LVI4" s="254"/>
      <c r="LVJ4" s="254"/>
      <c r="LVK4" s="254"/>
      <c r="LVL4" s="254"/>
      <c r="LVM4" s="254"/>
      <c r="LVN4" s="254"/>
      <c r="LVO4" s="254"/>
      <c r="LVP4" s="254"/>
      <c r="LVQ4" s="254"/>
      <c r="LVR4" s="254"/>
      <c r="LVS4" s="254"/>
      <c r="LVT4" s="254"/>
      <c r="LVU4" s="254"/>
      <c r="LVV4" s="254"/>
      <c r="LVW4" s="254"/>
      <c r="LVX4" s="254"/>
      <c r="LVY4" s="254"/>
      <c r="LVZ4" s="254"/>
      <c r="LWA4" s="254"/>
      <c r="LWB4" s="254"/>
      <c r="LWC4" s="254"/>
      <c r="LWD4" s="254"/>
      <c r="LWE4" s="254"/>
      <c r="LWF4" s="254"/>
      <c r="LWG4" s="254"/>
      <c r="LWH4" s="254"/>
      <c r="LWI4" s="254"/>
      <c r="LWJ4" s="254"/>
      <c r="LWK4" s="254"/>
      <c r="LWL4" s="254"/>
      <c r="LWM4" s="254"/>
      <c r="LWN4" s="254"/>
      <c r="LWO4" s="254"/>
      <c r="LWP4" s="254"/>
      <c r="LWQ4" s="254"/>
      <c r="LWR4" s="254"/>
      <c r="LWS4" s="254"/>
      <c r="LWT4" s="254"/>
      <c r="LWU4" s="254"/>
      <c r="LWV4" s="254"/>
      <c r="LWW4" s="254"/>
      <c r="LWX4" s="254"/>
      <c r="LWY4" s="254"/>
      <c r="LWZ4" s="254"/>
      <c r="LXA4" s="254"/>
      <c r="LXB4" s="254"/>
      <c r="LXC4" s="254"/>
      <c r="LXD4" s="254"/>
      <c r="LXE4" s="254"/>
      <c r="LXF4" s="254"/>
      <c r="LXG4" s="254"/>
      <c r="LXH4" s="254"/>
      <c r="LXI4" s="254"/>
      <c r="LXJ4" s="254"/>
      <c r="LXK4" s="254"/>
      <c r="LXL4" s="254"/>
      <c r="LXM4" s="254"/>
      <c r="LXN4" s="254"/>
      <c r="LXO4" s="254"/>
      <c r="LXP4" s="254"/>
      <c r="LXQ4" s="254"/>
      <c r="LXR4" s="254"/>
      <c r="LXS4" s="254"/>
      <c r="LXT4" s="254"/>
      <c r="LXU4" s="254"/>
      <c r="LXV4" s="254"/>
      <c r="LXW4" s="254"/>
      <c r="LXX4" s="254"/>
      <c r="LXY4" s="254"/>
      <c r="LXZ4" s="254"/>
      <c r="LYA4" s="254"/>
      <c r="LYB4" s="254"/>
      <c r="LYC4" s="254"/>
      <c r="LYD4" s="254"/>
      <c r="LYE4" s="254"/>
      <c r="LYF4" s="254"/>
      <c r="LYG4" s="254"/>
      <c r="LYH4" s="254"/>
      <c r="LYI4" s="254"/>
      <c r="LYJ4" s="254"/>
      <c r="LYK4" s="254"/>
      <c r="LYL4" s="254"/>
      <c r="LYM4" s="254"/>
      <c r="LYN4" s="254"/>
      <c r="LYO4" s="254"/>
      <c r="LYP4" s="254"/>
      <c r="LYQ4" s="254"/>
      <c r="LYR4" s="254"/>
      <c r="LYS4" s="254"/>
      <c r="LYT4" s="254"/>
      <c r="LYU4" s="254"/>
      <c r="LYV4" s="254"/>
      <c r="LYW4" s="254"/>
      <c r="LYX4" s="254"/>
      <c r="LYY4" s="254"/>
      <c r="LYZ4" s="254"/>
      <c r="LZA4" s="254"/>
      <c r="LZB4" s="254"/>
      <c r="LZC4" s="254"/>
      <c r="LZD4" s="254"/>
      <c r="LZE4" s="254"/>
      <c r="LZF4" s="254"/>
      <c r="LZG4" s="254"/>
      <c r="LZH4" s="254"/>
      <c r="LZI4" s="254"/>
      <c r="LZJ4" s="254"/>
      <c r="LZK4" s="254"/>
      <c r="LZL4" s="254"/>
      <c r="LZM4" s="254"/>
      <c r="LZN4" s="254"/>
      <c r="LZO4" s="254"/>
      <c r="LZP4" s="254"/>
      <c r="LZQ4" s="254"/>
      <c r="LZR4" s="254"/>
      <c r="LZS4" s="254"/>
      <c r="LZT4" s="254"/>
      <c r="LZU4" s="254"/>
      <c r="LZV4" s="254"/>
      <c r="LZW4" s="254"/>
      <c r="LZX4" s="254"/>
      <c r="LZY4" s="254"/>
      <c r="LZZ4" s="254"/>
      <c r="MAA4" s="254"/>
      <c r="MAB4" s="254"/>
      <c r="MAC4" s="254"/>
      <c r="MAD4" s="254"/>
      <c r="MAE4" s="254"/>
      <c r="MAF4" s="254"/>
      <c r="MAG4" s="254"/>
      <c r="MAH4" s="254"/>
      <c r="MAI4" s="254"/>
      <c r="MAJ4" s="254"/>
      <c r="MAK4" s="254"/>
      <c r="MAL4" s="254"/>
      <c r="MAM4" s="254"/>
      <c r="MAN4" s="254"/>
      <c r="MAO4" s="254"/>
      <c r="MAP4" s="254"/>
      <c r="MAQ4" s="254"/>
      <c r="MAR4" s="254"/>
      <c r="MAS4" s="254"/>
      <c r="MAT4" s="254"/>
      <c r="MAU4" s="254"/>
      <c r="MAV4" s="254"/>
      <c r="MAW4" s="254"/>
      <c r="MAX4" s="254"/>
      <c r="MAY4" s="254"/>
      <c r="MAZ4" s="254"/>
      <c r="MBA4" s="254"/>
      <c r="MBB4" s="254"/>
      <c r="MBC4" s="254"/>
      <c r="MBD4" s="254"/>
      <c r="MBE4" s="254"/>
      <c r="MBF4" s="254"/>
      <c r="MBG4" s="254"/>
      <c r="MBH4" s="254"/>
      <c r="MBI4" s="254"/>
      <c r="MBJ4" s="254"/>
      <c r="MBK4" s="254"/>
      <c r="MBL4" s="254"/>
      <c r="MBM4" s="254"/>
      <c r="MBN4" s="254"/>
      <c r="MBO4" s="254"/>
      <c r="MBP4" s="254"/>
      <c r="MBQ4" s="254"/>
      <c r="MBR4" s="254"/>
      <c r="MBS4" s="254"/>
      <c r="MBT4" s="254"/>
      <c r="MBU4" s="254"/>
      <c r="MBV4" s="254"/>
      <c r="MBW4" s="254"/>
      <c r="MBX4" s="254"/>
      <c r="MBY4" s="254"/>
      <c r="MBZ4" s="254"/>
      <c r="MCA4" s="254"/>
      <c r="MCB4" s="254"/>
      <c r="MCC4" s="254"/>
      <c r="MCD4" s="254"/>
      <c r="MCE4" s="254"/>
      <c r="MCF4" s="254"/>
      <c r="MCG4" s="254"/>
      <c r="MCH4" s="254"/>
      <c r="MCI4" s="254"/>
      <c r="MCJ4" s="254"/>
      <c r="MCK4" s="254"/>
      <c r="MCL4" s="254"/>
      <c r="MCM4" s="254"/>
      <c r="MCN4" s="254"/>
      <c r="MCO4" s="254"/>
      <c r="MCP4" s="254"/>
      <c r="MCQ4" s="254"/>
      <c r="MCR4" s="254"/>
      <c r="MCS4" s="254"/>
      <c r="MCT4" s="254"/>
      <c r="MCU4" s="254"/>
      <c r="MCV4" s="254"/>
      <c r="MCW4" s="254"/>
      <c r="MCX4" s="254"/>
      <c r="MCY4" s="254"/>
      <c r="MCZ4" s="254"/>
      <c r="MDA4" s="254"/>
      <c r="MDB4" s="254"/>
      <c r="MDC4" s="254"/>
      <c r="MDD4" s="254"/>
      <c r="MDE4" s="254"/>
      <c r="MDF4" s="254"/>
      <c r="MDG4" s="254"/>
      <c r="MDH4" s="254"/>
      <c r="MDI4" s="254"/>
      <c r="MDJ4" s="254"/>
      <c r="MDK4" s="254"/>
      <c r="MDL4" s="254"/>
      <c r="MDM4" s="254"/>
      <c r="MDN4" s="254"/>
      <c r="MDO4" s="254"/>
      <c r="MDP4" s="254"/>
      <c r="MDQ4" s="254"/>
      <c r="MDR4" s="254"/>
      <c r="MDS4" s="254"/>
      <c r="MDT4" s="254"/>
      <c r="MDU4" s="254"/>
      <c r="MDV4" s="254"/>
      <c r="MDW4" s="254"/>
      <c r="MDX4" s="254"/>
      <c r="MDY4" s="254"/>
      <c r="MDZ4" s="254"/>
      <c r="MEA4" s="254"/>
      <c r="MEB4" s="254"/>
      <c r="MEC4" s="254"/>
      <c r="MED4" s="254"/>
      <c r="MEE4" s="254"/>
      <c r="MEF4" s="254"/>
      <c r="MEG4" s="254"/>
      <c r="MEH4" s="254"/>
      <c r="MEI4" s="254"/>
      <c r="MEJ4" s="254"/>
      <c r="MEK4" s="254"/>
      <c r="MEL4" s="254"/>
      <c r="MEM4" s="254"/>
      <c r="MEN4" s="254"/>
      <c r="MEO4" s="254"/>
      <c r="MEP4" s="254"/>
      <c r="MEQ4" s="254"/>
      <c r="MER4" s="254"/>
      <c r="MES4" s="254"/>
      <c r="MET4" s="254"/>
      <c r="MEU4" s="254"/>
      <c r="MEV4" s="254"/>
      <c r="MEW4" s="254"/>
      <c r="MEX4" s="254"/>
      <c r="MEY4" s="254"/>
      <c r="MEZ4" s="254"/>
      <c r="MFA4" s="254"/>
      <c r="MFB4" s="254"/>
      <c r="MFC4" s="254"/>
      <c r="MFD4" s="254"/>
      <c r="MFE4" s="254"/>
      <c r="MFF4" s="254"/>
      <c r="MFG4" s="254"/>
      <c r="MFH4" s="254"/>
      <c r="MFI4" s="254"/>
      <c r="MFJ4" s="254"/>
      <c r="MFK4" s="254"/>
      <c r="MFL4" s="254"/>
      <c r="MFM4" s="254"/>
      <c r="MFN4" s="254"/>
      <c r="MFO4" s="254"/>
      <c r="MFP4" s="254"/>
      <c r="MFQ4" s="254"/>
      <c r="MFR4" s="254"/>
      <c r="MFS4" s="254"/>
      <c r="MFT4" s="254"/>
      <c r="MFU4" s="254"/>
      <c r="MFV4" s="254"/>
      <c r="MFW4" s="254"/>
      <c r="MFX4" s="254"/>
      <c r="MFY4" s="254"/>
      <c r="MFZ4" s="254"/>
      <c r="MGA4" s="254"/>
      <c r="MGB4" s="254"/>
      <c r="MGC4" s="254"/>
      <c r="MGD4" s="254"/>
      <c r="MGE4" s="254"/>
      <c r="MGF4" s="254"/>
      <c r="MGG4" s="254"/>
      <c r="MGH4" s="254"/>
      <c r="MGI4" s="254"/>
      <c r="MGJ4" s="254"/>
      <c r="MGK4" s="254"/>
      <c r="MGL4" s="254"/>
      <c r="MGM4" s="254"/>
      <c r="MGN4" s="254"/>
      <c r="MGO4" s="254"/>
      <c r="MGP4" s="254"/>
      <c r="MGQ4" s="254"/>
      <c r="MGR4" s="254"/>
      <c r="MGS4" s="254"/>
      <c r="MGT4" s="254"/>
      <c r="MGU4" s="254"/>
      <c r="MGV4" s="254"/>
      <c r="MGW4" s="254"/>
      <c r="MGX4" s="254"/>
      <c r="MGY4" s="254"/>
      <c r="MGZ4" s="254"/>
      <c r="MHA4" s="254"/>
      <c r="MHB4" s="254"/>
      <c r="MHC4" s="254"/>
      <c r="MHD4" s="254"/>
      <c r="MHE4" s="254"/>
      <c r="MHF4" s="254"/>
      <c r="MHG4" s="254"/>
      <c r="MHH4" s="254"/>
      <c r="MHI4" s="254"/>
      <c r="MHJ4" s="254"/>
      <c r="MHK4" s="254"/>
      <c r="MHL4" s="254"/>
      <c r="MHM4" s="254"/>
      <c r="MHN4" s="254"/>
      <c r="MHO4" s="254"/>
      <c r="MHP4" s="254"/>
      <c r="MHQ4" s="254"/>
      <c r="MHR4" s="254"/>
      <c r="MHS4" s="254"/>
      <c r="MHT4" s="254"/>
      <c r="MHU4" s="254"/>
      <c r="MHV4" s="254"/>
      <c r="MHW4" s="254"/>
      <c r="MHX4" s="254"/>
      <c r="MHY4" s="254"/>
      <c r="MHZ4" s="254"/>
      <c r="MIA4" s="254"/>
      <c r="MIB4" s="254"/>
      <c r="MIC4" s="254"/>
      <c r="MID4" s="254"/>
      <c r="MIE4" s="254"/>
      <c r="MIF4" s="254"/>
      <c r="MIG4" s="254"/>
      <c r="MIH4" s="254"/>
      <c r="MII4" s="254"/>
      <c r="MIJ4" s="254"/>
      <c r="MIK4" s="254"/>
      <c r="MIL4" s="254"/>
      <c r="MIM4" s="254"/>
      <c r="MIN4" s="254"/>
      <c r="MIO4" s="254"/>
      <c r="MIP4" s="254"/>
      <c r="MIQ4" s="254"/>
      <c r="MIR4" s="254"/>
      <c r="MIS4" s="254"/>
      <c r="MIT4" s="254"/>
      <c r="MIU4" s="254"/>
      <c r="MIV4" s="254"/>
      <c r="MIW4" s="254"/>
      <c r="MIX4" s="254"/>
      <c r="MIY4" s="254"/>
      <c r="MIZ4" s="254"/>
      <c r="MJA4" s="254"/>
      <c r="MJB4" s="254"/>
      <c r="MJC4" s="254"/>
      <c r="MJD4" s="254"/>
      <c r="MJE4" s="254"/>
      <c r="MJF4" s="254"/>
      <c r="MJG4" s="254"/>
      <c r="MJH4" s="254"/>
      <c r="MJI4" s="254"/>
      <c r="MJJ4" s="254"/>
      <c r="MJK4" s="254"/>
      <c r="MJL4" s="254"/>
      <c r="MJM4" s="254"/>
      <c r="MJN4" s="254"/>
      <c r="MJO4" s="254"/>
      <c r="MJP4" s="254"/>
      <c r="MJQ4" s="254"/>
      <c r="MJR4" s="254"/>
      <c r="MJS4" s="254"/>
      <c r="MJT4" s="254"/>
      <c r="MJU4" s="254"/>
      <c r="MJV4" s="254"/>
      <c r="MJW4" s="254"/>
      <c r="MJX4" s="254"/>
      <c r="MJY4" s="254"/>
      <c r="MJZ4" s="254"/>
      <c r="MKA4" s="254"/>
      <c r="MKB4" s="254"/>
      <c r="MKC4" s="254"/>
      <c r="MKD4" s="254"/>
      <c r="MKE4" s="254"/>
      <c r="MKF4" s="254"/>
      <c r="MKG4" s="254"/>
      <c r="MKH4" s="254"/>
      <c r="MKI4" s="254"/>
      <c r="MKJ4" s="254"/>
      <c r="MKK4" s="254"/>
      <c r="MKL4" s="254"/>
      <c r="MKM4" s="254"/>
      <c r="MKN4" s="254"/>
      <c r="MKO4" s="254"/>
      <c r="MKP4" s="254"/>
      <c r="MKQ4" s="254"/>
      <c r="MKR4" s="254"/>
      <c r="MKS4" s="254"/>
      <c r="MKT4" s="254"/>
      <c r="MKU4" s="254"/>
      <c r="MKV4" s="254"/>
      <c r="MKW4" s="254"/>
      <c r="MKX4" s="254"/>
      <c r="MKY4" s="254"/>
      <c r="MKZ4" s="254"/>
      <c r="MLA4" s="254"/>
      <c r="MLB4" s="254"/>
      <c r="MLC4" s="254"/>
      <c r="MLD4" s="254"/>
      <c r="MLE4" s="254"/>
      <c r="MLF4" s="254"/>
      <c r="MLG4" s="254"/>
      <c r="MLH4" s="254"/>
      <c r="MLI4" s="254"/>
      <c r="MLJ4" s="254"/>
      <c r="MLK4" s="254"/>
      <c r="MLL4" s="254"/>
      <c r="MLM4" s="254"/>
      <c r="MLN4" s="254"/>
      <c r="MLO4" s="254"/>
      <c r="MLP4" s="254"/>
      <c r="MLQ4" s="254"/>
      <c r="MLR4" s="254"/>
      <c r="MLS4" s="254"/>
      <c r="MLT4" s="254"/>
      <c r="MLU4" s="254"/>
      <c r="MLV4" s="254"/>
      <c r="MLW4" s="254"/>
      <c r="MLX4" s="254"/>
      <c r="MLY4" s="254"/>
      <c r="MLZ4" s="254"/>
      <c r="MMA4" s="254"/>
      <c r="MMB4" s="254"/>
      <c r="MMC4" s="254"/>
      <c r="MMD4" s="254"/>
      <c r="MME4" s="254"/>
      <c r="MMF4" s="254"/>
      <c r="MMG4" s="254"/>
      <c r="MMH4" s="254"/>
      <c r="MMI4" s="254"/>
      <c r="MMJ4" s="254"/>
      <c r="MMK4" s="254"/>
      <c r="MML4" s="254"/>
      <c r="MMM4" s="254"/>
      <c r="MMN4" s="254"/>
      <c r="MMO4" s="254"/>
      <c r="MMP4" s="254"/>
      <c r="MMQ4" s="254"/>
      <c r="MMR4" s="254"/>
      <c r="MMS4" s="254"/>
      <c r="MMT4" s="254"/>
      <c r="MMU4" s="254"/>
      <c r="MMV4" s="254"/>
      <c r="MMW4" s="254"/>
      <c r="MMX4" s="254"/>
      <c r="MMY4" s="254"/>
      <c r="MMZ4" s="254"/>
      <c r="MNA4" s="254"/>
      <c r="MNB4" s="254"/>
      <c r="MNC4" s="254"/>
      <c r="MND4" s="254"/>
      <c r="MNE4" s="254"/>
      <c r="MNF4" s="254"/>
      <c r="MNG4" s="254"/>
      <c r="MNH4" s="254"/>
      <c r="MNI4" s="254"/>
      <c r="MNJ4" s="254"/>
      <c r="MNK4" s="254"/>
      <c r="MNL4" s="254"/>
      <c r="MNM4" s="254"/>
      <c r="MNN4" s="254"/>
      <c r="MNO4" s="254"/>
      <c r="MNP4" s="254"/>
      <c r="MNQ4" s="254"/>
      <c r="MNR4" s="254"/>
      <c r="MNS4" s="254"/>
      <c r="MNT4" s="254"/>
      <c r="MNU4" s="254"/>
      <c r="MNV4" s="254"/>
      <c r="MNW4" s="254"/>
      <c r="MNX4" s="254"/>
      <c r="MNY4" s="254"/>
      <c r="MNZ4" s="254"/>
      <c r="MOA4" s="254"/>
      <c r="MOB4" s="254"/>
      <c r="MOC4" s="254"/>
      <c r="MOD4" s="254"/>
      <c r="MOE4" s="254"/>
      <c r="MOF4" s="254"/>
      <c r="MOG4" s="254"/>
      <c r="MOH4" s="254"/>
      <c r="MOI4" s="254"/>
      <c r="MOJ4" s="254"/>
      <c r="MOK4" s="254"/>
      <c r="MOL4" s="254"/>
      <c r="MOM4" s="254"/>
      <c r="MON4" s="254"/>
      <c r="MOO4" s="254"/>
      <c r="MOP4" s="254"/>
      <c r="MOQ4" s="254"/>
      <c r="MOR4" s="254"/>
      <c r="MOS4" s="254"/>
      <c r="MOT4" s="254"/>
      <c r="MOU4" s="254"/>
      <c r="MOV4" s="254"/>
      <c r="MOW4" s="254"/>
      <c r="MOX4" s="254"/>
      <c r="MOY4" s="254"/>
      <c r="MOZ4" s="254"/>
      <c r="MPA4" s="254"/>
      <c r="MPB4" s="254"/>
      <c r="MPC4" s="254"/>
      <c r="MPD4" s="254"/>
      <c r="MPE4" s="254"/>
      <c r="MPF4" s="254"/>
      <c r="MPG4" s="254"/>
      <c r="MPH4" s="254"/>
      <c r="MPI4" s="254"/>
      <c r="MPJ4" s="254"/>
      <c r="MPK4" s="254"/>
      <c r="MPL4" s="254"/>
      <c r="MPM4" s="254"/>
      <c r="MPN4" s="254"/>
      <c r="MPO4" s="254"/>
      <c r="MPP4" s="254"/>
      <c r="MPQ4" s="254"/>
      <c r="MPR4" s="254"/>
      <c r="MPS4" s="254"/>
      <c r="MPT4" s="254"/>
      <c r="MPU4" s="254"/>
      <c r="MPV4" s="254"/>
      <c r="MPW4" s="254"/>
      <c r="MPX4" s="254"/>
      <c r="MPY4" s="254"/>
      <c r="MPZ4" s="254"/>
      <c r="MQA4" s="254"/>
      <c r="MQB4" s="254"/>
      <c r="MQC4" s="254"/>
      <c r="MQD4" s="254"/>
      <c r="MQE4" s="254"/>
      <c r="MQF4" s="254"/>
      <c r="MQG4" s="254"/>
      <c r="MQH4" s="254"/>
      <c r="MQI4" s="254"/>
      <c r="MQJ4" s="254"/>
      <c r="MQK4" s="254"/>
      <c r="MQL4" s="254"/>
      <c r="MQM4" s="254"/>
      <c r="MQN4" s="254"/>
      <c r="MQO4" s="254"/>
      <c r="MQP4" s="254"/>
      <c r="MQQ4" s="254"/>
      <c r="MQR4" s="254"/>
      <c r="MQS4" s="254"/>
      <c r="MQT4" s="254"/>
      <c r="MQU4" s="254"/>
      <c r="MQV4" s="254"/>
      <c r="MQW4" s="254"/>
      <c r="MQX4" s="254"/>
      <c r="MQY4" s="254"/>
      <c r="MQZ4" s="254"/>
      <c r="MRA4" s="254"/>
      <c r="MRB4" s="254"/>
      <c r="MRC4" s="254"/>
      <c r="MRD4" s="254"/>
      <c r="MRE4" s="254"/>
      <c r="MRF4" s="254"/>
      <c r="MRG4" s="254"/>
      <c r="MRH4" s="254"/>
      <c r="MRI4" s="254"/>
      <c r="MRJ4" s="254"/>
      <c r="MRK4" s="254"/>
      <c r="MRL4" s="254"/>
      <c r="MRM4" s="254"/>
      <c r="MRN4" s="254"/>
      <c r="MRO4" s="254"/>
      <c r="MRP4" s="254"/>
      <c r="MRQ4" s="254"/>
      <c r="MRR4" s="254"/>
      <c r="MRS4" s="254"/>
      <c r="MRT4" s="254"/>
      <c r="MRU4" s="254"/>
      <c r="MRV4" s="254"/>
      <c r="MRW4" s="254"/>
      <c r="MRX4" s="254"/>
      <c r="MRY4" s="254"/>
      <c r="MRZ4" s="254"/>
      <c r="MSA4" s="254"/>
      <c r="MSB4" s="254"/>
      <c r="MSC4" s="254"/>
      <c r="MSD4" s="254"/>
      <c r="MSE4" s="254"/>
      <c r="MSF4" s="254"/>
      <c r="MSG4" s="254"/>
      <c r="MSH4" s="254"/>
      <c r="MSI4" s="254"/>
      <c r="MSJ4" s="254"/>
      <c r="MSK4" s="254"/>
      <c r="MSL4" s="254"/>
      <c r="MSM4" s="254"/>
      <c r="MSN4" s="254"/>
      <c r="MSO4" s="254"/>
      <c r="MSP4" s="254"/>
      <c r="MSQ4" s="254"/>
      <c r="MSR4" s="254"/>
      <c r="MSS4" s="254"/>
      <c r="MST4" s="254"/>
      <c r="MSU4" s="254"/>
      <c r="MSV4" s="254"/>
      <c r="MSW4" s="254"/>
      <c r="MSX4" s="254"/>
      <c r="MSY4" s="254"/>
      <c r="MSZ4" s="254"/>
      <c r="MTA4" s="254"/>
      <c r="MTB4" s="254"/>
      <c r="MTC4" s="254"/>
      <c r="MTD4" s="254"/>
      <c r="MTE4" s="254"/>
      <c r="MTF4" s="254"/>
      <c r="MTG4" s="254"/>
      <c r="MTH4" s="254"/>
      <c r="MTI4" s="254"/>
      <c r="MTJ4" s="254"/>
      <c r="MTK4" s="254"/>
      <c r="MTL4" s="254"/>
      <c r="MTM4" s="254"/>
      <c r="MTN4" s="254"/>
      <c r="MTO4" s="254"/>
      <c r="MTP4" s="254"/>
      <c r="MTQ4" s="254"/>
      <c r="MTR4" s="254"/>
      <c r="MTS4" s="254"/>
      <c r="MTT4" s="254"/>
      <c r="MTU4" s="254"/>
      <c r="MTV4" s="254"/>
      <c r="MTW4" s="254"/>
      <c r="MTX4" s="254"/>
      <c r="MTY4" s="254"/>
      <c r="MTZ4" s="254"/>
      <c r="MUA4" s="254"/>
      <c r="MUB4" s="254"/>
      <c r="MUC4" s="254"/>
      <c r="MUD4" s="254"/>
      <c r="MUE4" s="254"/>
      <c r="MUF4" s="254"/>
      <c r="MUG4" s="254"/>
      <c r="MUH4" s="254"/>
      <c r="MUI4" s="254"/>
      <c r="MUJ4" s="254"/>
      <c r="MUK4" s="254"/>
      <c r="MUL4" s="254"/>
      <c r="MUM4" s="254"/>
      <c r="MUN4" s="254"/>
      <c r="MUO4" s="254"/>
      <c r="MUP4" s="254"/>
      <c r="MUQ4" s="254"/>
      <c r="MUR4" s="254"/>
      <c r="MUS4" s="254"/>
      <c r="MUT4" s="254"/>
      <c r="MUU4" s="254"/>
      <c r="MUV4" s="254"/>
      <c r="MUW4" s="254"/>
      <c r="MUX4" s="254"/>
      <c r="MUY4" s="254"/>
      <c r="MUZ4" s="254"/>
      <c r="MVA4" s="254"/>
      <c r="MVB4" s="254"/>
      <c r="MVC4" s="254"/>
      <c r="MVD4" s="254"/>
      <c r="MVE4" s="254"/>
      <c r="MVF4" s="254"/>
      <c r="MVG4" s="254"/>
      <c r="MVH4" s="254"/>
      <c r="MVI4" s="254"/>
      <c r="MVJ4" s="254"/>
      <c r="MVK4" s="254"/>
      <c r="MVL4" s="254"/>
      <c r="MVM4" s="254"/>
      <c r="MVN4" s="254"/>
      <c r="MVO4" s="254"/>
      <c r="MVP4" s="254"/>
      <c r="MVQ4" s="254"/>
      <c r="MVR4" s="254"/>
      <c r="MVS4" s="254"/>
      <c r="MVT4" s="254"/>
      <c r="MVU4" s="254"/>
      <c r="MVV4" s="254"/>
      <c r="MVW4" s="254"/>
      <c r="MVX4" s="254"/>
      <c r="MVY4" s="254"/>
      <c r="MVZ4" s="254"/>
      <c r="MWA4" s="254"/>
      <c r="MWB4" s="254"/>
      <c r="MWC4" s="254"/>
      <c r="MWD4" s="254"/>
      <c r="MWE4" s="254"/>
      <c r="MWF4" s="254"/>
      <c r="MWG4" s="254"/>
      <c r="MWH4" s="254"/>
      <c r="MWI4" s="254"/>
      <c r="MWJ4" s="254"/>
      <c r="MWK4" s="254"/>
      <c r="MWL4" s="254"/>
      <c r="MWM4" s="254"/>
      <c r="MWN4" s="254"/>
      <c r="MWO4" s="254"/>
      <c r="MWP4" s="254"/>
      <c r="MWQ4" s="254"/>
      <c r="MWR4" s="254"/>
      <c r="MWS4" s="254"/>
      <c r="MWT4" s="254"/>
      <c r="MWU4" s="254"/>
      <c r="MWV4" s="254"/>
      <c r="MWW4" s="254"/>
      <c r="MWX4" s="254"/>
      <c r="MWY4" s="254"/>
      <c r="MWZ4" s="254"/>
      <c r="MXA4" s="254"/>
      <c r="MXB4" s="254"/>
      <c r="MXC4" s="254"/>
      <c r="MXD4" s="254"/>
      <c r="MXE4" s="254"/>
      <c r="MXF4" s="254"/>
      <c r="MXG4" s="254"/>
      <c r="MXH4" s="254"/>
      <c r="MXI4" s="254"/>
      <c r="MXJ4" s="254"/>
      <c r="MXK4" s="254"/>
      <c r="MXL4" s="254"/>
      <c r="MXM4" s="254"/>
      <c r="MXN4" s="254"/>
      <c r="MXO4" s="254"/>
      <c r="MXP4" s="254"/>
      <c r="MXQ4" s="254"/>
      <c r="MXR4" s="254"/>
      <c r="MXS4" s="254"/>
      <c r="MXT4" s="254"/>
      <c r="MXU4" s="254"/>
      <c r="MXV4" s="254"/>
      <c r="MXW4" s="254"/>
      <c r="MXX4" s="254"/>
      <c r="MXY4" s="254"/>
      <c r="MXZ4" s="254"/>
      <c r="MYA4" s="254"/>
      <c r="MYB4" s="254"/>
      <c r="MYC4" s="254"/>
      <c r="MYD4" s="254"/>
      <c r="MYE4" s="254"/>
      <c r="MYF4" s="254"/>
      <c r="MYG4" s="254"/>
      <c r="MYH4" s="254"/>
      <c r="MYI4" s="254"/>
      <c r="MYJ4" s="254"/>
      <c r="MYK4" s="254"/>
      <c r="MYL4" s="254"/>
      <c r="MYM4" s="254"/>
      <c r="MYN4" s="254"/>
      <c r="MYO4" s="254"/>
      <c r="MYP4" s="254"/>
      <c r="MYQ4" s="254"/>
      <c r="MYR4" s="254"/>
      <c r="MYS4" s="254"/>
      <c r="MYT4" s="254"/>
      <c r="MYU4" s="254"/>
      <c r="MYV4" s="254"/>
      <c r="MYW4" s="254"/>
      <c r="MYX4" s="254"/>
      <c r="MYY4" s="254"/>
      <c r="MYZ4" s="254"/>
      <c r="MZA4" s="254"/>
      <c r="MZB4" s="254"/>
      <c r="MZC4" s="254"/>
      <c r="MZD4" s="254"/>
      <c r="MZE4" s="254"/>
      <c r="MZF4" s="254"/>
      <c r="MZG4" s="254"/>
      <c r="MZH4" s="254"/>
      <c r="MZI4" s="254"/>
      <c r="MZJ4" s="254"/>
      <c r="MZK4" s="254"/>
      <c r="MZL4" s="254"/>
      <c r="MZM4" s="254"/>
      <c r="MZN4" s="254"/>
      <c r="MZO4" s="254"/>
      <c r="MZP4" s="254"/>
      <c r="MZQ4" s="254"/>
      <c r="MZR4" s="254"/>
      <c r="MZS4" s="254"/>
      <c r="MZT4" s="254"/>
      <c r="MZU4" s="254"/>
      <c r="MZV4" s="254"/>
      <c r="MZW4" s="254"/>
      <c r="MZX4" s="254"/>
      <c r="MZY4" s="254"/>
      <c r="MZZ4" s="254"/>
      <c r="NAA4" s="254"/>
      <c r="NAB4" s="254"/>
      <c r="NAC4" s="254"/>
      <c r="NAD4" s="254"/>
      <c r="NAE4" s="254"/>
      <c r="NAF4" s="254"/>
      <c r="NAG4" s="254"/>
      <c r="NAH4" s="254"/>
      <c r="NAI4" s="254"/>
      <c r="NAJ4" s="254"/>
      <c r="NAK4" s="254"/>
      <c r="NAL4" s="254"/>
      <c r="NAM4" s="254"/>
      <c r="NAN4" s="254"/>
      <c r="NAO4" s="254"/>
      <c r="NAP4" s="254"/>
      <c r="NAQ4" s="254"/>
      <c r="NAR4" s="254"/>
      <c r="NAS4" s="254"/>
      <c r="NAT4" s="254"/>
      <c r="NAU4" s="254"/>
      <c r="NAV4" s="254"/>
      <c r="NAW4" s="254"/>
      <c r="NAX4" s="254"/>
      <c r="NAY4" s="254"/>
      <c r="NAZ4" s="254"/>
      <c r="NBA4" s="254"/>
      <c r="NBB4" s="254"/>
      <c r="NBC4" s="254"/>
      <c r="NBD4" s="254"/>
      <c r="NBE4" s="254"/>
      <c r="NBF4" s="254"/>
      <c r="NBG4" s="254"/>
      <c r="NBH4" s="254"/>
      <c r="NBI4" s="254"/>
      <c r="NBJ4" s="254"/>
      <c r="NBK4" s="254"/>
      <c r="NBL4" s="254"/>
      <c r="NBM4" s="254"/>
      <c r="NBN4" s="254"/>
      <c r="NBO4" s="254"/>
      <c r="NBP4" s="254"/>
      <c r="NBQ4" s="254"/>
      <c r="NBR4" s="254"/>
      <c r="NBS4" s="254"/>
      <c r="NBT4" s="254"/>
      <c r="NBU4" s="254"/>
      <c r="NBV4" s="254"/>
      <c r="NBW4" s="254"/>
      <c r="NBX4" s="254"/>
      <c r="NBY4" s="254"/>
      <c r="NBZ4" s="254"/>
      <c r="NCA4" s="254"/>
      <c r="NCB4" s="254"/>
      <c r="NCC4" s="254"/>
      <c r="NCD4" s="254"/>
      <c r="NCE4" s="254"/>
      <c r="NCF4" s="254"/>
      <c r="NCG4" s="254"/>
      <c r="NCH4" s="254"/>
      <c r="NCI4" s="254"/>
      <c r="NCJ4" s="254"/>
      <c r="NCK4" s="254"/>
      <c r="NCL4" s="254"/>
      <c r="NCM4" s="254"/>
      <c r="NCN4" s="254"/>
      <c r="NCO4" s="254"/>
      <c r="NCP4" s="254"/>
      <c r="NCQ4" s="254"/>
      <c r="NCR4" s="254"/>
      <c r="NCS4" s="254"/>
      <c r="NCT4" s="254"/>
      <c r="NCU4" s="254"/>
      <c r="NCV4" s="254"/>
      <c r="NCW4" s="254"/>
      <c r="NCX4" s="254"/>
      <c r="NCY4" s="254"/>
      <c r="NCZ4" s="254"/>
      <c r="NDA4" s="254"/>
      <c r="NDB4" s="254"/>
      <c r="NDC4" s="254"/>
      <c r="NDD4" s="254"/>
      <c r="NDE4" s="254"/>
      <c r="NDF4" s="254"/>
      <c r="NDG4" s="254"/>
      <c r="NDH4" s="254"/>
      <c r="NDI4" s="254"/>
      <c r="NDJ4" s="254"/>
      <c r="NDK4" s="254"/>
      <c r="NDL4" s="254"/>
      <c r="NDM4" s="254"/>
      <c r="NDN4" s="254"/>
      <c r="NDO4" s="254"/>
      <c r="NDP4" s="254"/>
      <c r="NDQ4" s="254"/>
      <c r="NDR4" s="254"/>
      <c r="NDS4" s="254"/>
      <c r="NDT4" s="254"/>
      <c r="NDU4" s="254"/>
      <c r="NDV4" s="254"/>
      <c r="NDW4" s="254"/>
      <c r="NDX4" s="254"/>
      <c r="NDY4" s="254"/>
      <c r="NDZ4" s="254"/>
      <c r="NEA4" s="254"/>
      <c r="NEB4" s="254"/>
      <c r="NEC4" s="254"/>
      <c r="NED4" s="254"/>
      <c r="NEE4" s="254"/>
      <c r="NEF4" s="254"/>
      <c r="NEG4" s="254"/>
      <c r="NEH4" s="254"/>
      <c r="NEI4" s="254"/>
      <c r="NEJ4" s="254"/>
      <c r="NEK4" s="254"/>
      <c r="NEL4" s="254"/>
      <c r="NEM4" s="254"/>
      <c r="NEN4" s="254"/>
      <c r="NEO4" s="254"/>
      <c r="NEP4" s="254"/>
      <c r="NEQ4" s="254"/>
      <c r="NER4" s="254"/>
      <c r="NES4" s="254"/>
      <c r="NET4" s="254"/>
      <c r="NEU4" s="254"/>
      <c r="NEV4" s="254"/>
      <c r="NEW4" s="254"/>
      <c r="NEX4" s="254"/>
      <c r="NEY4" s="254"/>
      <c r="NEZ4" s="254"/>
      <c r="NFA4" s="254"/>
      <c r="NFB4" s="254"/>
      <c r="NFC4" s="254"/>
      <c r="NFD4" s="254"/>
      <c r="NFE4" s="254"/>
      <c r="NFF4" s="254"/>
      <c r="NFG4" s="254"/>
      <c r="NFH4" s="254"/>
      <c r="NFI4" s="254"/>
      <c r="NFJ4" s="254"/>
      <c r="NFK4" s="254"/>
      <c r="NFL4" s="254"/>
      <c r="NFM4" s="254"/>
      <c r="NFN4" s="254"/>
      <c r="NFO4" s="254"/>
      <c r="NFP4" s="254"/>
      <c r="NFQ4" s="254"/>
      <c r="NFR4" s="254"/>
      <c r="NFS4" s="254"/>
      <c r="NFT4" s="254"/>
      <c r="NFU4" s="254"/>
      <c r="NFV4" s="254"/>
      <c r="NFW4" s="254"/>
      <c r="NFX4" s="254"/>
      <c r="NFY4" s="254"/>
      <c r="NFZ4" s="254"/>
      <c r="NGA4" s="254"/>
      <c r="NGB4" s="254"/>
      <c r="NGC4" s="254"/>
      <c r="NGD4" s="254"/>
      <c r="NGE4" s="254"/>
      <c r="NGF4" s="254"/>
      <c r="NGG4" s="254"/>
      <c r="NGH4" s="254"/>
      <c r="NGI4" s="254"/>
      <c r="NGJ4" s="254"/>
      <c r="NGK4" s="254"/>
      <c r="NGL4" s="254"/>
      <c r="NGM4" s="254"/>
      <c r="NGN4" s="254"/>
      <c r="NGO4" s="254"/>
      <c r="NGP4" s="254"/>
      <c r="NGQ4" s="254"/>
      <c r="NGR4" s="254"/>
      <c r="NGS4" s="254"/>
      <c r="NGT4" s="254"/>
      <c r="NGU4" s="254"/>
      <c r="NGV4" s="254"/>
      <c r="NGW4" s="254"/>
      <c r="NGX4" s="254"/>
      <c r="NGY4" s="254"/>
      <c r="NGZ4" s="254"/>
      <c r="NHA4" s="254"/>
      <c r="NHB4" s="254"/>
      <c r="NHC4" s="254"/>
      <c r="NHD4" s="254"/>
      <c r="NHE4" s="254"/>
      <c r="NHF4" s="254"/>
      <c r="NHG4" s="254"/>
      <c r="NHH4" s="254"/>
      <c r="NHI4" s="254"/>
      <c r="NHJ4" s="254"/>
      <c r="NHK4" s="254"/>
      <c r="NHL4" s="254"/>
      <c r="NHM4" s="254"/>
      <c r="NHN4" s="254"/>
      <c r="NHO4" s="254"/>
      <c r="NHP4" s="254"/>
      <c r="NHQ4" s="254"/>
      <c r="NHR4" s="254"/>
      <c r="NHS4" s="254"/>
      <c r="NHT4" s="254"/>
      <c r="NHU4" s="254"/>
      <c r="NHV4" s="254"/>
      <c r="NHW4" s="254"/>
      <c r="NHX4" s="254"/>
      <c r="NHY4" s="254"/>
      <c r="NHZ4" s="254"/>
      <c r="NIA4" s="254"/>
      <c r="NIB4" s="254"/>
      <c r="NIC4" s="254"/>
      <c r="NID4" s="254"/>
      <c r="NIE4" s="254"/>
      <c r="NIF4" s="254"/>
      <c r="NIG4" s="254"/>
      <c r="NIH4" s="254"/>
      <c r="NII4" s="254"/>
      <c r="NIJ4" s="254"/>
      <c r="NIK4" s="254"/>
      <c r="NIL4" s="254"/>
      <c r="NIM4" s="254"/>
      <c r="NIN4" s="254"/>
      <c r="NIO4" s="254"/>
      <c r="NIP4" s="254"/>
      <c r="NIQ4" s="254"/>
      <c r="NIR4" s="254"/>
      <c r="NIS4" s="254"/>
      <c r="NIT4" s="254"/>
      <c r="NIU4" s="254"/>
      <c r="NIV4" s="254"/>
      <c r="NIW4" s="254"/>
      <c r="NIX4" s="254"/>
      <c r="NIY4" s="254"/>
      <c r="NIZ4" s="254"/>
      <c r="NJA4" s="254"/>
      <c r="NJB4" s="254"/>
      <c r="NJC4" s="254"/>
      <c r="NJD4" s="254"/>
      <c r="NJE4" s="254"/>
      <c r="NJF4" s="254"/>
      <c r="NJG4" s="254"/>
      <c r="NJH4" s="254"/>
      <c r="NJI4" s="254"/>
      <c r="NJJ4" s="254"/>
      <c r="NJK4" s="254"/>
      <c r="NJL4" s="254"/>
      <c r="NJM4" s="254"/>
      <c r="NJN4" s="254"/>
      <c r="NJO4" s="254"/>
      <c r="NJP4" s="254"/>
      <c r="NJQ4" s="254"/>
      <c r="NJR4" s="254"/>
      <c r="NJS4" s="254"/>
      <c r="NJT4" s="254"/>
      <c r="NJU4" s="254"/>
      <c r="NJV4" s="254"/>
      <c r="NJW4" s="254"/>
      <c r="NJX4" s="254"/>
      <c r="NJY4" s="254"/>
      <c r="NJZ4" s="254"/>
      <c r="NKA4" s="254"/>
      <c r="NKB4" s="254"/>
      <c r="NKC4" s="254"/>
      <c r="NKD4" s="254"/>
      <c r="NKE4" s="254"/>
      <c r="NKF4" s="254"/>
      <c r="NKG4" s="254"/>
      <c r="NKH4" s="254"/>
      <c r="NKI4" s="254"/>
      <c r="NKJ4" s="254"/>
      <c r="NKK4" s="254"/>
      <c r="NKL4" s="254"/>
      <c r="NKM4" s="254"/>
      <c r="NKN4" s="254"/>
      <c r="NKO4" s="254"/>
      <c r="NKP4" s="254"/>
      <c r="NKQ4" s="254"/>
      <c r="NKR4" s="254"/>
      <c r="NKS4" s="254"/>
      <c r="NKT4" s="254"/>
      <c r="NKU4" s="254"/>
      <c r="NKV4" s="254"/>
      <c r="NKW4" s="254"/>
      <c r="NKX4" s="254"/>
      <c r="NKY4" s="254"/>
      <c r="NKZ4" s="254"/>
      <c r="NLA4" s="254"/>
      <c r="NLB4" s="254"/>
      <c r="NLC4" s="254"/>
      <c r="NLD4" s="254"/>
      <c r="NLE4" s="254"/>
      <c r="NLF4" s="254"/>
      <c r="NLG4" s="254"/>
      <c r="NLH4" s="254"/>
      <c r="NLI4" s="254"/>
      <c r="NLJ4" s="254"/>
      <c r="NLK4" s="254"/>
      <c r="NLL4" s="254"/>
      <c r="NLM4" s="254"/>
      <c r="NLN4" s="254"/>
      <c r="NLO4" s="254"/>
      <c r="NLP4" s="254"/>
      <c r="NLQ4" s="254"/>
      <c r="NLR4" s="254"/>
      <c r="NLS4" s="254"/>
      <c r="NLT4" s="254"/>
      <c r="NLU4" s="254"/>
      <c r="NLV4" s="254"/>
      <c r="NLW4" s="254"/>
      <c r="NLX4" s="254"/>
      <c r="NLY4" s="254"/>
      <c r="NLZ4" s="254"/>
      <c r="NMA4" s="254"/>
      <c r="NMB4" s="254"/>
      <c r="NMC4" s="254"/>
      <c r="NMD4" s="254"/>
      <c r="NME4" s="254"/>
      <c r="NMF4" s="254"/>
      <c r="NMG4" s="254"/>
      <c r="NMH4" s="254"/>
      <c r="NMI4" s="254"/>
      <c r="NMJ4" s="254"/>
      <c r="NMK4" s="254"/>
      <c r="NML4" s="254"/>
      <c r="NMM4" s="254"/>
      <c r="NMN4" s="254"/>
      <c r="NMO4" s="254"/>
      <c r="NMP4" s="254"/>
      <c r="NMQ4" s="254"/>
      <c r="NMR4" s="254"/>
      <c r="NMS4" s="254"/>
      <c r="NMT4" s="254"/>
      <c r="NMU4" s="254"/>
      <c r="NMV4" s="254"/>
      <c r="NMW4" s="254"/>
      <c r="NMX4" s="254"/>
      <c r="NMY4" s="254"/>
      <c r="NMZ4" s="254"/>
      <c r="NNA4" s="254"/>
      <c r="NNB4" s="254"/>
      <c r="NNC4" s="254"/>
      <c r="NND4" s="254"/>
      <c r="NNE4" s="254"/>
      <c r="NNF4" s="254"/>
      <c r="NNG4" s="254"/>
      <c r="NNH4" s="254"/>
      <c r="NNI4" s="254"/>
      <c r="NNJ4" s="254"/>
      <c r="NNK4" s="254"/>
      <c r="NNL4" s="254"/>
      <c r="NNM4" s="254"/>
      <c r="NNN4" s="254"/>
      <c r="NNO4" s="254"/>
      <c r="NNP4" s="254"/>
      <c r="NNQ4" s="254"/>
      <c r="NNR4" s="254"/>
      <c r="NNS4" s="254"/>
      <c r="NNT4" s="254"/>
      <c r="NNU4" s="254"/>
      <c r="NNV4" s="254"/>
      <c r="NNW4" s="254"/>
      <c r="NNX4" s="254"/>
      <c r="NNY4" s="254"/>
      <c r="NNZ4" s="254"/>
      <c r="NOA4" s="254"/>
      <c r="NOB4" s="254"/>
      <c r="NOC4" s="254"/>
      <c r="NOD4" s="254"/>
      <c r="NOE4" s="254"/>
      <c r="NOF4" s="254"/>
      <c r="NOG4" s="254"/>
      <c r="NOH4" s="254"/>
      <c r="NOI4" s="254"/>
      <c r="NOJ4" s="254"/>
      <c r="NOK4" s="254"/>
      <c r="NOL4" s="254"/>
      <c r="NOM4" s="254"/>
      <c r="NON4" s="254"/>
      <c r="NOO4" s="254"/>
      <c r="NOP4" s="254"/>
      <c r="NOQ4" s="254"/>
      <c r="NOR4" s="254"/>
      <c r="NOS4" s="254"/>
      <c r="NOT4" s="254"/>
      <c r="NOU4" s="254"/>
      <c r="NOV4" s="254"/>
      <c r="NOW4" s="254"/>
      <c r="NOX4" s="254"/>
      <c r="NOY4" s="254"/>
      <c r="NOZ4" s="254"/>
      <c r="NPA4" s="254"/>
      <c r="NPB4" s="254"/>
      <c r="NPC4" s="254"/>
      <c r="NPD4" s="254"/>
      <c r="NPE4" s="254"/>
      <c r="NPF4" s="254"/>
      <c r="NPG4" s="254"/>
      <c r="NPH4" s="254"/>
      <c r="NPI4" s="254"/>
      <c r="NPJ4" s="254"/>
      <c r="NPK4" s="254"/>
      <c r="NPL4" s="254"/>
      <c r="NPM4" s="254"/>
      <c r="NPN4" s="254"/>
      <c r="NPO4" s="254"/>
      <c r="NPP4" s="254"/>
      <c r="NPQ4" s="254"/>
      <c r="NPR4" s="254"/>
      <c r="NPS4" s="254"/>
      <c r="NPT4" s="254"/>
      <c r="NPU4" s="254"/>
      <c r="NPV4" s="254"/>
      <c r="NPW4" s="254"/>
      <c r="NPX4" s="254"/>
      <c r="NPY4" s="254"/>
      <c r="NPZ4" s="254"/>
      <c r="NQA4" s="254"/>
      <c r="NQB4" s="254"/>
      <c r="NQC4" s="254"/>
      <c r="NQD4" s="254"/>
      <c r="NQE4" s="254"/>
      <c r="NQF4" s="254"/>
      <c r="NQG4" s="254"/>
      <c r="NQH4" s="254"/>
      <c r="NQI4" s="254"/>
      <c r="NQJ4" s="254"/>
      <c r="NQK4" s="254"/>
      <c r="NQL4" s="254"/>
      <c r="NQM4" s="254"/>
      <c r="NQN4" s="254"/>
      <c r="NQO4" s="254"/>
      <c r="NQP4" s="254"/>
      <c r="NQQ4" s="254"/>
      <c r="NQR4" s="254"/>
      <c r="NQS4" s="254"/>
      <c r="NQT4" s="254"/>
      <c r="NQU4" s="254"/>
      <c r="NQV4" s="254"/>
      <c r="NQW4" s="254"/>
      <c r="NQX4" s="254"/>
      <c r="NQY4" s="254"/>
      <c r="NQZ4" s="254"/>
      <c r="NRA4" s="254"/>
      <c r="NRB4" s="254"/>
      <c r="NRC4" s="254"/>
      <c r="NRD4" s="254"/>
      <c r="NRE4" s="254"/>
      <c r="NRF4" s="254"/>
      <c r="NRG4" s="254"/>
      <c r="NRH4" s="254"/>
      <c r="NRI4" s="254"/>
      <c r="NRJ4" s="254"/>
      <c r="NRK4" s="254"/>
      <c r="NRL4" s="254"/>
      <c r="NRM4" s="254"/>
      <c r="NRN4" s="254"/>
      <c r="NRO4" s="254"/>
      <c r="NRP4" s="254"/>
      <c r="NRQ4" s="254"/>
      <c r="NRR4" s="254"/>
      <c r="NRS4" s="254"/>
      <c r="NRT4" s="254"/>
      <c r="NRU4" s="254"/>
      <c r="NRV4" s="254"/>
      <c r="NRW4" s="254"/>
      <c r="NRX4" s="254"/>
      <c r="NRY4" s="254"/>
      <c r="NRZ4" s="254"/>
      <c r="NSA4" s="254"/>
      <c r="NSB4" s="254"/>
      <c r="NSC4" s="254"/>
      <c r="NSD4" s="254"/>
      <c r="NSE4" s="254"/>
      <c r="NSF4" s="254"/>
      <c r="NSG4" s="254"/>
      <c r="NSH4" s="254"/>
      <c r="NSI4" s="254"/>
      <c r="NSJ4" s="254"/>
      <c r="NSK4" s="254"/>
      <c r="NSL4" s="254"/>
      <c r="NSM4" s="254"/>
      <c r="NSN4" s="254"/>
      <c r="NSO4" s="254"/>
      <c r="NSP4" s="254"/>
      <c r="NSQ4" s="254"/>
      <c r="NSR4" s="254"/>
      <c r="NSS4" s="254"/>
      <c r="NST4" s="254"/>
      <c r="NSU4" s="254"/>
      <c r="NSV4" s="254"/>
      <c r="NSW4" s="254"/>
      <c r="NSX4" s="254"/>
      <c r="NSY4" s="254"/>
      <c r="NSZ4" s="254"/>
      <c r="NTA4" s="254"/>
      <c r="NTB4" s="254"/>
      <c r="NTC4" s="254"/>
      <c r="NTD4" s="254"/>
      <c r="NTE4" s="254"/>
      <c r="NTF4" s="254"/>
      <c r="NTG4" s="254"/>
      <c r="NTH4" s="254"/>
      <c r="NTI4" s="254"/>
      <c r="NTJ4" s="254"/>
      <c r="NTK4" s="254"/>
      <c r="NTL4" s="254"/>
      <c r="NTM4" s="254"/>
      <c r="NTN4" s="254"/>
      <c r="NTO4" s="254"/>
      <c r="NTP4" s="254"/>
      <c r="NTQ4" s="254"/>
      <c r="NTR4" s="254"/>
      <c r="NTS4" s="254"/>
      <c r="NTT4" s="254"/>
      <c r="NTU4" s="254"/>
      <c r="NTV4" s="254"/>
      <c r="NTW4" s="254"/>
      <c r="NTX4" s="254"/>
      <c r="NTY4" s="254"/>
      <c r="NTZ4" s="254"/>
      <c r="NUA4" s="254"/>
      <c r="NUB4" s="254"/>
      <c r="NUC4" s="254"/>
      <c r="NUD4" s="254"/>
      <c r="NUE4" s="254"/>
      <c r="NUF4" s="254"/>
      <c r="NUG4" s="254"/>
      <c r="NUH4" s="254"/>
      <c r="NUI4" s="254"/>
      <c r="NUJ4" s="254"/>
      <c r="NUK4" s="254"/>
      <c r="NUL4" s="254"/>
      <c r="NUM4" s="254"/>
      <c r="NUN4" s="254"/>
      <c r="NUO4" s="254"/>
      <c r="NUP4" s="254"/>
      <c r="NUQ4" s="254"/>
      <c r="NUR4" s="254"/>
      <c r="NUS4" s="254"/>
      <c r="NUT4" s="254"/>
      <c r="NUU4" s="254"/>
      <c r="NUV4" s="254"/>
      <c r="NUW4" s="254"/>
      <c r="NUX4" s="254"/>
      <c r="NUY4" s="254"/>
      <c r="NUZ4" s="254"/>
      <c r="NVA4" s="254"/>
      <c r="NVB4" s="254"/>
      <c r="NVC4" s="254"/>
      <c r="NVD4" s="254"/>
      <c r="NVE4" s="254"/>
      <c r="NVF4" s="254"/>
      <c r="NVG4" s="254"/>
      <c r="NVH4" s="254"/>
      <c r="NVI4" s="254"/>
      <c r="NVJ4" s="254"/>
      <c r="NVK4" s="254"/>
      <c r="NVL4" s="254"/>
      <c r="NVM4" s="254"/>
      <c r="NVN4" s="254"/>
      <c r="NVO4" s="254"/>
      <c r="NVP4" s="254"/>
      <c r="NVQ4" s="254"/>
      <c r="NVR4" s="254"/>
      <c r="NVS4" s="254"/>
      <c r="NVT4" s="254"/>
      <c r="NVU4" s="254"/>
      <c r="NVV4" s="254"/>
      <c r="NVW4" s="254"/>
      <c r="NVX4" s="254"/>
      <c r="NVY4" s="254"/>
      <c r="NVZ4" s="254"/>
      <c r="NWA4" s="254"/>
      <c r="NWB4" s="254"/>
      <c r="NWC4" s="254"/>
      <c r="NWD4" s="254"/>
      <c r="NWE4" s="254"/>
      <c r="NWF4" s="254"/>
      <c r="NWG4" s="254"/>
      <c r="NWH4" s="254"/>
      <c r="NWI4" s="254"/>
      <c r="NWJ4" s="254"/>
      <c r="NWK4" s="254"/>
      <c r="NWL4" s="254"/>
      <c r="NWM4" s="254"/>
      <c r="NWN4" s="254"/>
      <c r="NWO4" s="254"/>
      <c r="NWP4" s="254"/>
      <c r="NWQ4" s="254"/>
      <c r="NWR4" s="254"/>
      <c r="NWS4" s="254"/>
      <c r="NWT4" s="254"/>
      <c r="NWU4" s="254"/>
      <c r="NWV4" s="254"/>
      <c r="NWW4" s="254"/>
      <c r="NWX4" s="254"/>
      <c r="NWY4" s="254"/>
      <c r="NWZ4" s="254"/>
      <c r="NXA4" s="254"/>
      <c r="NXB4" s="254"/>
      <c r="NXC4" s="254"/>
      <c r="NXD4" s="254"/>
      <c r="NXE4" s="254"/>
      <c r="NXF4" s="254"/>
      <c r="NXG4" s="254"/>
      <c r="NXH4" s="254"/>
      <c r="NXI4" s="254"/>
      <c r="NXJ4" s="254"/>
      <c r="NXK4" s="254"/>
      <c r="NXL4" s="254"/>
      <c r="NXM4" s="254"/>
      <c r="NXN4" s="254"/>
      <c r="NXO4" s="254"/>
      <c r="NXP4" s="254"/>
      <c r="NXQ4" s="254"/>
      <c r="NXR4" s="254"/>
      <c r="NXS4" s="254"/>
      <c r="NXT4" s="254"/>
      <c r="NXU4" s="254"/>
      <c r="NXV4" s="254"/>
      <c r="NXW4" s="254"/>
      <c r="NXX4" s="254"/>
      <c r="NXY4" s="254"/>
      <c r="NXZ4" s="254"/>
      <c r="NYA4" s="254"/>
      <c r="NYB4" s="254"/>
      <c r="NYC4" s="254"/>
      <c r="NYD4" s="254"/>
      <c r="NYE4" s="254"/>
      <c r="NYF4" s="254"/>
      <c r="NYG4" s="254"/>
      <c r="NYH4" s="254"/>
      <c r="NYI4" s="254"/>
      <c r="NYJ4" s="254"/>
      <c r="NYK4" s="254"/>
      <c r="NYL4" s="254"/>
      <c r="NYM4" s="254"/>
      <c r="NYN4" s="254"/>
      <c r="NYO4" s="254"/>
      <c r="NYP4" s="254"/>
      <c r="NYQ4" s="254"/>
      <c r="NYR4" s="254"/>
      <c r="NYS4" s="254"/>
      <c r="NYT4" s="254"/>
      <c r="NYU4" s="254"/>
      <c r="NYV4" s="254"/>
      <c r="NYW4" s="254"/>
      <c r="NYX4" s="254"/>
      <c r="NYY4" s="254"/>
      <c r="NYZ4" s="254"/>
      <c r="NZA4" s="254"/>
      <c r="NZB4" s="254"/>
      <c r="NZC4" s="254"/>
      <c r="NZD4" s="254"/>
      <c r="NZE4" s="254"/>
      <c r="NZF4" s="254"/>
      <c r="NZG4" s="254"/>
      <c r="NZH4" s="254"/>
      <c r="NZI4" s="254"/>
      <c r="NZJ4" s="254"/>
      <c r="NZK4" s="254"/>
      <c r="NZL4" s="254"/>
      <c r="NZM4" s="254"/>
      <c r="NZN4" s="254"/>
      <c r="NZO4" s="254"/>
      <c r="NZP4" s="254"/>
      <c r="NZQ4" s="254"/>
      <c r="NZR4" s="254"/>
      <c r="NZS4" s="254"/>
      <c r="NZT4" s="254"/>
      <c r="NZU4" s="254"/>
      <c r="NZV4" s="254"/>
      <c r="NZW4" s="254"/>
      <c r="NZX4" s="254"/>
      <c r="NZY4" s="254"/>
      <c r="NZZ4" s="254"/>
      <c r="OAA4" s="254"/>
      <c r="OAB4" s="254"/>
      <c r="OAC4" s="254"/>
      <c r="OAD4" s="254"/>
      <c r="OAE4" s="254"/>
      <c r="OAF4" s="254"/>
      <c r="OAG4" s="254"/>
      <c r="OAH4" s="254"/>
      <c r="OAI4" s="254"/>
      <c r="OAJ4" s="254"/>
      <c r="OAK4" s="254"/>
      <c r="OAL4" s="254"/>
      <c r="OAM4" s="254"/>
      <c r="OAN4" s="254"/>
      <c r="OAO4" s="254"/>
      <c r="OAP4" s="254"/>
      <c r="OAQ4" s="254"/>
      <c r="OAR4" s="254"/>
      <c r="OAS4" s="254"/>
      <c r="OAT4" s="254"/>
      <c r="OAU4" s="254"/>
      <c r="OAV4" s="254"/>
      <c r="OAW4" s="254"/>
      <c r="OAX4" s="254"/>
      <c r="OAY4" s="254"/>
      <c r="OAZ4" s="254"/>
      <c r="OBA4" s="254"/>
      <c r="OBB4" s="254"/>
      <c r="OBC4" s="254"/>
      <c r="OBD4" s="254"/>
      <c r="OBE4" s="254"/>
      <c r="OBF4" s="254"/>
      <c r="OBG4" s="254"/>
      <c r="OBH4" s="254"/>
      <c r="OBI4" s="254"/>
      <c r="OBJ4" s="254"/>
      <c r="OBK4" s="254"/>
      <c r="OBL4" s="254"/>
      <c r="OBM4" s="254"/>
      <c r="OBN4" s="254"/>
      <c r="OBO4" s="254"/>
      <c r="OBP4" s="254"/>
      <c r="OBQ4" s="254"/>
      <c r="OBR4" s="254"/>
      <c r="OBS4" s="254"/>
      <c r="OBT4" s="254"/>
      <c r="OBU4" s="254"/>
      <c r="OBV4" s="254"/>
      <c r="OBW4" s="254"/>
      <c r="OBX4" s="254"/>
      <c r="OBY4" s="254"/>
      <c r="OBZ4" s="254"/>
      <c r="OCA4" s="254"/>
      <c r="OCB4" s="254"/>
      <c r="OCC4" s="254"/>
      <c r="OCD4" s="254"/>
      <c r="OCE4" s="254"/>
      <c r="OCF4" s="254"/>
      <c r="OCG4" s="254"/>
      <c r="OCH4" s="254"/>
      <c r="OCI4" s="254"/>
      <c r="OCJ4" s="254"/>
      <c r="OCK4" s="254"/>
      <c r="OCL4" s="254"/>
      <c r="OCM4" s="254"/>
      <c r="OCN4" s="254"/>
      <c r="OCO4" s="254"/>
      <c r="OCP4" s="254"/>
      <c r="OCQ4" s="254"/>
      <c r="OCR4" s="254"/>
      <c r="OCS4" s="254"/>
      <c r="OCT4" s="254"/>
      <c r="OCU4" s="254"/>
      <c r="OCV4" s="254"/>
      <c r="OCW4" s="254"/>
      <c r="OCX4" s="254"/>
      <c r="OCY4" s="254"/>
      <c r="OCZ4" s="254"/>
      <c r="ODA4" s="254"/>
      <c r="ODB4" s="254"/>
      <c r="ODC4" s="254"/>
      <c r="ODD4" s="254"/>
      <c r="ODE4" s="254"/>
      <c r="ODF4" s="254"/>
      <c r="ODG4" s="254"/>
      <c r="ODH4" s="254"/>
      <c r="ODI4" s="254"/>
      <c r="ODJ4" s="254"/>
      <c r="ODK4" s="254"/>
      <c r="ODL4" s="254"/>
      <c r="ODM4" s="254"/>
      <c r="ODN4" s="254"/>
      <c r="ODO4" s="254"/>
      <c r="ODP4" s="254"/>
      <c r="ODQ4" s="254"/>
      <c r="ODR4" s="254"/>
      <c r="ODS4" s="254"/>
      <c r="ODT4" s="254"/>
      <c r="ODU4" s="254"/>
      <c r="ODV4" s="254"/>
      <c r="ODW4" s="254"/>
      <c r="ODX4" s="254"/>
      <c r="ODY4" s="254"/>
      <c r="ODZ4" s="254"/>
      <c r="OEA4" s="254"/>
      <c r="OEB4" s="254"/>
      <c r="OEC4" s="254"/>
      <c r="OED4" s="254"/>
      <c r="OEE4" s="254"/>
      <c r="OEF4" s="254"/>
      <c r="OEG4" s="254"/>
      <c r="OEH4" s="254"/>
      <c r="OEI4" s="254"/>
      <c r="OEJ4" s="254"/>
      <c r="OEK4" s="254"/>
      <c r="OEL4" s="254"/>
      <c r="OEM4" s="254"/>
      <c r="OEN4" s="254"/>
      <c r="OEO4" s="254"/>
      <c r="OEP4" s="254"/>
      <c r="OEQ4" s="254"/>
      <c r="OER4" s="254"/>
      <c r="OES4" s="254"/>
      <c r="OET4" s="254"/>
      <c r="OEU4" s="254"/>
      <c r="OEV4" s="254"/>
      <c r="OEW4" s="254"/>
      <c r="OEX4" s="254"/>
      <c r="OEY4" s="254"/>
      <c r="OEZ4" s="254"/>
      <c r="OFA4" s="254"/>
      <c r="OFB4" s="254"/>
      <c r="OFC4" s="254"/>
      <c r="OFD4" s="254"/>
      <c r="OFE4" s="254"/>
      <c r="OFF4" s="254"/>
      <c r="OFG4" s="254"/>
      <c r="OFH4" s="254"/>
      <c r="OFI4" s="254"/>
      <c r="OFJ4" s="254"/>
      <c r="OFK4" s="254"/>
      <c r="OFL4" s="254"/>
      <c r="OFM4" s="254"/>
      <c r="OFN4" s="254"/>
      <c r="OFO4" s="254"/>
      <c r="OFP4" s="254"/>
      <c r="OFQ4" s="254"/>
      <c r="OFR4" s="254"/>
      <c r="OFS4" s="254"/>
      <c r="OFT4" s="254"/>
      <c r="OFU4" s="254"/>
      <c r="OFV4" s="254"/>
      <c r="OFW4" s="254"/>
      <c r="OFX4" s="254"/>
      <c r="OFY4" s="254"/>
      <c r="OFZ4" s="254"/>
      <c r="OGA4" s="254"/>
      <c r="OGB4" s="254"/>
      <c r="OGC4" s="254"/>
      <c r="OGD4" s="254"/>
      <c r="OGE4" s="254"/>
      <c r="OGF4" s="254"/>
      <c r="OGG4" s="254"/>
      <c r="OGH4" s="254"/>
      <c r="OGI4" s="254"/>
      <c r="OGJ4" s="254"/>
      <c r="OGK4" s="254"/>
      <c r="OGL4" s="254"/>
      <c r="OGM4" s="254"/>
      <c r="OGN4" s="254"/>
      <c r="OGO4" s="254"/>
      <c r="OGP4" s="254"/>
      <c r="OGQ4" s="254"/>
      <c r="OGR4" s="254"/>
      <c r="OGS4" s="254"/>
      <c r="OGT4" s="254"/>
      <c r="OGU4" s="254"/>
      <c r="OGV4" s="254"/>
      <c r="OGW4" s="254"/>
      <c r="OGX4" s="254"/>
      <c r="OGY4" s="254"/>
      <c r="OGZ4" s="254"/>
      <c r="OHA4" s="254"/>
      <c r="OHB4" s="254"/>
      <c r="OHC4" s="254"/>
      <c r="OHD4" s="254"/>
      <c r="OHE4" s="254"/>
      <c r="OHF4" s="254"/>
      <c r="OHG4" s="254"/>
      <c r="OHH4" s="254"/>
      <c r="OHI4" s="254"/>
      <c r="OHJ4" s="254"/>
      <c r="OHK4" s="254"/>
      <c r="OHL4" s="254"/>
      <c r="OHM4" s="254"/>
      <c r="OHN4" s="254"/>
      <c r="OHO4" s="254"/>
      <c r="OHP4" s="254"/>
      <c r="OHQ4" s="254"/>
      <c r="OHR4" s="254"/>
      <c r="OHS4" s="254"/>
      <c r="OHT4" s="254"/>
      <c r="OHU4" s="254"/>
      <c r="OHV4" s="254"/>
      <c r="OHW4" s="254"/>
      <c r="OHX4" s="254"/>
      <c r="OHY4" s="254"/>
      <c r="OHZ4" s="254"/>
      <c r="OIA4" s="254"/>
      <c r="OIB4" s="254"/>
      <c r="OIC4" s="254"/>
      <c r="OID4" s="254"/>
      <c r="OIE4" s="254"/>
      <c r="OIF4" s="254"/>
      <c r="OIG4" s="254"/>
      <c r="OIH4" s="254"/>
      <c r="OII4" s="254"/>
      <c r="OIJ4" s="254"/>
      <c r="OIK4" s="254"/>
      <c r="OIL4" s="254"/>
      <c r="OIM4" s="254"/>
      <c r="OIN4" s="254"/>
      <c r="OIO4" s="254"/>
      <c r="OIP4" s="254"/>
      <c r="OIQ4" s="254"/>
      <c r="OIR4" s="254"/>
      <c r="OIS4" s="254"/>
      <c r="OIT4" s="254"/>
      <c r="OIU4" s="254"/>
      <c r="OIV4" s="254"/>
      <c r="OIW4" s="254"/>
      <c r="OIX4" s="254"/>
      <c r="OIY4" s="254"/>
      <c r="OIZ4" s="254"/>
      <c r="OJA4" s="254"/>
      <c r="OJB4" s="254"/>
      <c r="OJC4" s="254"/>
      <c r="OJD4" s="254"/>
      <c r="OJE4" s="254"/>
      <c r="OJF4" s="254"/>
      <c r="OJG4" s="254"/>
      <c r="OJH4" s="254"/>
      <c r="OJI4" s="254"/>
      <c r="OJJ4" s="254"/>
      <c r="OJK4" s="254"/>
      <c r="OJL4" s="254"/>
      <c r="OJM4" s="254"/>
      <c r="OJN4" s="254"/>
      <c r="OJO4" s="254"/>
      <c r="OJP4" s="254"/>
      <c r="OJQ4" s="254"/>
      <c r="OJR4" s="254"/>
      <c r="OJS4" s="254"/>
      <c r="OJT4" s="254"/>
      <c r="OJU4" s="254"/>
      <c r="OJV4" s="254"/>
      <c r="OJW4" s="254"/>
      <c r="OJX4" s="254"/>
      <c r="OJY4" s="254"/>
      <c r="OJZ4" s="254"/>
      <c r="OKA4" s="254"/>
      <c r="OKB4" s="254"/>
      <c r="OKC4" s="254"/>
      <c r="OKD4" s="254"/>
      <c r="OKE4" s="254"/>
      <c r="OKF4" s="254"/>
      <c r="OKG4" s="254"/>
      <c r="OKH4" s="254"/>
      <c r="OKI4" s="254"/>
      <c r="OKJ4" s="254"/>
      <c r="OKK4" s="254"/>
      <c r="OKL4" s="254"/>
      <c r="OKM4" s="254"/>
      <c r="OKN4" s="254"/>
      <c r="OKO4" s="254"/>
      <c r="OKP4" s="254"/>
      <c r="OKQ4" s="254"/>
      <c r="OKR4" s="254"/>
      <c r="OKS4" s="254"/>
      <c r="OKT4" s="254"/>
      <c r="OKU4" s="254"/>
      <c r="OKV4" s="254"/>
      <c r="OKW4" s="254"/>
      <c r="OKX4" s="254"/>
      <c r="OKY4" s="254"/>
      <c r="OKZ4" s="254"/>
      <c r="OLA4" s="254"/>
      <c r="OLB4" s="254"/>
      <c r="OLC4" s="254"/>
      <c r="OLD4" s="254"/>
      <c r="OLE4" s="254"/>
      <c r="OLF4" s="254"/>
      <c r="OLG4" s="254"/>
      <c r="OLH4" s="254"/>
      <c r="OLI4" s="254"/>
      <c r="OLJ4" s="254"/>
      <c r="OLK4" s="254"/>
      <c r="OLL4" s="254"/>
      <c r="OLM4" s="254"/>
      <c r="OLN4" s="254"/>
      <c r="OLO4" s="254"/>
      <c r="OLP4" s="254"/>
      <c r="OLQ4" s="254"/>
      <c r="OLR4" s="254"/>
      <c r="OLS4" s="254"/>
      <c r="OLT4" s="254"/>
      <c r="OLU4" s="254"/>
      <c r="OLV4" s="254"/>
      <c r="OLW4" s="254"/>
      <c r="OLX4" s="254"/>
      <c r="OLY4" s="254"/>
      <c r="OLZ4" s="254"/>
      <c r="OMA4" s="254"/>
      <c r="OMB4" s="254"/>
      <c r="OMC4" s="254"/>
      <c r="OMD4" s="254"/>
      <c r="OME4" s="254"/>
      <c r="OMF4" s="254"/>
      <c r="OMG4" s="254"/>
      <c r="OMH4" s="254"/>
      <c r="OMI4" s="254"/>
      <c r="OMJ4" s="254"/>
      <c r="OMK4" s="254"/>
      <c r="OML4" s="254"/>
      <c r="OMM4" s="254"/>
      <c r="OMN4" s="254"/>
      <c r="OMO4" s="254"/>
      <c r="OMP4" s="254"/>
      <c r="OMQ4" s="254"/>
      <c r="OMR4" s="254"/>
      <c r="OMS4" s="254"/>
      <c r="OMT4" s="254"/>
      <c r="OMU4" s="254"/>
      <c r="OMV4" s="254"/>
      <c r="OMW4" s="254"/>
      <c r="OMX4" s="254"/>
      <c r="OMY4" s="254"/>
      <c r="OMZ4" s="254"/>
      <c r="ONA4" s="254"/>
      <c r="ONB4" s="254"/>
      <c r="ONC4" s="254"/>
      <c r="OND4" s="254"/>
      <c r="ONE4" s="254"/>
      <c r="ONF4" s="254"/>
      <c r="ONG4" s="254"/>
      <c r="ONH4" s="254"/>
      <c r="ONI4" s="254"/>
      <c r="ONJ4" s="254"/>
      <c r="ONK4" s="254"/>
      <c r="ONL4" s="254"/>
      <c r="ONM4" s="254"/>
      <c r="ONN4" s="254"/>
      <c r="ONO4" s="254"/>
      <c r="ONP4" s="254"/>
      <c r="ONQ4" s="254"/>
      <c r="ONR4" s="254"/>
      <c r="ONS4" s="254"/>
      <c r="ONT4" s="254"/>
      <c r="ONU4" s="254"/>
      <c r="ONV4" s="254"/>
      <c r="ONW4" s="254"/>
      <c r="ONX4" s="254"/>
      <c r="ONY4" s="254"/>
      <c r="ONZ4" s="254"/>
      <c r="OOA4" s="254"/>
      <c r="OOB4" s="254"/>
      <c r="OOC4" s="254"/>
      <c r="OOD4" s="254"/>
      <c r="OOE4" s="254"/>
      <c r="OOF4" s="254"/>
      <c r="OOG4" s="254"/>
      <c r="OOH4" s="254"/>
      <c r="OOI4" s="254"/>
      <c r="OOJ4" s="254"/>
      <c r="OOK4" s="254"/>
      <c r="OOL4" s="254"/>
      <c r="OOM4" s="254"/>
      <c r="OON4" s="254"/>
      <c r="OOO4" s="254"/>
      <c r="OOP4" s="254"/>
      <c r="OOQ4" s="254"/>
      <c r="OOR4" s="254"/>
      <c r="OOS4" s="254"/>
      <c r="OOT4" s="254"/>
      <c r="OOU4" s="254"/>
      <c r="OOV4" s="254"/>
      <c r="OOW4" s="254"/>
      <c r="OOX4" s="254"/>
      <c r="OOY4" s="254"/>
      <c r="OOZ4" s="254"/>
      <c r="OPA4" s="254"/>
      <c r="OPB4" s="254"/>
      <c r="OPC4" s="254"/>
      <c r="OPD4" s="254"/>
      <c r="OPE4" s="254"/>
      <c r="OPF4" s="254"/>
      <c r="OPG4" s="254"/>
      <c r="OPH4" s="254"/>
      <c r="OPI4" s="254"/>
      <c r="OPJ4" s="254"/>
      <c r="OPK4" s="254"/>
      <c r="OPL4" s="254"/>
      <c r="OPM4" s="254"/>
      <c r="OPN4" s="254"/>
      <c r="OPO4" s="254"/>
      <c r="OPP4" s="254"/>
      <c r="OPQ4" s="254"/>
      <c r="OPR4" s="254"/>
      <c r="OPS4" s="254"/>
      <c r="OPT4" s="254"/>
      <c r="OPU4" s="254"/>
      <c r="OPV4" s="254"/>
      <c r="OPW4" s="254"/>
      <c r="OPX4" s="254"/>
      <c r="OPY4" s="254"/>
      <c r="OPZ4" s="254"/>
      <c r="OQA4" s="254"/>
      <c r="OQB4" s="254"/>
      <c r="OQC4" s="254"/>
      <c r="OQD4" s="254"/>
      <c r="OQE4" s="254"/>
      <c r="OQF4" s="254"/>
      <c r="OQG4" s="254"/>
      <c r="OQH4" s="254"/>
      <c r="OQI4" s="254"/>
      <c r="OQJ4" s="254"/>
      <c r="OQK4" s="254"/>
      <c r="OQL4" s="254"/>
      <c r="OQM4" s="254"/>
      <c r="OQN4" s="254"/>
      <c r="OQO4" s="254"/>
      <c r="OQP4" s="254"/>
      <c r="OQQ4" s="254"/>
      <c r="OQR4" s="254"/>
      <c r="OQS4" s="254"/>
      <c r="OQT4" s="254"/>
      <c r="OQU4" s="254"/>
      <c r="OQV4" s="254"/>
      <c r="OQW4" s="254"/>
      <c r="OQX4" s="254"/>
      <c r="OQY4" s="254"/>
      <c r="OQZ4" s="254"/>
      <c r="ORA4" s="254"/>
      <c r="ORB4" s="254"/>
      <c r="ORC4" s="254"/>
      <c r="ORD4" s="254"/>
      <c r="ORE4" s="254"/>
      <c r="ORF4" s="254"/>
      <c r="ORG4" s="254"/>
      <c r="ORH4" s="254"/>
      <c r="ORI4" s="254"/>
      <c r="ORJ4" s="254"/>
      <c r="ORK4" s="254"/>
      <c r="ORL4" s="254"/>
      <c r="ORM4" s="254"/>
      <c r="ORN4" s="254"/>
      <c r="ORO4" s="254"/>
      <c r="ORP4" s="254"/>
      <c r="ORQ4" s="254"/>
      <c r="ORR4" s="254"/>
      <c r="ORS4" s="254"/>
      <c r="ORT4" s="254"/>
      <c r="ORU4" s="254"/>
      <c r="ORV4" s="254"/>
      <c r="ORW4" s="254"/>
      <c r="ORX4" s="254"/>
      <c r="ORY4" s="254"/>
      <c r="ORZ4" s="254"/>
      <c r="OSA4" s="254"/>
      <c r="OSB4" s="254"/>
      <c r="OSC4" s="254"/>
      <c r="OSD4" s="254"/>
      <c r="OSE4" s="254"/>
      <c r="OSF4" s="254"/>
      <c r="OSG4" s="254"/>
      <c r="OSH4" s="254"/>
      <c r="OSI4" s="254"/>
      <c r="OSJ4" s="254"/>
      <c r="OSK4" s="254"/>
      <c r="OSL4" s="254"/>
      <c r="OSM4" s="254"/>
      <c r="OSN4" s="254"/>
      <c r="OSO4" s="254"/>
      <c r="OSP4" s="254"/>
      <c r="OSQ4" s="254"/>
      <c r="OSR4" s="254"/>
      <c r="OSS4" s="254"/>
      <c r="OST4" s="254"/>
      <c r="OSU4" s="254"/>
      <c r="OSV4" s="254"/>
      <c r="OSW4" s="254"/>
      <c r="OSX4" s="254"/>
      <c r="OSY4" s="254"/>
      <c r="OSZ4" s="254"/>
      <c r="OTA4" s="254"/>
      <c r="OTB4" s="254"/>
      <c r="OTC4" s="254"/>
      <c r="OTD4" s="254"/>
      <c r="OTE4" s="254"/>
      <c r="OTF4" s="254"/>
      <c r="OTG4" s="254"/>
      <c r="OTH4" s="254"/>
      <c r="OTI4" s="254"/>
      <c r="OTJ4" s="254"/>
      <c r="OTK4" s="254"/>
      <c r="OTL4" s="254"/>
      <c r="OTM4" s="254"/>
      <c r="OTN4" s="254"/>
      <c r="OTO4" s="254"/>
      <c r="OTP4" s="254"/>
      <c r="OTQ4" s="254"/>
      <c r="OTR4" s="254"/>
      <c r="OTS4" s="254"/>
      <c r="OTT4" s="254"/>
      <c r="OTU4" s="254"/>
      <c r="OTV4" s="254"/>
      <c r="OTW4" s="254"/>
      <c r="OTX4" s="254"/>
      <c r="OTY4" s="254"/>
      <c r="OTZ4" s="254"/>
      <c r="OUA4" s="254"/>
      <c r="OUB4" s="254"/>
      <c r="OUC4" s="254"/>
      <c r="OUD4" s="254"/>
      <c r="OUE4" s="254"/>
      <c r="OUF4" s="254"/>
      <c r="OUG4" s="254"/>
      <c r="OUH4" s="254"/>
      <c r="OUI4" s="254"/>
      <c r="OUJ4" s="254"/>
      <c r="OUK4" s="254"/>
      <c r="OUL4" s="254"/>
      <c r="OUM4" s="254"/>
      <c r="OUN4" s="254"/>
      <c r="OUO4" s="254"/>
      <c r="OUP4" s="254"/>
      <c r="OUQ4" s="254"/>
      <c r="OUR4" s="254"/>
      <c r="OUS4" s="254"/>
      <c r="OUT4" s="254"/>
      <c r="OUU4" s="254"/>
      <c r="OUV4" s="254"/>
      <c r="OUW4" s="254"/>
      <c r="OUX4" s="254"/>
      <c r="OUY4" s="254"/>
      <c r="OUZ4" s="254"/>
      <c r="OVA4" s="254"/>
      <c r="OVB4" s="254"/>
      <c r="OVC4" s="254"/>
      <c r="OVD4" s="254"/>
      <c r="OVE4" s="254"/>
      <c r="OVF4" s="254"/>
      <c r="OVG4" s="254"/>
      <c r="OVH4" s="254"/>
      <c r="OVI4" s="254"/>
      <c r="OVJ4" s="254"/>
      <c r="OVK4" s="254"/>
      <c r="OVL4" s="254"/>
      <c r="OVM4" s="254"/>
      <c r="OVN4" s="254"/>
      <c r="OVO4" s="254"/>
      <c r="OVP4" s="254"/>
      <c r="OVQ4" s="254"/>
      <c r="OVR4" s="254"/>
      <c r="OVS4" s="254"/>
      <c r="OVT4" s="254"/>
      <c r="OVU4" s="254"/>
      <c r="OVV4" s="254"/>
      <c r="OVW4" s="254"/>
      <c r="OVX4" s="254"/>
      <c r="OVY4" s="254"/>
      <c r="OVZ4" s="254"/>
      <c r="OWA4" s="254"/>
      <c r="OWB4" s="254"/>
      <c r="OWC4" s="254"/>
      <c r="OWD4" s="254"/>
      <c r="OWE4" s="254"/>
      <c r="OWF4" s="254"/>
      <c r="OWG4" s="254"/>
      <c r="OWH4" s="254"/>
      <c r="OWI4" s="254"/>
      <c r="OWJ4" s="254"/>
      <c r="OWK4" s="254"/>
      <c r="OWL4" s="254"/>
      <c r="OWM4" s="254"/>
      <c r="OWN4" s="254"/>
      <c r="OWO4" s="254"/>
      <c r="OWP4" s="254"/>
      <c r="OWQ4" s="254"/>
      <c r="OWR4" s="254"/>
      <c r="OWS4" s="254"/>
      <c r="OWT4" s="254"/>
      <c r="OWU4" s="254"/>
      <c r="OWV4" s="254"/>
      <c r="OWW4" s="254"/>
      <c r="OWX4" s="254"/>
      <c r="OWY4" s="254"/>
      <c r="OWZ4" s="254"/>
      <c r="OXA4" s="254"/>
      <c r="OXB4" s="254"/>
      <c r="OXC4" s="254"/>
      <c r="OXD4" s="254"/>
      <c r="OXE4" s="254"/>
      <c r="OXF4" s="254"/>
      <c r="OXG4" s="254"/>
      <c r="OXH4" s="254"/>
      <c r="OXI4" s="254"/>
      <c r="OXJ4" s="254"/>
      <c r="OXK4" s="254"/>
      <c r="OXL4" s="254"/>
      <c r="OXM4" s="254"/>
      <c r="OXN4" s="254"/>
      <c r="OXO4" s="254"/>
      <c r="OXP4" s="254"/>
      <c r="OXQ4" s="254"/>
      <c r="OXR4" s="254"/>
      <c r="OXS4" s="254"/>
      <c r="OXT4" s="254"/>
      <c r="OXU4" s="254"/>
      <c r="OXV4" s="254"/>
      <c r="OXW4" s="254"/>
      <c r="OXX4" s="254"/>
      <c r="OXY4" s="254"/>
      <c r="OXZ4" s="254"/>
      <c r="OYA4" s="254"/>
      <c r="OYB4" s="254"/>
      <c r="OYC4" s="254"/>
      <c r="OYD4" s="254"/>
      <c r="OYE4" s="254"/>
      <c r="OYF4" s="254"/>
      <c r="OYG4" s="254"/>
      <c r="OYH4" s="254"/>
      <c r="OYI4" s="254"/>
      <c r="OYJ4" s="254"/>
      <c r="OYK4" s="254"/>
      <c r="OYL4" s="254"/>
      <c r="OYM4" s="254"/>
      <c r="OYN4" s="254"/>
      <c r="OYO4" s="254"/>
      <c r="OYP4" s="254"/>
      <c r="OYQ4" s="254"/>
      <c r="OYR4" s="254"/>
      <c r="OYS4" s="254"/>
      <c r="OYT4" s="254"/>
      <c r="OYU4" s="254"/>
      <c r="OYV4" s="254"/>
      <c r="OYW4" s="254"/>
      <c r="OYX4" s="254"/>
      <c r="OYY4" s="254"/>
      <c r="OYZ4" s="254"/>
      <c r="OZA4" s="254"/>
      <c r="OZB4" s="254"/>
      <c r="OZC4" s="254"/>
      <c r="OZD4" s="254"/>
      <c r="OZE4" s="254"/>
      <c r="OZF4" s="254"/>
      <c r="OZG4" s="254"/>
      <c r="OZH4" s="254"/>
      <c r="OZI4" s="254"/>
      <c r="OZJ4" s="254"/>
      <c r="OZK4" s="254"/>
      <c r="OZL4" s="254"/>
      <c r="OZM4" s="254"/>
      <c r="OZN4" s="254"/>
      <c r="OZO4" s="254"/>
      <c r="OZP4" s="254"/>
      <c r="OZQ4" s="254"/>
      <c r="OZR4" s="254"/>
      <c r="OZS4" s="254"/>
      <c r="OZT4" s="254"/>
      <c r="OZU4" s="254"/>
      <c r="OZV4" s="254"/>
      <c r="OZW4" s="254"/>
      <c r="OZX4" s="254"/>
      <c r="OZY4" s="254"/>
      <c r="OZZ4" s="254"/>
      <c r="PAA4" s="254"/>
      <c r="PAB4" s="254"/>
      <c r="PAC4" s="254"/>
      <c r="PAD4" s="254"/>
      <c r="PAE4" s="254"/>
      <c r="PAF4" s="254"/>
      <c r="PAG4" s="254"/>
      <c r="PAH4" s="254"/>
      <c r="PAI4" s="254"/>
      <c r="PAJ4" s="254"/>
      <c r="PAK4" s="254"/>
      <c r="PAL4" s="254"/>
      <c r="PAM4" s="254"/>
      <c r="PAN4" s="254"/>
      <c r="PAO4" s="254"/>
      <c r="PAP4" s="254"/>
      <c r="PAQ4" s="254"/>
      <c r="PAR4" s="254"/>
      <c r="PAS4" s="254"/>
      <c r="PAT4" s="254"/>
      <c r="PAU4" s="254"/>
      <c r="PAV4" s="254"/>
      <c r="PAW4" s="254"/>
      <c r="PAX4" s="254"/>
      <c r="PAY4" s="254"/>
      <c r="PAZ4" s="254"/>
      <c r="PBA4" s="254"/>
      <c r="PBB4" s="254"/>
      <c r="PBC4" s="254"/>
      <c r="PBD4" s="254"/>
      <c r="PBE4" s="254"/>
      <c r="PBF4" s="254"/>
      <c r="PBG4" s="254"/>
      <c r="PBH4" s="254"/>
      <c r="PBI4" s="254"/>
      <c r="PBJ4" s="254"/>
      <c r="PBK4" s="254"/>
      <c r="PBL4" s="254"/>
      <c r="PBM4" s="254"/>
      <c r="PBN4" s="254"/>
      <c r="PBO4" s="254"/>
      <c r="PBP4" s="254"/>
      <c r="PBQ4" s="254"/>
      <c r="PBR4" s="254"/>
      <c r="PBS4" s="254"/>
      <c r="PBT4" s="254"/>
      <c r="PBU4" s="254"/>
      <c r="PBV4" s="254"/>
      <c r="PBW4" s="254"/>
      <c r="PBX4" s="254"/>
      <c r="PBY4" s="254"/>
      <c r="PBZ4" s="254"/>
      <c r="PCA4" s="254"/>
      <c r="PCB4" s="254"/>
      <c r="PCC4" s="254"/>
      <c r="PCD4" s="254"/>
      <c r="PCE4" s="254"/>
      <c r="PCF4" s="254"/>
      <c r="PCG4" s="254"/>
      <c r="PCH4" s="254"/>
      <c r="PCI4" s="254"/>
      <c r="PCJ4" s="254"/>
      <c r="PCK4" s="254"/>
      <c r="PCL4" s="254"/>
      <c r="PCM4" s="254"/>
      <c r="PCN4" s="254"/>
      <c r="PCO4" s="254"/>
      <c r="PCP4" s="254"/>
      <c r="PCQ4" s="254"/>
      <c r="PCR4" s="254"/>
      <c r="PCS4" s="254"/>
      <c r="PCT4" s="254"/>
      <c r="PCU4" s="254"/>
      <c r="PCV4" s="254"/>
      <c r="PCW4" s="254"/>
      <c r="PCX4" s="254"/>
      <c r="PCY4" s="254"/>
      <c r="PCZ4" s="254"/>
      <c r="PDA4" s="254"/>
      <c r="PDB4" s="254"/>
      <c r="PDC4" s="254"/>
      <c r="PDD4" s="254"/>
      <c r="PDE4" s="254"/>
      <c r="PDF4" s="254"/>
      <c r="PDG4" s="254"/>
      <c r="PDH4" s="254"/>
      <c r="PDI4" s="254"/>
      <c r="PDJ4" s="254"/>
      <c r="PDK4" s="254"/>
      <c r="PDL4" s="254"/>
      <c r="PDM4" s="254"/>
      <c r="PDN4" s="254"/>
      <c r="PDO4" s="254"/>
      <c r="PDP4" s="254"/>
      <c r="PDQ4" s="254"/>
      <c r="PDR4" s="254"/>
      <c r="PDS4" s="254"/>
      <c r="PDT4" s="254"/>
      <c r="PDU4" s="254"/>
      <c r="PDV4" s="254"/>
      <c r="PDW4" s="254"/>
      <c r="PDX4" s="254"/>
      <c r="PDY4" s="254"/>
      <c r="PDZ4" s="254"/>
      <c r="PEA4" s="254"/>
      <c r="PEB4" s="254"/>
      <c r="PEC4" s="254"/>
      <c r="PED4" s="254"/>
      <c r="PEE4" s="254"/>
      <c r="PEF4" s="254"/>
      <c r="PEG4" s="254"/>
      <c r="PEH4" s="254"/>
      <c r="PEI4" s="254"/>
      <c r="PEJ4" s="254"/>
      <c r="PEK4" s="254"/>
      <c r="PEL4" s="254"/>
      <c r="PEM4" s="254"/>
      <c r="PEN4" s="254"/>
      <c r="PEO4" s="254"/>
      <c r="PEP4" s="254"/>
      <c r="PEQ4" s="254"/>
      <c r="PER4" s="254"/>
      <c r="PES4" s="254"/>
      <c r="PET4" s="254"/>
      <c r="PEU4" s="254"/>
      <c r="PEV4" s="254"/>
      <c r="PEW4" s="254"/>
      <c r="PEX4" s="254"/>
      <c r="PEY4" s="254"/>
      <c r="PEZ4" s="254"/>
      <c r="PFA4" s="254"/>
      <c r="PFB4" s="254"/>
      <c r="PFC4" s="254"/>
      <c r="PFD4" s="254"/>
      <c r="PFE4" s="254"/>
      <c r="PFF4" s="254"/>
      <c r="PFG4" s="254"/>
      <c r="PFH4" s="254"/>
      <c r="PFI4" s="254"/>
      <c r="PFJ4" s="254"/>
      <c r="PFK4" s="254"/>
      <c r="PFL4" s="254"/>
      <c r="PFM4" s="254"/>
      <c r="PFN4" s="254"/>
      <c r="PFO4" s="254"/>
      <c r="PFP4" s="254"/>
      <c r="PFQ4" s="254"/>
      <c r="PFR4" s="254"/>
      <c r="PFS4" s="254"/>
      <c r="PFT4" s="254"/>
      <c r="PFU4" s="254"/>
      <c r="PFV4" s="254"/>
      <c r="PFW4" s="254"/>
      <c r="PFX4" s="254"/>
      <c r="PFY4" s="254"/>
      <c r="PFZ4" s="254"/>
      <c r="PGA4" s="254"/>
      <c r="PGB4" s="254"/>
      <c r="PGC4" s="254"/>
      <c r="PGD4" s="254"/>
      <c r="PGE4" s="254"/>
      <c r="PGF4" s="254"/>
      <c r="PGG4" s="254"/>
      <c r="PGH4" s="254"/>
      <c r="PGI4" s="254"/>
      <c r="PGJ4" s="254"/>
      <c r="PGK4" s="254"/>
      <c r="PGL4" s="254"/>
      <c r="PGM4" s="254"/>
      <c r="PGN4" s="254"/>
      <c r="PGO4" s="254"/>
      <c r="PGP4" s="254"/>
      <c r="PGQ4" s="254"/>
      <c r="PGR4" s="254"/>
      <c r="PGS4" s="254"/>
      <c r="PGT4" s="254"/>
      <c r="PGU4" s="254"/>
      <c r="PGV4" s="254"/>
      <c r="PGW4" s="254"/>
      <c r="PGX4" s="254"/>
      <c r="PGY4" s="254"/>
      <c r="PGZ4" s="254"/>
      <c r="PHA4" s="254"/>
      <c r="PHB4" s="254"/>
      <c r="PHC4" s="254"/>
      <c r="PHD4" s="254"/>
      <c r="PHE4" s="254"/>
      <c r="PHF4" s="254"/>
      <c r="PHG4" s="254"/>
      <c r="PHH4" s="254"/>
      <c r="PHI4" s="254"/>
      <c r="PHJ4" s="254"/>
      <c r="PHK4" s="254"/>
      <c r="PHL4" s="254"/>
      <c r="PHM4" s="254"/>
      <c r="PHN4" s="254"/>
      <c r="PHO4" s="254"/>
      <c r="PHP4" s="254"/>
      <c r="PHQ4" s="254"/>
      <c r="PHR4" s="254"/>
      <c r="PHS4" s="254"/>
      <c r="PHT4" s="254"/>
      <c r="PHU4" s="254"/>
      <c r="PHV4" s="254"/>
      <c r="PHW4" s="254"/>
      <c r="PHX4" s="254"/>
      <c r="PHY4" s="254"/>
      <c r="PHZ4" s="254"/>
      <c r="PIA4" s="254"/>
      <c r="PIB4" s="254"/>
      <c r="PIC4" s="254"/>
      <c r="PID4" s="254"/>
      <c r="PIE4" s="254"/>
      <c r="PIF4" s="254"/>
      <c r="PIG4" s="254"/>
      <c r="PIH4" s="254"/>
      <c r="PII4" s="254"/>
      <c r="PIJ4" s="254"/>
      <c r="PIK4" s="254"/>
      <c r="PIL4" s="254"/>
      <c r="PIM4" s="254"/>
      <c r="PIN4" s="254"/>
      <c r="PIO4" s="254"/>
      <c r="PIP4" s="254"/>
      <c r="PIQ4" s="254"/>
      <c r="PIR4" s="254"/>
      <c r="PIS4" s="254"/>
      <c r="PIT4" s="254"/>
      <c r="PIU4" s="254"/>
      <c r="PIV4" s="254"/>
      <c r="PIW4" s="254"/>
      <c r="PIX4" s="254"/>
      <c r="PIY4" s="254"/>
      <c r="PIZ4" s="254"/>
      <c r="PJA4" s="254"/>
      <c r="PJB4" s="254"/>
      <c r="PJC4" s="254"/>
      <c r="PJD4" s="254"/>
      <c r="PJE4" s="254"/>
      <c r="PJF4" s="254"/>
      <c r="PJG4" s="254"/>
      <c r="PJH4" s="254"/>
      <c r="PJI4" s="254"/>
      <c r="PJJ4" s="254"/>
      <c r="PJK4" s="254"/>
      <c r="PJL4" s="254"/>
      <c r="PJM4" s="254"/>
      <c r="PJN4" s="254"/>
      <c r="PJO4" s="254"/>
      <c r="PJP4" s="254"/>
      <c r="PJQ4" s="254"/>
      <c r="PJR4" s="254"/>
      <c r="PJS4" s="254"/>
      <c r="PJT4" s="254"/>
      <c r="PJU4" s="254"/>
      <c r="PJV4" s="254"/>
      <c r="PJW4" s="254"/>
      <c r="PJX4" s="254"/>
      <c r="PJY4" s="254"/>
      <c r="PJZ4" s="254"/>
      <c r="PKA4" s="254"/>
      <c r="PKB4" s="254"/>
      <c r="PKC4" s="254"/>
      <c r="PKD4" s="254"/>
      <c r="PKE4" s="254"/>
      <c r="PKF4" s="254"/>
      <c r="PKG4" s="254"/>
      <c r="PKH4" s="254"/>
      <c r="PKI4" s="254"/>
      <c r="PKJ4" s="254"/>
      <c r="PKK4" s="254"/>
      <c r="PKL4" s="254"/>
      <c r="PKM4" s="254"/>
      <c r="PKN4" s="254"/>
      <c r="PKO4" s="254"/>
      <c r="PKP4" s="254"/>
      <c r="PKQ4" s="254"/>
      <c r="PKR4" s="254"/>
      <c r="PKS4" s="254"/>
      <c r="PKT4" s="254"/>
      <c r="PKU4" s="254"/>
      <c r="PKV4" s="254"/>
      <c r="PKW4" s="254"/>
      <c r="PKX4" s="254"/>
      <c r="PKY4" s="254"/>
      <c r="PKZ4" s="254"/>
      <c r="PLA4" s="254"/>
      <c r="PLB4" s="254"/>
      <c r="PLC4" s="254"/>
      <c r="PLD4" s="254"/>
      <c r="PLE4" s="254"/>
      <c r="PLF4" s="254"/>
      <c r="PLG4" s="254"/>
      <c r="PLH4" s="254"/>
      <c r="PLI4" s="254"/>
      <c r="PLJ4" s="254"/>
      <c r="PLK4" s="254"/>
      <c r="PLL4" s="254"/>
      <c r="PLM4" s="254"/>
      <c r="PLN4" s="254"/>
      <c r="PLO4" s="254"/>
      <c r="PLP4" s="254"/>
      <c r="PLQ4" s="254"/>
      <c r="PLR4" s="254"/>
      <c r="PLS4" s="254"/>
      <c r="PLT4" s="254"/>
      <c r="PLU4" s="254"/>
      <c r="PLV4" s="254"/>
      <c r="PLW4" s="254"/>
      <c r="PLX4" s="254"/>
      <c r="PLY4" s="254"/>
      <c r="PLZ4" s="254"/>
      <c r="PMA4" s="254"/>
      <c r="PMB4" s="254"/>
      <c r="PMC4" s="254"/>
      <c r="PMD4" s="254"/>
      <c r="PME4" s="254"/>
      <c r="PMF4" s="254"/>
      <c r="PMG4" s="254"/>
      <c r="PMH4" s="254"/>
      <c r="PMI4" s="254"/>
      <c r="PMJ4" s="254"/>
      <c r="PMK4" s="254"/>
      <c r="PML4" s="254"/>
      <c r="PMM4" s="254"/>
      <c r="PMN4" s="254"/>
      <c r="PMO4" s="254"/>
      <c r="PMP4" s="254"/>
      <c r="PMQ4" s="254"/>
      <c r="PMR4" s="254"/>
      <c r="PMS4" s="254"/>
      <c r="PMT4" s="254"/>
      <c r="PMU4" s="254"/>
      <c r="PMV4" s="254"/>
      <c r="PMW4" s="254"/>
      <c r="PMX4" s="254"/>
      <c r="PMY4" s="254"/>
      <c r="PMZ4" s="254"/>
      <c r="PNA4" s="254"/>
      <c r="PNB4" s="254"/>
      <c r="PNC4" s="254"/>
      <c r="PND4" s="254"/>
      <c r="PNE4" s="254"/>
      <c r="PNF4" s="254"/>
      <c r="PNG4" s="254"/>
      <c r="PNH4" s="254"/>
      <c r="PNI4" s="254"/>
      <c r="PNJ4" s="254"/>
      <c r="PNK4" s="254"/>
      <c r="PNL4" s="254"/>
      <c r="PNM4" s="254"/>
      <c r="PNN4" s="254"/>
      <c r="PNO4" s="254"/>
      <c r="PNP4" s="254"/>
      <c r="PNQ4" s="254"/>
      <c r="PNR4" s="254"/>
      <c r="PNS4" s="254"/>
      <c r="PNT4" s="254"/>
      <c r="PNU4" s="254"/>
      <c r="PNV4" s="254"/>
      <c r="PNW4" s="254"/>
      <c r="PNX4" s="254"/>
      <c r="PNY4" s="254"/>
      <c r="PNZ4" s="254"/>
      <c r="POA4" s="254"/>
      <c r="POB4" s="254"/>
      <c r="POC4" s="254"/>
      <c r="POD4" s="254"/>
      <c r="POE4" s="254"/>
      <c r="POF4" s="254"/>
      <c r="POG4" s="254"/>
      <c r="POH4" s="254"/>
      <c r="POI4" s="254"/>
      <c r="POJ4" s="254"/>
      <c r="POK4" s="254"/>
      <c r="POL4" s="254"/>
      <c r="POM4" s="254"/>
      <c r="PON4" s="254"/>
      <c r="POO4" s="254"/>
      <c r="POP4" s="254"/>
      <c r="POQ4" s="254"/>
      <c r="POR4" s="254"/>
      <c r="POS4" s="254"/>
      <c r="POT4" s="254"/>
      <c r="POU4" s="254"/>
      <c r="POV4" s="254"/>
      <c r="POW4" s="254"/>
      <c r="POX4" s="254"/>
      <c r="POY4" s="254"/>
      <c r="POZ4" s="254"/>
      <c r="PPA4" s="254"/>
      <c r="PPB4" s="254"/>
      <c r="PPC4" s="254"/>
      <c r="PPD4" s="254"/>
      <c r="PPE4" s="254"/>
      <c r="PPF4" s="254"/>
      <c r="PPG4" s="254"/>
      <c r="PPH4" s="254"/>
      <c r="PPI4" s="254"/>
      <c r="PPJ4" s="254"/>
      <c r="PPK4" s="254"/>
      <c r="PPL4" s="254"/>
      <c r="PPM4" s="254"/>
      <c r="PPN4" s="254"/>
      <c r="PPO4" s="254"/>
      <c r="PPP4" s="254"/>
      <c r="PPQ4" s="254"/>
      <c r="PPR4" s="254"/>
      <c r="PPS4" s="254"/>
      <c r="PPT4" s="254"/>
      <c r="PPU4" s="254"/>
      <c r="PPV4" s="254"/>
      <c r="PPW4" s="254"/>
      <c r="PPX4" s="254"/>
      <c r="PPY4" s="254"/>
      <c r="PPZ4" s="254"/>
      <c r="PQA4" s="254"/>
      <c r="PQB4" s="254"/>
      <c r="PQC4" s="254"/>
      <c r="PQD4" s="254"/>
      <c r="PQE4" s="254"/>
      <c r="PQF4" s="254"/>
      <c r="PQG4" s="254"/>
      <c r="PQH4" s="254"/>
      <c r="PQI4" s="254"/>
      <c r="PQJ4" s="254"/>
      <c r="PQK4" s="254"/>
      <c r="PQL4" s="254"/>
      <c r="PQM4" s="254"/>
      <c r="PQN4" s="254"/>
      <c r="PQO4" s="254"/>
      <c r="PQP4" s="254"/>
      <c r="PQQ4" s="254"/>
      <c r="PQR4" s="254"/>
      <c r="PQS4" s="254"/>
      <c r="PQT4" s="254"/>
      <c r="PQU4" s="254"/>
      <c r="PQV4" s="254"/>
      <c r="PQW4" s="254"/>
      <c r="PQX4" s="254"/>
      <c r="PQY4" s="254"/>
      <c r="PQZ4" s="254"/>
      <c r="PRA4" s="254"/>
      <c r="PRB4" s="254"/>
      <c r="PRC4" s="254"/>
      <c r="PRD4" s="254"/>
      <c r="PRE4" s="254"/>
      <c r="PRF4" s="254"/>
      <c r="PRG4" s="254"/>
      <c r="PRH4" s="254"/>
      <c r="PRI4" s="254"/>
      <c r="PRJ4" s="254"/>
      <c r="PRK4" s="254"/>
      <c r="PRL4" s="254"/>
      <c r="PRM4" s="254"/>
      <c r="PRN4" s="254"/>
      <c r="PRO4" s="254"/>
      <c r="PRP4" s="254"/>
      <c r="PRQ4" s="254"/>
      <c r="PRR4" s="254"/>
      <c r="PRS4" s="254"/>
      <c r="PRT4" s="254"/>
      <c r="PRU4" s="254"/>
      <c r="PRV4" s="254"/>
      <c r="PRW4" s="254"/>
      <c r="PRX4" s="254"/>
      <c r="PRY4" s="254"/>
      <c r="PRZ4" s="254"/>
      <c r="PSA4" s="254"/>
      <c r="PSB4" s="254"/>
      <c r="PSC4" s="254"/>
      <c r="PSD4" s="254"/>
      <c r="PSE4" s="254"/>
      <c r="PSF4" s="254"/>
      <c r="PSG4" s="254"/>
      <c r="PSH4" s="254"/>
      <c r="PSI4" s="254"/>
      <c r="PSJ4" s="254"/>
      <c r="PSK4" s="254"/>
      <c r="PSL4" s="254"/>
      <c r="PSM4" s="254"/>
      <c r="PSN4" s="254"/>
      <c r="PSO4" s="254"/>
      <c r="PSP4" s="254"/>
      <c r="PSQ4" s="254"/>
      <c r="PSR4" s="254"/>
      <c r="PSS4" s="254"/>
      <c r="PST4" s="254"/>
      <c r="PSU4" s="254"/>
      <c r="PSV4" s="254"/>
      <c r="PSW4" s="254"/>
      <c r="PSX4" s="254"/>
      <c r="PSY4" s="254"/>
      <c r="PSZ4" s="254"/>
      <c r="PTA4" s="254"/>
      <c r="PTB4" s="254"/>
      <c r="PTC4" s="254"/>
      <c r="PTD4" s="254"/>
      <c r="PTE4" s="254"/>
      <c r="PTF4" s="254"/>
      <c r="PTG4" s="254"/>
      <c r="PTH4" s="254"/>
      <c r="PTI4" s="254"/>
      <c r="PTJ4" s="254"/>
      <c r="PTK4" s="254"/>
      <c r="PTL4" s="254"/>
      <c r="PTM4" s="254"/>
      <c r="PTN4" s="254"/>
      <c r="PTO4" s="254"/>
      <c r="PTP4" s="254"/>
      <c r="PTQ4" s="254"/>
      <c r="PTR4" s="254"/>
      <c r="PTS4" s="254"/>
      <c r="PTT4" s="254"/>
      <c r="PTU4" s="254"/>
      <c r="PTV4" s="254"/>
      <c r="PTW4" s="254"/>
      <c r="PTX4" s="254"/>
      <c r="PTY4" s="254"/>
      <c r="PTZ4" s="254"/>
      <c r="PUA4" s="254"/>
      <c r="PUB4" s="254"/>
      <c r="PUC4" s="254"/>
      <c r="PUD4" s="254"/>
      <c r="PUE4" s="254"/>
      <c r="PUF4" s="254"/>
      <c r="PUG4" s="254"/>
      <c r="PUH4" s="254"/>
      <c r="PUI4" s="254"/>
      <c r="PUJ4" s="254"/>
      <c r="PUK4" s="254"/>
      <c r="PUL4" s="254"/>
      <c r="PUM4" s="254"/>
      <c r="PUN4" s="254"/>
      <c r="PUO4" s="254"/>
      <c r="PUP4" s="254"/>
      <c r="PUQ4" s="254"/>
      <c r="PUR4" s="254"/>
      <c r="PUS4" s="254"/>
      <c r="PUT4" s="254"/>
      <c r="PUU4" s="254"/>
      <c r="PUV4" s="254"/>
      <c r="PUW4" s="254"/>
      <c r="PUX4" s="254"/>
      <c r="PUY4" s="254"/>
      <c r="PUZ4" s="254"/>
      <c r="PVA4" s="254"/>
      <c r="PVB4" s="254"/>
      <c r="PVC4" s="254"/>
      <c r="PVD4" s="254"/>
      <c r="PVE4" s="254"/>
      <c r="PVF4" s="254"/>
      <c r="PVG4" s="254"/>
      <c r="PVH4" s="254"/>
      <c r="PVI4" s="254"/>
      <c r="PVJ4" s="254"/>
      <c r="PVK4" s="254"/>
      <c r="PVL4" s="254"/>
      <c r="PVM4" s="254"/>
      <c r="PVN4" s="254"/>
      <c r="PVO4" s="254"/>
      <c r="PVP4" s="254"/>
      <c r="PVQ4" s="254"/>
      <c r="PVR4" s="254"/>
      <c r="PVS4" s="254"/>
      <c r="PVT4" s="254"/>
      <c r="PVU4" s="254"/>
      <c r="PVV4" s="254"/>
      <c r="PVW4" s="254"/>
      <c r="PVX4" s="254"/>
      <c r="PVY4" s="254"/>
      <c r="PVZ4" s="254"/>
      <c r="PWA4" s="254"/>
      <c r="PWB4" s="254"/>
      <c r="PWC4" s="254"/>
      <c r="PWD4" s="254"/>
      <c r="PWE4" s="254"/>
      <c r="PWF4" s="254"/>
      <c r="PWG4" s="254"/>
      <c r="PWH4" s="254"/>
      <c r="PWI4" s="254"/>
      <c r="PWJ4" s="254"/>
      <c r="PWK4" s="254"/>
      <c r="PWL4" s="254"/>
      <c r="PWM4" s="254"/>
      <c r="PWN4" s="254"/>
      <c r="PWO4" s="254"/>
      <c r="PWP4" s="254"/>
      <c r="PWQ4" s="254"/>
      <c r="PWR4" s="254"/>
      <c r="PWS4" s="254"/>
      <c r="PWT4" s="254"/>
      <c r="PWU4" s="254"/>
      <c r="PWV4" s="254"/>
      <c r="PWW4" s="254"/>
      <c r="PWX4" s="254"/>
      <c r="PWY4" s="254"/>
      <c r="PWZ4" s="254"/>
      <c r="PXA4" s="254"/>
      <c r="PXB4" s="254"/>
      <c r="PXC4" s="254"/>
      <c r="PXD4" s="254"/>
      <c r="PXE4" s="254"/>
      <c r="PXF4" s="254"/>
      <c r="PXG4" s="254"/>
      <c r="PXH4" s="254"/>
      <c r="PXI4" s="254"/>
      <c r="PXJ4" s="254"/>
      <c r="PXK4" s="254"/>
      <c r="PXL4" s="254"/>
      <c r="PXM4" s="254"/>
      <c r="PXN4" s="254"/>
      <c r="PXO4" s="254"/>
      <c r="PXP4" s="254"/>
      <c r="PXQ4" s="254"/>
      <c r="PXR4" s="254"/>
      <c r="PXS4" s="254"/>
      <c r="PXT4" s="254"/>
      <c r="PXU4" s="254"/>
      <c r="PXV4" s="254"/>
      <c r="PXW4" s="254"/>
      <c r="PXX4" s="254"/>
      <c r="PXY4" s="254"/>
      <c r="PXZ4" s="254"/>
      <c r="PYA4" s="254"/>
      <c r="PYB4" s="254"/>
      <c r="PYC4" s="254"/>
      <c r="PYD4" s="254"/>
      <c r="PYE4" s="254"/>
      <c r="PYF4" s="254"/>
      <c r="PYG4" s="254"/>
      <c r="PYH4" s="254"/>
      <c r="PYI4" s="254"/>
      <c r="PYJ4" s="254"/>
      <c r="PYK4" s="254"/>
      <c r="PYL4" s="254"/>
      <c r="PYM4" s="254"/>
      <c r="PYN4" s="254"/>
      <c r="PYO4" s="254"/>
      <c r="PYP4" s="254"/>
      <c r="PYQ4" s="254"/>
      <c r="PYR4" s="254"/>
      <c r="PYS4" s="254"/>
      <c r="PYT4" s="254"/>
      <c r="PYU4" s="254"/>
      <c r="PYV4" s="254"/>
      <c r="PYW4" s="254"/>
      <c r="PYX4" s="254"/>
      <c r="PYY4" s="254"/>
      <c r="PYZ4" s="254"/>
      <c r="PZA4" s="254"/>
      <c r="PZB4" s="254"/>
      <c r="PZC4" s="254"/>
      <c r="PZD4" s="254"/>
      <c r="PZE4" s="254"/>
      <c r="PZF4" s="254"/>
      <c r="PZG4" s="254"/>
      <c r="PZH4" s="254"/>
      <c r="PZI4" s="254"/>
      <c r="PZJ4" s="254"/>
      <c r="PZK4" s="254"/>
      <c r="PZL4" s="254"/>
      <c r="PZM4" s="254"/>
      <c r="PZN4" s="254"/>
      <c r="PZO4" s="254"/>
      <c r="PZP4" s="254"/>
      <c r="PZQ4" s="254"/>
      <c r="PZR4" s="254"/>
      <c r="PZS4" s="254"/>
      <c r="PZT4" s="254"/>
      <c r="PZU4" s="254"/>
      <c r="PZV4" s="254"/>
      <c r="PZW4" s="254"/>
      <c r="PZX4" s="254"/>
      <c r="PZY4" s="254"/>
      <c r="PZZ4" s="254"/>
      <c r="QAA4" s="254"/>
      <c r="QAB4" s="254"/>
      <c r="QAC4" s="254"/>
      <c r="QAD4" s="254"/>
      <c r="QAE4" s="254"/>
      <c r="QAF4" s="254"/>
      <c r="QAG4" s="254"/>
      <c r="QAH4" s="254"/>
      <c r="QAI4" s="254"/>
      <c r="QAJ4" s="254"/>
      <c r="QAK4" s="254"/>
      <c r="QAL4" s="254"/>
      <c r="QAM4" s="254"/>
      <c r="QAN4" s="254"/>
      <c r="QAO4" s="254"/>
      <c r="QAP4" s="254"/>
      <c r="QAQ4" s="254"/>
      <c r="QAR4" s="254"/>
      <c r="QAS4" s="254"/>
      <c r="QAT4" s="254"/>
      <c r="QAU4" s="254"/>
      <c r="QAV4" s="254"/>
      <c r="QAW4" s="254"/>
      <c r="QAX4" s="254"/>
      <c r="QAY4" s="254"/>
      <c r="QAZ4" s="254"/>
      <c r="QBA4" s="254"/>
      <c r="QBB4" s="254"/>
      <c r="QBC4" s="254"/>
      <c r="QBD4" s="254"/>
      <c r="QBE4" s="254"/>
      <c r="QBF4" s="254"/>
      <c r="QBG4" s="254"/>
      <c r="QBH4" s="254"/>
      <c r="QBI4" s="254"/>
      <c r="QBJ4" s="254"/>
      <c r="QBK4" s="254"/>
      <c r="QBL4" s="254"/>
      <c r="QBM4" s="254"/>
      <c r="QBN4" s="254"/>
      <c r="QBO4" s="254"/>
      <c r="QBP4" s="254"/>
      <c r="QBQ4" s="254"/>
      <c r="QBR4" s="254"/>
      <c r="QBS4" s="254"/>
      <c r="QBT4" s="254"/>
      <c r="QBU4" s="254"/>
      <c r="QBV4" s="254"/>
      <c r="QBW4" s="254"/>
      <c r="QBX4" s="254"/>
      <c r="QBY4" s="254"/>
      <c r="QBZ4" s="254"/>
      <c r="QCA4" s="254"/>
      <c r="QCB4" s="254"/>
      <c r="QCC4" s="254"/>
      <c r="QCD4" s="254"/>
      <c r="QCE4" s="254"/>
      <c r="QCF4" s="254"/>
      <c r="QCG4" s="254"/>
      <c r="QCH4" s="254"/>
      <c r="QCI4" s="254"/>
      <c r="QCJ4" s="254"/>
      <c r="QCK4" s="254"/>
      <c r="QCL4" s="254"/>
      <c r="QCM4" s="254"/>
      <c r="QCN4" s="254"/>
      <c r="QCO4" s="254"/>
      <c r="QCP4" s="254"/>
      <c r="QCQ4" s="254"/>
      <c r="QCR4" s="254"/>
      <c r="QCS4" s="254"/>
      <c r="QCT4" s="254"/>
      <c r="QCU4" s="254"/>
      <c r="QCV4" s="254"/>
      <c r="QCW4" s="254"/>
      <c r="QCX4" s="254"/>
      <c r="QCY4" s="254"/>
      <c r="QCZ4" s="254"/>
      <c r="QDA4" s="254"/>
      <c r="QDB4" s="254"/>
      <c r="QDC4" s="254"/>
      <c r="QDD4" s="254"/>
      <c r="QDE4" s="254"/>
      <c r="QDF4" s="254"/>
      <c r="QDG4" s="254"/>
      <c r="QDH4" s="254"/>
      <c r="QDI4" s="254"/>
      <c r="QDJ4" s="254"/>
      <c r="QDK4" s="254"/>
      <c r="QDL4" s="254"/>
      <c r="QDM4" s="254"/>
      <c r="QDN4" s="254"/>
      <c r="QDO4" s="254"/>
      <c r="QDP4" s="254"/>
      <c r="QDQ4" s="254"/>
      <c r="QDR4" s="254"/>
      <c r="QDS4" s="254"/>
      <c r="QDT4" s="254"/>
      <c r="QDU4" s="254"/>
      <c r="QDV4" s="254"/>
      <c r="QDW4" s="254"/>
      <c r="QDX4" s="254"/>
      <c r="QDY4" s="254"/>
      <c r="QDZ4" s="254"/>
      <c r="QEA4" s="254"/>
      <c r="QEB4" s="254"/>
      <c r="QEC4" s="254"/>
      <c r="QED4" s="254"/>
      <c r="QEE4" s="254"/>
      <c r="QEF4" s="254"/>
      <c r="QEG4" s="254"/>
      <c r="QEH4" s="254"/>
      <c r="QEI4" s="254"/>
      <c r="QEJ4" s="254"/>
      <c r="QEK4" s="254"/>
      <c r="QEL4" s="254"/>
      <c r="QEM4" s="254"/>
      <c r="QEN4" s="254"/>
      <c r="QEO4" s="254"/>
      <c r="QEP4" s="254"/>
      <c r="QEQ4" s="254"/>
      <c r="QER4" s="254"/>
      <c r="QES4" s="254"/>
      <c r="QET4" s="254"/>
      <c r="QEU4" s="254"/>
      <c r="QEV4" s="254"/>
      <c r="QEW4" s="254"/>
      <c r="QEX4" s="254"/>
      <c r="QEY4" s="254"/>
      <c r="QEZ4" s="254"/>
      <c r="QFA4" s="254"/>
      <c r="QFB4" s="254"/>
      <c r="QFC4" s="254"/>
      <c r="QFD4" s="254"/>
      <c r="QFE4" s="254"/>
      <c r="QFF4" s="254"/>
      <c r="QFG4" s="254"/>
      <c r="QFH4" s="254"/>
      <c r="QFI4" s="254"/>
      <c r="QFJ4" s="254"/>
      <c r="QFK4" s="254"/>
      <c r="QFL4" s="254"/>
      <c r="QFM4" s="254"/>
      <c r="QFN4" s="254"/>
      <c r="QFO4" s="254"/>
      <c r="QFP4" s="254"/>
      <c r="QFQ4" s="254"/>
      <c r="QFR4" s="254"/>
      <c r="QFS4" s="254"/>
      <c r="QFT4" s="254"/>
      <c r="QFU4" s="254"/>
      <c r="QFV4" s="254"/>
      <c r="QFW4" s="254"/>
      <c r="QFX4" s="254"/>
      <c r="QFY4" s="254"/>
      <c r="QFZ4" s="254"/>
      <c r="QGA4" s="254"/>
      <c r="QGB4" s="254"/>
      <c r="QGC4" s="254"/>
      <c r="QGD4" s="254"/>
      <c r="QGE4" s="254"/>
      <c r="QGF4" s="254"/>
      <c r="QGG4" s="254"/>
      <c r="QGH4" s="254"/>
      <c r="QGI4" s="254"/>
      <c r="QGJ4" s="254"/>
      <c r="QGK4" s="254"/>
      <c r="QGL4" s="254"/>
      <c r="QGM4" s="254"/>
      <c r="QGN4" s="254"/>
      <c r="QGO4" s="254"/>
      <c r="QGP4" s="254"/>
      <c r="QGQ4" s="254"/>
      <c r="QGR4" s="254"/>
      <c r="QGS4" s="254"/>
      <c r="QGT4" s="254"/>
      <c r="QGU4" s="254"/>
      <c r="QGV4" s="254"/>
      <c r="QGW4" s="254"/>
      <c r="QGX4" s="254"/>
      <c r="QGY4" s="254"/>
      <c r="QGZ4" s="254"/>
      <c r="QHA4" s="254"/>
      <c r="QHB4" s="254"/>
      <c r="QHC4" s="254"/>
      <c r="QHD4" s="254"/>
      <c r="QHE4" s="254"/>
      <c r="QHF4" s="254"/>
      <c r="QHG4" s="254"/>
      <c r="QHH4" s="254"/>
      <c r="QHI4" s="254"/>
      <c r="QHJ4" s="254"/>
      <c r="QHK4" s="254"/>
      <c r="QHL4" s="254"/>
      <c r="QHM4" s="254"/>
      <c r="QHN4" s="254"/>
      <c r="QHO4" s="254"/>
      <c r="QHP4" s="254"/>
      <c r="QHQ4" s="254"/>
      <c r="QHR4" s="254"/>
      <c r="QHS4" s="254"/>
      <c r="QHT4" s="254"/>
      <c r="QHU4" s="254"/>
      <c r="QHV4" s="254"/>
      <c r="QHW4" s="254"/>
      <c r="QHX4" s="254"/>
      <c r="QHY4" s="254"/>
      <c r="QHZ4" s="254"/>
      <c r="QIA4" s="254"/>
      <c r="QIB4" s="254"/>
      <c r="QIC4" s="254"/>
      <c r="QID4" s="254"/>
      <c r="QIE4" s="254"/>
      <c r="QIF4" s="254"/>
      <c r="QIG4" s="254"/>
      <c r="QIH4" s="254"/>
      <c r="QII4" s="254"/>
      <c r="QIJ4" s="254"/>
      <c r="QIK4" s="254"/>
      <c r="QIL4" s="254"/>
      <c r="QIM4" s="254"/>
      <c r="QIN4" s="254"/>
      <c r="QIO4" s="254"/>
      <c r="QIP4" s="254"/>
      <c r="QIQ4" s="254"/>
      <c r="QIR4" s="254"/>
      <c r="QIS4" s="254"/>
      <c r="QIT4" s="254"/>
      <c r="QIU4" s="254"/>
      <c r="QIV4" s="254"/>
      <c r="QIW4" s="254"/>
      <c r="QIX4" s="254"/>
      <c r="QIY4" s="254"/>
      <c r="QIZ4" s="254"/>
      <c r="QJA4" s="254"/>
      <c r="QJB4" s="254"/>
      <c r="QJC4" s="254"/>
      <c r="QJD4" s="254"/>
      <c r="QJE4" s="254"/>
      <c r="QJF4" s="254"/>
      <c r="QJG4" s="254"/>
      <c r="QJH4" s="254"/>
      <c r="QJI4" s="254"/>
      <c r="QJJ4" s="254"/>
      <c r="QJK4" s="254"/>
      <c r="QJL4" s="254"/>
      <c r="QJM4" s="254"/>
      <c r="QJN4" s="254"/>
      <c r="QJO4" s="254"/>
      <c r="QJP4" s="254"/>
      <c r="QJQ4" s="254"/>
      <c r="QJR4" s="254"/>
      <c r="QJS4" s="254"/>
      <c r="QJT4" s="254"/>
      <c r="QJU4" s="254"/>
      <c r="QJV4" s="254"/>
      <c r="QJW4" s="254"/>
      <c r="QJX4" s="254"/>
      <c r="QJY4" s="254"/>
      <c r="QJZ4" s="254"/>
      <c r="QKA4" s="254"/>
      <c r="QKB4" s="254"/>
      <c r="QKC4" s="254"/>
      <c r="QKD4" s="254"/>
      <c r="QKE4" s="254"/>
      <c r="QKF4" s="254"/>
      <c r="QKG4" s="254"/>
      <c r="QKH4" s="254"/>
      <c r="QKI4" s="254"/>
      <c r="QKJ4" s="254"/>
      <c r="QKK4" s="254"/>
      <c r="QKL4" s="254"/>
      <c r="QKM4" s="254"/>
      <c r="QKN4" s="254"/>
      <c r="QKO4" s="254"/>
      <c r="QKP4" s="254"/>
      <c r="QKQ4" s="254"/>
      <c r="QKR4" s="254"/>
      <c r="QKS4" s="254"/>
      <c r="QKT4" s="254"/>
      <c r="QKU4" s="254"/>
      <c r="QKV4" s="254"/>
      <c r="QKW4" s="254"/>
      <c r="QKX4" s="254"/>
      <c r="QKY4" s="254"/>
      <c r="QKZ4" s="254"/>
      <c r="QLA4" s="254"/>
      <c r="QLB4" s="254"/>
      <c r="QLC4" s="254"/>
      <c r="QLD4" s="254"/>
      <c r="QLE4" s="254"/>
      <c r="QLF4" s="254"/>
      <c r="QLG4" s="254"/>
      <c r="QLH4" s="254"/>
      <c r="QLI4" s="254"/>
      <c r="QLJ4" s="254"/>
      <c r="QLK4" s="254"/>
      <c r="QLL4" s="254"/>
      <c r="QLM4" s="254"/>
      <c r="QLN4" s="254"/>
      <c r="QLO4" s="254"/>
      <c r="QLP4" s="254"/>
      <c r="QLQ4" s="254"/>
      <c r="QLR4" s="254"/>
      <c r="QLS4" s="254"/>
      <c r="QLT4" s="254"/>
      <c r="QLU4" s="254"/>
      <c r="QLV4" s="254"/>
      <c r="QLW4" s="254"/>
      <c r="QLX4" s="254"/>
      <c r="QLY4" s="254"/>
      <c r="QLZ4" s="254"/>
      <c r="QMA4" s="254"/>
      <c r="QMB4" s="254"/>
      <c r="QMC4" s="254"/>
      <c r="QMD4" s="254"/>
      <c r="QME4" s="254"/>
      <c r="QMF4" s="254"/>
      <c r="QMG4" s="254"/>
      <c r="QMH4" s="254"/>
      <c r="QMI4" s="254"/>
      <c r="QMJ4" s="254"/>
      <c r="QMK4" s="254"/>
      <c r="QML4" s="254"/>
      <c r="QMM4" s="254"/>
      <c r="QMN4" s="254"/>
      <c r="QMO4" s="254"/>
      <c r="QMP4" s="254"/>
      <c r="QMQ4" s="254"/>
      <c r="QMR4" s="254"/>
      <c r="QMS4" s="254"/>
      <c r="QMT4" s="254"/>
      <c r="QMU4" s="254"/>
      <c r="QMV4" s="254"/>
      <c r="QMW4" s="254"/>
      <c r="QMX4" s="254"/>
      <c r="QMY4" s="254"/>
      <c r="QMZ4" s="254"/>
      <c r="QNA4" s="254"/>
      <c r="QNB4" s="254"/>
      <c r="QNC4" s="254"/>
      <c r="QND4" s="254"/>
      <c r="QNE4" s="254"/>
      <c r="QNF4" s="254"/>
      <c r="QNG4" s="254"/>
      <c r="QNH4" s="254"/>
      <c r="QNI4" s="254"/>
      <c r="QNJ4" s="254"/>
      <c r="QNK4" s="254"/>
      <c r="QNL4" s="254"/>
      <c r="QNM4" s="254"/>
      <c r="QNN4" s="254"/>
      <c r="QNO4" s="254"/>
      <c r="QNP4" s="254"/>
      <c r="QNQ4" s="254"/>
      <c r="QNR4" s="254"/>
      <c r="QNS4" s="254"/>
      <c r="QNT4" s="254"/>
      <c r="QNU4" s="254"/>
      <c r="QNV4" s="254"/>
      <c r="QNW4" s="254"/>
      <c r="QNX4" s="254"/>
      <c r="QNY4" s="254"/>
      <c r="QNZ4" s="254"/>
      <c r="QOA4" s="254"/>
      <c r="QOB4" s="254"/>
      <c r="QOC4" s="254"/>
      <c r="QOD4" s="254"/>
      <c r="QOE4" s="254"/>
      <c r="QOF4" s="254"/>
      <c r="QOG4" s="254"/>
      <c r="QOH4" s="254"/>
      <c r="QOI4" s="254"/>
      <c r="QOJ4" s="254"/>
      <c r="QOK4" s="254"/>
      <c r="QOL4" s="254"/>
      <c r="QOM4" s="254"/>
      <c r="QON4" s="254"/>
      <c r="QOO4" s="254"/>
      <c r="QOP4" s="254"/>
      <c r="QOQ4" s="254"/>
      <c r="QOR4" s="254"/>
      <c r="QOS4" s="254"/>
      <c r="QOT4" s="254"/>
      <c r="QOU4" s="254"/>
      <c r="QOV4" s="254"/>
      <c r="QOW4" s="254"/>
      <c r="QOX4" s="254"/>
      <c r="QOY4" s="254"/>
      <c r="QOZ4" s="254"/>
      <c r="QPA4" s="254"/>
      <c r="QPB4" s="254"/>
      <c r="QPC4" s="254"/>
      <c r="QPD4" s="254"/>
      <c r="QPE4" s="254"/>
      <c r="QPF4" s="254"/>
      <c r="QPG4" s="254"/>
      <c r="QPH4" s="254"/>
      <c r="QPI4" s="254"/>
      <c r="QPJ4" s="254"/>
      <c r="QPK4" s="254"/>
      <c r="QPL4" s="254"/>
      <c r="QPM4" s="254"/>
      <c r="QPN4" s="254"/>
      <c r="QPO4" s="254"/>
      <c r="QPP4" s="254"/>
      <c r="QPQ4" s="254"/>
      <c r="QPR4" s="254"/>
      <c r="QPS4" s="254"/>
      <c r="QPT4" s="254"/>
      <c r="QPU4" s="254"/>
      <c r="QPV4" s="254"/>
      <c r="QPW4" s="254"/>
      <c r="QPX4" s="254"/>
      <c r="QPY4" s="254"/>
      <c r="QPZ4" s="254"/>
      <c r="QQA4" s="254"/>
      <c r="QQB4" s="254"/>
      <c r="QQC4" s="254"/>
      <c r="QQD4" s="254"/>
      <c r="QQE4" s="254"/>
      <c r="QQF4" s="254"/>
      <c r="QQG4" s="254"/>
      <c r="QQH4" s="254"/>
      <c r="QQI4" s="254"/>
      <c r="QQJ4" s="254"/>
      <c r="QQK4" s="254"/>
      <c r="QQL4" s="254"/>
      <c r="QQM4" s="254"/>
      <c r="QQN4" s="254"/>
      <c r="QQO4" s="254"/>
      <c r="QQP4" s="254"/>
      <c r="QQQ4" s="254"/>
      <c r="QQR4" s="254"/>
      <c r="QQS4" s="254"/>
      <c r="QQT4" s="254"/>
      <c r="QQU4" s="254"/>
      <c r="QQV4" s="254"/>
      <c r="QQW4" s="254"/>
      <c r="QQX4" s="254"/>
      <c r="QQY4" s="254"/>
      <c r="QQZ4" s="254"/>
      <c r="QRA4" s="254"/>
      <c r="QRB4" s="254"/>
      <c r="QRC4" s="254"/>
      <c r="QRD4" s="254"/>
      <c r="QRE4" s="254"/>
      <c r="QRF4" s="254"/>
      <c r="QRG4" s="254"/>
      <c r="QRH4" s="254"/>
      <c r="QRI4" s="254"/>
      <c r="QRJ4" s="254"/>
      <c r="QRK4" s="254"/>
      <c r="QRL4" s="254"/>
      <c r="QRM4" s="254"/>
      <c r="QRN4" s="254"/>
      <c r="QRO4" s="254"/>
      <c r="QRP4" s="254"/>
      <c r="QRQ4" s="254"/>
      <c r="QRR4" s="254"/>
      <c r="QRS4" s="254"/>
      <c r="QRT4" s="254"/>
      <c r="QRU4" s="254"/>
      <c r="QRV4" s="254"/>
      <c r="QRW4" s="254"/>
      <c r="QRX4" s="254"/>
      <c r="QRY4" s="254"/>
      <c r="QRZ4" s="254"/>
      <c r="QSA4" s="254"/>
      <c r="QSB4" s="254"/>
      <c r="QSC4" s="254"/>
      <c r="QSD4" s="254"/>
      <c r="QSE4" s="254"/>
      <c r="QSF4" s="254"/>
      <c r="QSG4" s="254"/>
      <c r="QSH4" s="254"/>
      <c r="QSI4" s="254"/>
      <c r="QSJ4" s="254"/>
      <c r="QSK4" s="254"/>
      <c r="QSL4" s="254"/>
      <c r="QSM4" s="254"/>
      <c r="QSN4" s="254"/>
      <c r="QSO4" s="254"/>
      <c r="QSP4" s="254"/>
      <c r="QSQ4" s="254"/>
      <c r="QSR4" s="254"/>
      <c r="QSS4" s="254"/>
      <c r="QST4" s="254"/>
      <c r="QSU4" s="254"/>
      <c r="QSV4" s="254"/>
      <c r="QSW4" s="254"/>
      <c r="QSX4" s="254"/>
      <c r="QSY4" s="254"/>
      <c r="QSZ4" s="254"/>
      <c r="QTA4" s="254"/>
      <c r="QTB4" s="254"/>
      <c r="QTC4" s="254"/>
      <c r="QTD4" s="254"/>
      <c r="QTE4" s="254"/>
      <c r="QTF4" s="254"/>
      <c r="QTG4" s="254"/>
      <c r="QTH4" s="254"/>
      <c r="QTI4" s="254"/>
      <c r="QTJ4" s="254"/>
      <c r="QTK4" s="254"/>
      <c r="QTL4" s="254"/>
      <c r="QTM4" s="254"/>
      <c r="QTN4" s="254"/>
      <c r="QTO4" s="254"/>
      <c r="QTP4" s="254"/>
      <c r="QTQ4" s="254"/>
      <c r="QTR4" s="254"/>
      <c r="QTS4" s="254"/>
      <c r="QTT4" s="254"/>
      <c r="QTU4" s="254"/>
      <c r="QTV4" s="254"/>
      <c r="QTW4" s="254"/>
      <c r="QTX4" s="254"/>
      <c r="QTY4" s="254"/>
      <c r="QTZ4" s="254"/>
      <c r="QUA4" s="254"/>
      <c r="QUB4" s="254"/>
      <c r="QUC4" s="254"/>
      <c r="QUD4" s="254"/>
      <c r="QUE4" s="254"/>
      <c r="QUF4" s="254"/>
      <c r="QUG4" s="254"/>
      <c r="QUH4" s="254"/>
      <c r="QUI4" s="254"/>
      <c r="QUJ4" s="254"/>
      <c r="QUK4" s="254"/>
      <c r="QUL4" s="254"/>
      <c r="QUM4" s="254"/>
      <c r="QUN4" s="254"/>
      <c r="QUO4" s="254"/>
      <c r="QUP4" s="254"/>
      <c r="QUQ4" s="254"/>
      <c r="QUR4" s="254"/>
      <c r="QUS4" s="254"/>
      <c r="QUT4" s="254"/>
      <c r="QUU4" s="254"/>
      <c r="QUV4" s="254"/>
      <c r="QUW4" s="254"/>
      <c r="QUX4" s="254"/>
      <c r="QUY4" s="254"/>
      <c r="QUZ4" s="254"/>
      <c r="QVA4" s="254"/>
      <c r="QVB4" s="254"/>
      <c r="QVC4" s="254"/>
      <c r="QVD4" s="254"/>
      <c r="QVE4" s="254"/>
      <c r="QVF4" s="254"/>
      <c r="QVG4" s="254"/>
      <c r="QVH4" s="254"/>
      <c r="QVI4" s="254"/>
      <c r="QVJ4" s="254"/>
      <c r="QVK4" s="254"/>
      <c r="QVL4" s="254"/>
      <c r="QVM4" s="254"/>
      <c r="QVN4" s="254"/>
      <c r="QVO4" s="254"/>
      <c r="QVP4" s="254"/>
      <c r="QVQ4" s="254"/>
      <c r="QVR4" s="254"/>
      <c r="QVS4" s="254"/>
      <c r="QVT4" s="254"/>
      <c r="QVU4" s="254"/>
      <c r="QVV4" s="254"/>
      <c r="QVW4" s="254"/>
      <c r="QVX4" s="254"/>
      <c r="QVY4" s="254"/>
      <c r="QVZ4" s="254"/>
      <c r="QWA4" s="254"/>
      <c r="QWB4" s="254"/>
      <c r="QWC4" s="254"/>
      <c r="QWD4" s="254"/>
      <c r="QWE4" s="254"/>
      <c r="QWF4" s="254"/>
      <c r="QWG4" s="254"/>
      <c r="QWH4" s="254"/>
      <c r="QWI4" s="254"/>
      <c r="QWJ4" s="254"/>
      <c r="QWK4" s="254"/>
      <c r="QWL4" s="254"/>
      <c r="QWM4" s="254"/>
      <c r="QWN4" s="254"/>
      <c r="QWO4" s="254"/>
      <c r="QWP4" s="254"/>
      <c r="QWQ4" s="254"/>
      <c r="QWR4" s="254"/>
      <c r="QWS4" s="254"/>
      <c r="QWT4" s="254"/>
      <c r="QWU4" s="254"/>
      <c r="QWV4" s="254"/>
      <c r="QWW4" s="254"/>
      <c r="QWX4" s="254"/>
      <c r="QWY4" s="254"/>
      <c r="QWZ4" s="254"/>
      <c r="QXA4" s="254"/>
      <c r="QXB4" s="254"/>
      <c r="QXC4" s="254"/>
      <c r="QXD4" s="254"/>
      <c r="QXE4" s="254"/>
      <c r="QXF4" s="254"/>
      <c r="QXG4" s="254"/>
      <c r="QXH4" s="254"/>
      <c r="QXI4" s="254"/>
      <c r="QXJ4" s="254"/>
      <c r="QXK4" s="254"/>
      <c r="QXL4" s="254"/>
      <c r="QXM4" s="254"/>
      <c r="QXN4" s="254"/>
      <c r="QXO4" s="254"/>
      <c r="QXP4" s="254"/>
      <c r="QXQ4" s="254"/>
      <c r="QXR4" s="254"/>
      <c r="QXS4" s="254"/>
      <c r="QXT4" s="254"/>
      <c r="QXU4" s="254"/>
      <c r="QXV4" s="254"/>
      <c r="QXW4" s="254"/>
      <c r="QXX4" s="254"/>
      <c r="QXY4" s="254"/>
      <c r="QXZ4" s="254"/>
      <c r="QYA4" s="254"/>
      <c r="QYB4" s="254"/>
      <c r="QYC4" s="254"/>
      <c r="QYD4" s="254"/>
      <c r="QYE4" s="254"/>
      <c r="QYF4" s="254"/>
      <c r="QYG4" s="254"/>
      <c r="QYH4" s="254"/>
      <c r="QYI4" s="254"/>
      <c r="QYJ4" s="254"/>
      <c r="QYK4" s="254"/>
      <c r="QYL4" s="254"/>
      <c r="QYM4" s="254"/>
      <c r="QYN4" s="254"/>
      <c r="QYO4" s="254"/>
      <c r="QYP4" s="254"/>
      <c r="QYQ4" s="254"/>
      <c r="QYR4" s="254"/>
      <c r="QYS4" s="254"/>
      <c r="QYT4" s="254"/>
      <c r="QYU4" s="254"/>
      <c r="QYV4" s="254"/>
      <c r="QYW4" s="254"/>
      <c r="QYX4" s="254"/>
      <c r="QYY4" s="254"/>
      <c r="QYZ4" s="254"/>
      <c r="QZA4" s="254"/>
      <c r="QZB4" s="254"/>
      <c r="QZC4" s="254"/>
      <c r="QZD4" s="254"/>
      <c r="QZE4" s="254"/>
      <c r="QZF4" s="254"/>
      <c r="QZG4" s="254"/>
      <c r="QZH4" s="254"/>
      <c r="QZI4" s="254"/>
      <c r="QZJ4" s="254"/>
      <c r="QZK4" s="254"/>
      <c r="QZL4" s="254"/>
      <c r="QZM4" s="254"/>
      <c r="QZN4" s="254"/>
      <c r="QZO4" s="254"/>
      <c r="QZP4" s="254"/>
      <c r="QZQ4" s="254"/>
      <c r="QZR4" s="254"/>
      <c r="QZS4" s="254"/>
      <c r="QZT4" s="254"/>
      <c r="QZU4" s="254"/>
      <c r="QZV4" s="254"/>
      <c r="QZW4" s="254"/>
      <c r="QZX4" s="254"/>
      <c r="QZY4" s="254"/>
      <c r="QZZ4" s="254"/>
      <c r="RAA4" s="254"/>
      <c r="RAB4" s="254"/>
      <c r="RAC4" s="254"/>
      <c r="RAD4" s="254"/>
      <c r="RAE4" s="254"/>
      <c r="RAF4" s="254"/>
      <c r="RAG4" s="254"/>
      <c r="RAH4" s="254"/>
      <c r="RAI4" s="254"/>
      <c r="RAJ4" s="254"/>
      <c r="RAK4" s="254"/>
      <c r="RAL4" s="254"/>
      <c r="RAM4" s="254"/>
      <c r="RAN4" s="254"/>
      <c r="RAO4" s="254"/>
      <c r="RAP4" s="254"/>
      <c r="RAQ4" s="254"/>
      <c r="RAR4" s="254"/>
      <c r="RAS4" s="254"/>
      <c r="RAT4" s="254"/>
      <c r="RAU4" s="254"/>
      <c r="RAV4" s="254"/>
      <c r="RAW4" s="254"/>
      <c r="RAX4" s="254"/>
      <c r="RAY4" s="254"/>
      <c r="RAZ4" s="254"/>
      <c r="RBA4" s="254"/>
      <c r="RBB4" s="254"/>
      <c r="RBC4" s="254"/>
      <c r="RBD4" s="254"/>
      <c r="RBE4" s="254"/>
      <c r="RBF4" s="254"/>
      <c r="RBG4" s="254"/>
      <c r="RBH4" s="254"/>
      <c r="RBI4" s="254"/>
      <c r="RBJ4" s="254"/>
      <c r="RBK4" s="254"/>
      <c r="RBL4" s="254"/>
      <c r="RBM4" s="254"/>
      <c r="RBN4" s="254"/>
      <c r="RBO4" s="254"/>
      <c r="RBP4" s="254"/>
      <c r="RBQ4" s="254"/>
      <c r="RBR4" s="254"/>
      <c r="RBS4" s="254"/>
      <c r="RBT4" s="254"/>
      <c r="RBU4" s="254"/>
      <c r="RBV4" s="254"/>
      <c r="RBW4" s="254"/>
      <c r="RBX4" s="254"/>
      <c r="RBY4" s="254"/>
      <c r="RBZ4" s="254"/>
      <c r="RCA4" s="254"/>
      <c r="RCB4" s="254"/>
      <c r="RCC4" s="254"/>
      <c r="RCD4" s="254"/>
      <c r="RCE4" s="254"/>
      <c r="RCF4" s="254"/>
      <c r="RCG4" s="254"/>
      <c r="RCH4" s="254"/>
      <c r="RCI4" s="254"/>
      <c r="RCJ4" s="254"/>
      <c r="RCK4" s="254"/>
      <c r="RCL4" s="254"/>
      <c r="RCM4" s="254"/>
      <c r="RCN4" s="254"/>
      <c r="RCO4" s="254"/>
      <c r="RCP4" s="254"/>
      <c r="RCQ4" s="254"/>
      <c r="RCR4" s="254"/>
      <c r="RCS4" s="254"/>
      <c r="RCT4" s="254"/>
      <c r="RCU4" s="254"/>
      <c r="RCV4" s="254"/>
      <c r="RCW4" s="254"/>
      <c r="RCX4" s="254"/>
      <c r="RCY4" s="254"/>
      <c r="RCZ4" s="254"/>
      <c r="RDA4" s="254"/>
      <c r="RDB4" s="254"/>
      <c r="RDC4" s="254"/>
      <c r="RDD4" s="254"/>
      <c r="RDE4" s="254"/>
      <c r="RDF4" s="254"/>
      <c r="RDG4" s="254"/>
      <c r="RDH4" s="254"/>
      <c r="RDI4" s="254"/>
      <c r="RDJ4" s="254"/>
      <c r="RDK4" s="254"/>
      <c r="RDL4" s="254"/>
      <c r="RDM4" s="254"/>
      <c r="RDN4" s="254"/>
      <c r="RDO4" s="254"/>
      <c r="RDP4" s="254"/>
      <c r="RDQ4" s="254"/>
      <c r="RDR4" s="254"/>
      <c r="RDS4" s="254"/>
      <c r="RDT4" s="254"/>
      <c r="RDU4" s="254"/>
      <c r="RDV4" s="254"/>
      <c r="RDW4" s="254"/>
      <c r="RDX4" s="254"/>
      <c r="RDY4" s="254"/>
      <c r="RDZ4" s="254"/>
      <c r="REA4" s="254"/>
      <c r="REB4" s="254"/>
      <c r="REC4" s="254"/>
      <c r="RED4" s="254"/>
      <c r="REE4" s="254"/>
      <c r="REF4" s="254"/>
      <c r="REG4" s="254"/>
      <c r="REH4" s="254"/>
      <c r="REI4" s="254"/>
      <c r="REJ4" s="254"/>
      <c r="REK4" s="254"/>
      <c r="REL4" s="254"/>
      <c r="REM4" s="254"/>
      <c r="REN4" s="254"/>
      <c r="REO4" s="254"/>
      <c r="REP4" s="254"/>
      <c r="REQ4" s="254"/>
      <c r="RER4" s="254"/>
      <c r="RES4" s="254"/>
      <c r="RET4" s="254"/>
      <c r="REU4" s="254"/>
      <c r="REV4" s="254"/>
      <c r="REW4" s="254"/>
      <c r="REX4" s="254"/>
      <c r="REY4" s="254"/>
      <c r="REZ4" s="254"/>
      <c r="RFA4" s="254"/>
      <c r="RFB4" s="254"/>
      <c r="RFC4" s="254"/>
      <c r="RFD4" s="254"/>
      <c r="RFE4" s="254"/>
      <c r="RFF4" s="254"/>
      <c r="RFG4" s="254"/>
      <c r="RFH4" s="254"/>
      <c r="RFI4" s="254"/>
      <c r="RFJ4" s="254"/>
      <c r="RFK4" s="254"/>
      <c r="RFL4" s="254"/>
      <c r="RFM4" s="254"/>
      <c r="RFN4" s="254"/>
      <c r="RFO4" s="254"/>
      <c r="RFP4" s="254"/>
      <c r="RFQ4" s="254"/>
      <c r="RFR4" s="254"/>
      <c r="RFS4" s="254"/>
      <c r="RFT4" s="254"/>
      <c r="RFU4" s="254"/>
      <c r="RFV4" s="254"/>
      <c r="RFW4" s="254"/>
      <c r="RFX4" s="254"/>
      <c r="RFY4" s="254"/>
      <c r="RFZ4" s="254"/>
      <c r="RGA4" s="254"/>
      <c r="RGB4" s="254"/>
      <c r="RGC4" s="254"/>
      <c r="RGD4" s="254"/>
      <c r="RGE4" s="254"/>
      <c r="RGF4" s="254"/>
      <c r="RGG4" s="254"/>
      <c r="RGH4" s="254"/>
      <c r="RGI4" s="254"/>
      <c r="RGJ4" s="254"/>
      <c r="RGK4" s="254"/>
      <c r="RGL4" s="254"/>
      <c r="RGM4" s="254"/>
      <c r="RGN4" s="254"/>
      <c r="RGO4" s="254"/>
      <c r="RGP4" s="254"/>
      <c r="RGQ4" s="254"/>
      <c r="RGR4" s="254"/>
      <c r="RGS4" s="254"/>
      <c r="RGT4" s="254"/>
      <c r="RGU4" s="254"/>
      <c r="RGV4" s="254"/>
      <c r="RGW4" s="254"/>
      <c r="RGX4" s="254"/>
      <c r="RGY4" s="254"/>
      <c r="RGZ4" s="254"/>
      <c r="RHA4" s="254"/>
      <c r="RHB4" s="254"/>
      <c r="RHC4" s="254"/>
      <c r="RHD4" s="254"/>
      <c r="RHE4" s="254"/>
      <c r="RHF4" s="254"/>
      <c r="RHG4" s="254"/>
      <c r="RHH4" s="254"/>
      <c r="RHI4" s="254"/>
      <c r="RHJ4" s="254"/>
      <c r="RHK4" s="254"/>
      <c r="RHL4" s="254"/>
      <c r="RHM4" s="254"/>
      <c r="RHN4" s="254"/>
      <c r="RHO4" s="254"/>
      <c r="RHP4" s="254"/>
      <c r="RHQ4" s="254"/>
      <c r="RHR4" s="254"/>
      <c r="RHS4" s="254"/>
      <c r="RHT4" s="254"/>
      <c r="RHU4" s="254"/>
      <c r="RHV4" s="254"/>
      <c r="RHW4" s="254"/>
      <c r="RHX4" s="254"/>
      <c r="RHY4" s="254"/>
      <c r="RHZ4" s="254"/>
      <c r="RIA4" s="254"/>
      <c r="RIB4" s="254"/>
      <c r="RIC4" s="254"/>
      <c r="RID4" s="254"/>
      <c r="RIE4" s="254"/>
      <c r="RIF4" s="254"/>
      <c r="RIG4" s="254"/>
      <c r="RIH4" s="254"/>
      <c r="RII4" s="254"/>
      <c r="RIJ4" s="254"/>
      <c r="RIK4" s="254"/>
      <c r="RIL4" s="254"/>
      <c r="RIM4" s="254"/>
      <c r="RIN4" s="254"/>
      <c r="RIO4" s="254"/>
      <c r="RIP4" s="254"/>
      <c r="RIQ4" s="254"/>
      <c r="RIR4" s="254"/>
      <c r="RIS4" s="254"/>
      <c r="RIT4" s="254"/>
      <c r="RIU4" s="254"/>
      <c r="RIV4" s="254"/>
      <c r="RIW4" s="254"/>
      <c r="RIX4" s="254"/>
      <c r="RIY4" s="254"/>
      <c r="RIZ4" s="254"/>
      <c r="RJA4" s="254"/>
      <c r="RJB4" s="254"/>
      <c r="RJC4" s="254"/>
      <c r="RJD4" s="254"/>
      <c r="RJE4" s="254"/>
      <c r="RJF4" s="254"/>
      <c r="RJG4" s="254"/>
      <c r="RJH4" s="254"/>
      <c r="RJI4" s="254"/>
      <c r="RJJ4" s="254"/>
      <c r="RJK4" s="254"/>
      <c r="RJL4" s="254"/>
      <c r="RJM4" s="254"/>
      <c r="RJN4" s="254"/>
      <c r="RJO4" s="254"/>
      <c r="RJP4" s="254"/>
      <c r="RJQ4" s="254"/>
      <c r="RJR4" s="254"/>
      <c r="RJS4" s="254"/>
      <c r="RJT4" s="254"/>
      <c r="RJU4" s="254"/>
      <c r="RJV4" s="254"/>
      <c r="RJW4" s="254"/>
      <c r="RJX4" s="254"/>
      <c r="RJY4" s="254"/>
      <c r="RJZ4" s="254"/>
      <c r="RKA4" s="254"/>
      <c r="RKB4" s="254"/>
      <c r="RKC4" s="254"/>
      <c r="RKD4" s="254"/>
      <c r="RKE4" s="254"/>
      <c r="RKF4" s="254"/>
      <c r="RKG4" s="254"/>
      <c r="RKH4" s="254"/>
      <c r="RKI4" s="254"/>
      <c r="RKJ4" s="254"/>
      <c r="RKK4" s="254"/>
      <c r="RKL4" s="254"/>
      <c r="RKM4" s="254"/>
      <c r="RKN4" s="254"/>
      <c r="RKO4" s="254"/>
      <c r="RKP4" s="254"/>
      <c r="RKQ4" s="254"/>
      <c r="RKR4" s="254"/>
      <c r="RKS4" s="254"/>
      <c r="RKT4" s="254"/>
      <c r="RKU4" s="254"/>
      <c r="RKV4" s="254"/>
      <c r="RKW4" s="254"/>
      <c r="RKX4" s="254"/>
      <c r="RKY4" s="254"/>
      <c r="RKZ4" s="254"/>
      <c r="RLA4" s="254"/>
      <c r="RLB4" s="254"/>
      <c r="RLC4" s="254"/>
      <c r="RLD4" s="254"/>
      <c r="RLE4" s="254"/>
      <c r="RLF4" s="254"/>
      <c r="RLG4" s="254"/>
      <c r="RLH4" s="254"/>
      <c r="RLI4" s="254"/>
      <c r="RLJ4" s="254"/>
      <c r="RLK4" s="254"/>
      <c r="RLL4" s="254"/>
      <c r="RLM4" s="254"/>
      <c r="RLN4" s="254"/>
      <c r="RLO4" s="254"/>
      <c r="RLP4" s="254"/>
      <c r="RLQ4" s="254"/>
      <c r="RLR4" s="254"/>
      <c r="RLS4" s="254"/>
      <c r="RLT4" s="254"/>
      <c r="RLU4" s="254"/>
      <c r="RLV4" s="254"/>
      <c r="RLW4" s="254"/>
      <c r="RLX4" s="254"/>
      <c r="RLY4" s="254"/>
      <c r="RLZ4" s="254"/>
      <c r="RMA4" s="254"/>
      <c r="RMB4" s="254"/>
      <c r="RMC4" s="254"/>
      <c r="RMD4" s="254"/>
      <c r="RME4" s="254"/>
      <c r="RMF4" s="254"/>
      <c r="RMG4" s="254"/>
      <c r="RMH4" s="254"/>
      <c r="RMI4" s="254"/>
      <c r="RMJ4" s="254"/>
      <c r="RMK4" s="254"/>
      <c r="RML4" s="254"/>
      <c r="RMM4" s="254"/>
      <c r="RMN4" s="254"/>
      <c r="RMO4" s="254"/>
      <c r="RMP4" s="254"/>
      <c r="RMQ4" s="254"/>
      <c r="RMR4" s="254"/>
      <c r="RMS4" s="254"/>
      <c r="RMT4" s="254"/>
      <c r="RMU4" s="254"/>
      <c r="RMV4" s="254"/>
      <c r="RMW4" s="254"/>
      <c r="RMX4" s="254"/>
      <c r="RMY4" s="254"/>
      <c r="RMZ4" s="254"/>
      <c r="RNA4" s="254"/>
      <c r="RNB4" s="254"/>
      <c r="RNC4" s="254"/>
      <c r="RND4" s="254"/>
      <c r="RNE4" s="254"/>
      <c r="RNF4" s="254"/>
      <c r="RNG4" s="254"/>
      <c r="RNH4" s="254"/>
      <c r="RNI4" s="254"/>
      <c r="RNJ4" s="254"/>
      <c r="RNK4" s="254"/>
      <c r="RNL4" s="254"/>
      <c r="RNM4" s="254"/>
      <c r="RNN4" s="254"/>
      <c r="RNO4" s="254"/>
      <c r="RNP4" s="254"/>
      <c r="RNQ4" s="254"/>
      <c r="RNR4" s="254"/>
      <c r="RNS4" s="254"/>
      <c r="RNT4" s="254"/>
      <c r="RNU4" s="254"/>
      <c r="RNV4" s="254"/>
      <c r="RNW4" s="254"/>
      <c r="RNX4" s="254"/>
      <c r="RNY4" s="254"/>
      <c r="RNZ4" s="254"/>
      <c r="ROA4" s="254"/>
      <c r="ROB4" s="254"/>
      <c r="ROC4" s="254"/>
      <c r="ROD4" s="254"/>
      <c r="ROE4" s="254"/>
      <c r="ROF4" s="254"/>
      <c r="ROG4" s="254"/>
      <c r="ROH4" s="254"/>
      <c r="ROI4" s="254"/>
      <c r="ROJ4" s="254"/>
      <c r="ROK4" s="254"/>
      <c r="ROL4" s="254"/>
      <c r="ROM4" s="254"/>
      <c r="RON4" s="254"/>
      <c r="ROO4" s="254"/>
      <c r="ROP4" s="254"/>
      <c r="ROQ4" s="254"/>
      <c r="ROR4" s="254"/>
      <c r="ROS4" s="254"/>
      <c r="ROT4" s="254"/>
      <c r="ROU4" s="254"/>
      <c r="ROV4" s="254"/>
      <c r="ROW4" s="254"/>
      <c r="ROX4" s="254"/>
      <c r="ROY4" s="254"/>
      <c r="ROZ4" s="254"/>
      <c r="RPA4" s="254"/>
      <c r="RPB4" s="254"/>
      <c r="RPC4" s="254"/>
      <c r="RPD4" s="254"/>
      <c r="RPE4" s="254"/>
      <c r="RPF4" s="254"/>
      <c r="RPG4" s="254"/>
      <c r="RPH4" s="254"/>
      <c r="RPI4" s="254"/>
      <c r="RPJ4" s="254"/>
      <c r="RPK4" s="254"/>
      <c r="RPL4" s="254"/>
      <c r="RPM4" s="254"/>
      <c r="RPN4" s="254"/>
      <c r="RPO4" s="254"/>
      <c r="RPP4" s="254"/>
      <c r="RPQ4" s="254"/>
      <c r="RPR4" s="254"/>
      <c r="RPS4" s="254"/>
      <c r="RPT4" s="254"/>
      <c r="RPU4" s="254"/>
      <c r="RPV4" s="254"/>
      <c r="RPW4" s="254"/>
      <c r="RPX4" s="254"/>
      <c r="RPY4" s="254"/>
      <c r="RPZ4" s="254"/>
      <c r="RQA4" s="254"/>
      <c r="RQB4" s="254"/>
      <c r="RQC4" s="254"/>
      <c r="RQD4" s="254"/>
      <c r="RQE4" s="254"/>
      <c r="RQF4" s="254"/>
      <c r="RQG4" s="254"/>
      <c r="RQH4" s="254"/>
      <c r="RQI4" s="254"/>
      <c r="RQJ4" s="254"/>
      <c r="RQK4" s="254"/>
      <c r="RQL4" s="254"/>
      <c r="RQM4" s="254"/>
      <c r="RQN4" s="254"/>
      <c r="RQO4" s="254"/>
      <c r="RQP4" s="254"/>
      <c r="RQQ4" s="254"/>
      <c r="RQR4" s="254"/>
      <c r="RQS4" s="254"/>
      <c r="RQT4" s="254"/>
      <c r="RQU4" s="254"/>
      <c r="RQV4" s="254"/>
      <c r="RQW4" s="254"/>
      <c r="RQX4" s="254"/>
      <c r="RQY4" s="254"/>
      <c r="RQZ4" s="254"/>
      <c r="RRA4" s="254"/>
      <c r="RRB4" s="254"/>
      <c r="RRC4" s="254"/>
      <c r="RRD4" s="254"/>
      <c r="RRE4" s="254"/>
      <c r="RRF4" s="254"/>
      <c r="RRG4" s="254"/>
      <c r="RRH4" s="254"/>
      <c r="RRI4" s="254"/>
      <c r="RRJ4" s="254"/>
      <c r="RRK4" s="254"/>
      <c r="RRL4" s="254"/>
      <c r="RRM4" s="254"/>
      <c r="RRN4" s="254"/>
      <c r="RRO4" s="254"/>
      <c r="RRP4" s="254"/>
      <c r="RRQ4" s="254"/>
      <c r="RRR4" s="254"/>
      <c r="RRS4" s="254"/>
      <c r="RRT4" s="254"/>
      <c r="RRU4" s="254"/>
      <c r="RRV4" s="254"/>
      <c r="RRW4" s="254"/>
      <c r="RRX4" s="254"/>
      <c r="RRY4" s="254"/>
      <c r="RRZ4" s="254"/>
      <c r="RSA4" s="254"/>
      <c r="RSB4" s="254"/>
      <c r="RSC4" s="254"/>
      <c r="RSD4" s="254"/>
      <c r="RSE4" s="254"/>
      <c r="RSF4" s="254"/>
      <c r="RSG4" s="254"/>
      <c r="RSH4" s="254"/>
      <c r="RSI4" s="254"/>
      <c r="RSJ4" s="254"/>
      <c r="RSK4" s="254"/>
      <c r="RSL4" s="254"/>
      <c r="RSM4" s="254"/>
      <c r="RSN4" s="254"/>
      <c r="RSO4" s="254"/>
      <c r="RSP4" s="254"/>
      <c r="RSQ4" s="254"/>
      <c r="RSR4" s="254"/>
      <c r="RSS4" s="254"/>
      <c r="RST4" s="254"/>
      <c r="RSU4" s="254"/>
      <c r="RSV4" s="254"/>
      <c r="RSW4" s="254"/>
      <c r="RSX4" s="254"/>
      <c r="RSY4" s="254"/>
      <c r="RSZ4" s="254"/>
      <c r="RTA4" s="254"/>
      <c r="RTB4" s="254"/>
      <c r="RTC4" s="254"/>
      <c r="RTD4" s="254"/>
      <c r="RTE4" s="254"/>
      <c r="RTF4" s="254"/>
      <c r="RTG4" s="254"/>
      <c r="RTH4" s="254"/>
      <c r="RTI4" s="254"/>
      <c r="RTJ4" s="254"/>
      <c r="RTK4" s="254"/>
      <c r="RTL4" s="254"/>
      <c r="RTM4" s="254"/>
      <c r="RTN4" s="254"/>
      <c r="RTO4" s="254"/>
      <c r="RTP4" s="254"/>
      <c r="RTQ4" s="254"/>
      <c r="RTR4" s="254"/>
      <c r="RTS4" s="254"/>
      <c r="RTT4" s="254"/>
      <c r="RTU4" s="254"/>
      <c r="RTV4" s="254"/>
      <c r="RTW4" s="254"/>
      <c r="RTX4" s="254"/>
      <c r="RTY4" s="254"/>
      <c r="RTZ4" s="254"/>
      <c r="RUA4" s="254"/>
      <c r="RUB4" s="254"/>
      <c r="RUC4" s="254"/>
      <c r="RUD4" s="254"/>
      <c r="RUE4" s="254"/>
      <c r="RUF4" s="254"/>
      <c r="RUG4" s="254"/>
      <c r="RUH4" s="254"/>
      <c r="RUI4" s="254"/>
      <c r="RUJ4" s="254"/>
      <c r="RUK4" s="254"/>
      <c r="RUL4" s="254"/>
      <c r="RUM4" s="254"/>
      <c r="RUN4" s="254"/>
      <c r="RUO4" s="254"/>
      <c r="RUP4" s="254"/>
      <c r="RUQ4" s="254"/>
      <c r="RUR4" s="254"/>
      <c r="RUS4" s="254"/>
      <c r="RUT4" s="254"/>
      <c r="RUU4" s="254"/>
      <c r="RUV4" s="254"/>
      <c r="RUW4" s="254"/>
      <c r="RUX4" s="254"/>
      <c r="RUY4" s="254"/>
      <c r="RUZ4" s="254"/>
      <c r="RVA4" s="254"/>
      <c r="RVB4" s="254"/>
      <c r="RVC4" s="254"/>
      <c r="RVD4" s="254"/>
      <c r="RVE4" s="254"/>
      <c r="RVF4" s="254"/>
      <c r="RVG4" s="254"/>
      <c r="RVH4" s="254"/>
      <c r="RVI4" s="254"/>
      <c r="RVJ4" s="254"/>
      <c r="RVK4" s="254"/>
      <c r="RVL4" s="254"/>
      <c r="RVM4" s="254"/>
      <c r="RVN4" s="254"/>
      <c r="RVO4" s="254"/>
      <c r="RVP4" s="254"/>
      <c r="RVQ4" s="254"/>
      <c r="RVR4" s="254"/>
      <c r="RVS4" s="254"/>
      <c r="RVT4" s="254"/>
      <c r="RVU4" s="254"/>
      <c r="RVV4" s="254"/>
      <c r="RVW4" s="254"/>
      <c r="RVX4" s="254"/>
      <c r="RVY4" s="254"/>
      <c r="RVZ4" s="254"/>
      <c r="RWA4" s="254"/>
      <c r="RWB4" s="254"/>
      <c r="RWC4" s="254"/>
      <c r="RWD4" s="254"/>
      <c r="RWE4" s="254"/>
      <c r="RWF4" s="254"/>
      <c r="RWG4" s="254"/>
      <c r="RWH4" s="254"/>
      <c r="RWI4" s="254"/>
      <c r="RWJ4" s="254"/>
      <c r="RWK4" s="254"/>
      <c r="RWL4" s="254"/>
      <c r="RWM4" s="254"/>
      <c r="RWN4" s="254"/>
      <c r="RWO4" s="254"/>
      <c r="RWP4" s="254"/>
      <c r="RWQ4" s="254"/>
      <c r="RWR4" s="254"/>
      <c r="RWS4" s="254"/>
      <c r="RWT4" s="254"/>
      <c r="RWU4" s="254"/>
      <c r="RWV4" s="254"/>
      <c r="RWW4" s="254"/>
      <c r="RWX4" s="254"/>
      <c r="RWY4" s="254"/>
      <c r="RWZ4" s="254"/>
      <c r="RXA4" s="254"/>
      <c r="RXB4" s="254"/>
      <c r="RXC4" s="254"/>
      <c r="RXD4" s="254"/>
      <c r="RXE4" s="254"/>
      <c r="RXF4" s="254"/>
      <c r="RXG4" s="254"/>
      <c r="RXH4" s="254"/>
      <c r="RXI4" s="254"/>
      <c r="RXJ4" s="254"/>
      <c r="RXK4" s="254"/>
      <c r="RXL4" s="254"/>
      <c r="RXM4" s="254"/>
      <c r="RXN4" s="254"/>
      <c r="RXO4" s="254"/>
      <c r="RXP4" s="254"/>
      <c r="RXQ4" s="254"/>
      <c r="RXR4" s="254"/>
      <c r="RXS4" s="254"/>
      <c r="RXT4" s="254"/>
      <c r="RXU4" s="254"/>
      <c r="RXV4" s="254"/>
      <c r="RXW4" s="254"/>
      <c r="RXX4" s="254"/>
      <c r="RXY4" s="254"/>
      <c r="RXZ4" s="254"/>
      <c r="RYA4" s="254"/>
      <c r="RYB4" s="254"/>
      <c r="RYC4" s="254"/>
      <c r="RYD4" s="254"/>
      <c r="RYE4" s="254"/>
      <c r="RYF4" s="254"/>
      <c r="RYG4" s="254"/>
      <c r="RYH4" s="254"/>
      <c r="RYI4" s="254"/>
      <c r="RYJ4" s="254"/>
      <c r="RYK4" s="254"/>
      <c r="RYL4" s="254"/>
      <c r="RYM4" s="254"/>
      <c r="RYN4" s="254"/>
      <c r="RYO4" s="254"/>
      <c r="RYP4" s="254"/>
      <c r="RYQ4" s="254"/>
      <c r="RYR4" s="254"/>
      <c r="RYS4" s="254"/>
      <c r="RYT4" s="254"/>
      <c r="RYU4" s="254"/>
      <c r="RYV4" s="254"/>
      <c r="RYW4" s="254"/>
      <c r="RYX4" s="254"/>
      <c r="RYY4" s="254"/>
      <c r="RYZ4" s="254"/>
      <c r="RZA4" s="254"/>
      <c r="RZB4" s="254"/>
      <c r="RZC4" s="254"/>
      <c r="RZD4" s="254"/>
      <c r="RZE4" s="254"/>
      <c r="RZF4" s="254"/>
      <c r="RZG4" s="254"/>
      <c r="RZH4" s="254"/>
      <c r="RZI4" s="254"/>
      <c r="RZJ4" s="254"/>
      <c r="RZK4" s="254"/>
      <c r="RZL4" s="254"/>
      <c r="RZM4" s="254"/>
      <c r="RZN4" s="254"/>
      <c r="RZO4" s="254"/>
      <c r="RZP4" s="254"/>
      <c r="RZQ4" s="254"/>
      <c r="RZR4" s="254"/>
      <c r="RZS4" s="254"/>
      <c r="RZT4" s="254"/>
      <c r="RZU4" s="254"/>
      <c r="RZV4" s="254"/>
      <c r="RZW4" s="254"/>
      <c r="RZX4" s="254"/>
      <c r="RZY4" s="254"/>
      <c r="RZZ4" s="254"/>
      <c r="SAA4" s="254"/>
      <c r="SAB4" s="254"/>
      <c r="SAC4" s="254"/>
      <c r="SAD4" s="254"/>
      <c r="SAE4" s="254"/>
      <c r="SAF4" s="254"/>
      <c r="SAG4" s="254"/>
      <c r="SAH4" s="254"/>
      <c r="SAI4" s="254"/>
      <c r="SAJ4" s="254"/>
      <c r="SAK4" s="254"/>
      <c r="SAL4" s="254"/>
      <c r="SAM4" s="254"/>
      <c r="SAN4" s="254"/>
      <c r="SAO4" s="254"/>
      <c r="SAP4" s="254"/>
      <c r="SAQ4" s="254"/>
      <c r="SAR4" s="254"/>
      <c r="SAS4" s="254"/>
      <c r="SAT4" s="254"/>
      <c r="SAU4" s="254"/>
      <c r="SAV4" s="254"/>
      <c r="SAW4" s="254"/>
      <c r="SAX4" s="254"/>
      <c r="SAY4" s="254"/>
      <c r="SAZ4" s="254"/>
      <c r="SBA4" s="254"/>
      <c r="SBB4" s="254"/>
      <c r="SBC4" s="254"/>
      <c r="SBD4" s="254"/>
      <c r="SBE4" s="254"/>
      <c r="SBF4" s="254"/>
      <c r="SBG4" s="254"/>
      <c r="SBH4" s="254"/>
      <c r="SBI4" s="254"/>
      <c r="SBJ4" s="254"/>
      <c r="SBK4" s="254"/>
      <c r="SBL4" s="254"/>
      <c r="SBM4" s="254"/>
      <c r="SBN4" s="254"/>
      <c r="SBO4" s="254"/>
      <c r="SBP4" s="254"/>
      <c r="SBQ4" s="254"/>
      <c r="SBR4" s="254"/>
      <c r="SBS4" s="254"/>
      <c r="SBT4" s="254"/>
      <c r="SBU4" s="254"/>
      <c r="SBV4" s="254"/>
      <c r="SBW4" s="254"/>
      <c r="SBX4" s="254"/>
      <c r="SBY4" s="254"/>
      <c r="SBZ4" s="254"/>
      <c r="SCA4" s="254"/>
      <c r="SCB4" s="254"/>
      <c r="SCC4" s="254"/>
      <c r="SCD4" s="254"/>
      <c r="SCE4" s="254"/>
      <c r="SCF4" s="254"/>
      <c r="SCG4" s="254"/>
      <c r="SCH4" s="254"/>
      <c r="SCI4" s="254"/>
      <c r="SCJ4" s="254"/>
      <c r="SCK4" s="254"/>
      <c r="SCL4" s="254"/>
      <c r="SCM4" s="254"/>
      <c r="SCN4" s="254"/>
      <c r="SCO4" s="254"/>
      <c r="SCP4" s="254"/>
      <c r="SCQ4" s="254"/>
      <c r="SCR4" s="254"/>
      <c r="SCS4" s="254"/>
      <c r="SCT4" s="254"/>
      <c r="SCU4" s="254"/>
      <c r="SCV4" s="254"/>
      <c r="SCW4" s="254"/>
      <c r="SCX4" s="254"/>
      <c r="SCY4" s="254"/>
      <c r="SCZ4" s="254"/>
      <c r="SDA4" s="254"/>
      <c r="SDB4" s="254"/>
      <c r="SDC4" s="254"/>
      <c r="SDD4" s="254"/>
      <c r="SDE4" s="254"/>
      <c r="SDF4" s="254"/>
      <c r="SDG4" s="254"/>
      <c r="SDH4" s="254"/>
      <c r="SDI4" s="254"/>
      <c r="SDJ4" s="254"/>
      <c r="SDK4" s="254"/>
      <c r="SDL4" s="254"/>
      <c r="SDM4" s="254"/>
      <c r="SDN4" s="254"/>
      <c r="SDO4" s="254"/>
      <c r="SDP4" s="254"/>
      <c r="SDQ4" s="254"/>
      <c r="SDR4" s="254"/>
      <c r="SDS4" s="254"/>
      <c r="SDT4" s="254"/>
      <c r="SDU4" s="254"/>
      <c r="SDV4" s="254"/>
      <c r="SDW4" s="254"/>
      <c r="SDX4" s="254"/>
      <c r="SDY4" s="254"/>
      <c r="SDZ4" s="254"/>
      <c r="SEA4" s="254"/>
      <c r="SEB4" s="254"/>
      <c r="SEC4" s="254"/>
      <c r="SED4" s="254"/>
      <c r="SEE4" s="254"/>
      <c r="SEF4" s="254"/>
      <c r="SEG4" s="254"/>
      <c r="SEH4" s="254"/>
      <c r="SEI4" s="254"/>
      <c r="SEJ4" s="254"/>
      <c r="SEK4" s="254"/>
      <c r="SEL4" s="254"/>
      <c r="SEM4" s="254"/>
      <c r="SEN4" s="254"/>
      <c r="SEO4" s="254"/>
      <c r="SEP4" s="254"/>
      <c r="SEQ4" s="254"/>
      <c r="SER4" s="254"/>
      <c r="SES4" s="254"/>
      <c r="SET4" s="254"/>
      <c r="SEU4" s="254"/>
      <c r="SEV4" s="254"/>
      <c r="SEW4" s="254"/>
      <c r="SEX4" s="254"/>
      <c r="SEY4" s="254"/>
      <c r="SEZ4" s="254"/>
      <c r="SFA4" s="254"/>
      <c r="SFB4" s="254"/>
      <c r="SFC4" s="254"/>
      <c r="SFD4" s="254"/>
      <c r="SFE4" s="254"/>
      <c r="SFF4" s="254"/>
      <c r="SFG4" s="254"/>
      <c r="SFH4" s="254"/>
      <c r="SFI4" s="254"/>
      <c r="SFJ4" s="254"/>
      <c r="SFK4" s="254"/>
      <c r="SFL4" s="254"/>
      <c r="SFM4" s="254"/>
      <c r="SFN4" s="254"/>
      <c r="SFO4" s="254"/>
      <c r="SFP4" s="254"/>
      <c r="SFQ4" s="254"/>
      <c r="SFR4" s="254"/>
      <c r="SFS4" s="254"/>
      <c r="SFT4" s="254"/>
      <c r="SFU4" s="254"/>
      <c r="SFV4" s="254"/>
      <c r="SFW4" s="254"/>
      <c r="SFX4" s="254"/>
      <c r="SFY4" s="254"/>
      <c r="SFZ4" s="254"/>
      <c r="SGA4" s="254"/>
      <c r="SGB4" s="254"/>
      <c r="SGC4" s="254"/>
      <c r="SGD4" s="254"/>
      <c r="SGE4" s="254"/>
      <c r="SGF4" s="254"/>
      <c r="SGG4" s="254"/>
      <c r="SGH4" s="254"/>
      <c r="SGI4" s="254"/>
      <c r="SGJ4" s="254"/>
      <c r="SGK4" s="254"/>
      <c r="SGL4" s="254"/>
      <c r="SGM4" s="254"/>
      <c r="SGN4" s="254"/>
      <c r="SGO4" s="254"/>
      <c r="SGP4" s="254"/>
      <c r="SGQ4" s="254"/>
      <c r="SGR4" s="254"/>
      <c r="SGS4" s="254"/>
      <c r="SGT4" s="254"/>
      <c r="SGU4" s="254"/>
      <c r="SGV4" s="254"/>
      <c r="SGW4" s="254"/>
      <c r="SGX4" s="254"/>
      <c r="SGY4" s="254"/>
      <c r="SGZ4" s="254"/>
      <c r="SHA4" s="254"/>
      <c r="SHB4" s="254"/>
      <c r="SHC4" s="254"/>
      <c r="SHD4" s="254"/>
      <c r="SHE4" s="254"/>
      <c r="SHF4" s="254"/>
      <c r="SHG4" s="254"/>
      <c r="SHH4" s="254"/>
      <c r="SHI4" s="254"/>
      <c r="SHJ4" s="254"/>
      <c r="SHK4" s="254"/>
      <c r="SHL4" s="254"/>
      <c r="SHM4" s="254"/>
      <c r="SHN4" s="254"/>
      <c r="SHO4" s="254"/>
      <c r="SHP4" s="254"/>
      <c r="SHQ4" s="254"/>
      <c r="SHR4" s="254"/>
      <c r="SHS4" s="254"/>
      <c r="SHT4" s="254"/>
      <c r="SHU4" s="254"/>
      <c r="SHV4" s="254"/>
      <c r="SHW4" s="254"/>
      <c r="SHX4" s="254"/>
      <c r="SHY4" s="254"/>
      <c r="SHZ4" s="254"/>
      <c r="SIA4" s="254"/>
      <c r="SIB4" s="254"/>
      <c r="SIC4" s="254"/>
      <c r="SID4" s="254"/>
      <c r="SIE4" s="254"/>
      <c r="SIF4" s="254"/>
      <c r="SIG4" s="254"/>
      <c r="SIH4" s="254"/>
      <c r="SII4" s="254"/>
      <c r="SIJ4" s="254"/>
      <c r="SIK4" s="254"/>
      <c r="SIL4" s="254"/>
      <c r="SIM4" s="254"/>
      <c r="SIN4" s="254"/>
      <c r="SIO4" s="254"/>
      <c r="SIP4" s="254"/>
      <c r="SIQ4" s="254"/>
      <c r="SIR4" s="254"/>
      <c r="SIS4" s="254"/>
      <c r="SIT4" s="254"/>
      <c r="SIU4" s="254"/>
      <c r="SIV4" s="254"/>
      <c r="SIW4" s="254"/>
      <c r="SIX4" s="254"/>
      <c r="SIY4" s="254"/>
      <c r="SIZ4" s="254"/>
      <c r="SJA4" s="254"/>
      <c r="SJB4" s="254"/>
      <c r="SJC4" s="254"/>
      <c r="SJD4" s="254"/>
      <c r="SJE4" s="254"/>
      <c r="SJF4" s="254"/>
      <c r="SJG4" s="254"/>
      <c r="SJH4" s="254"/>
      <c r="SJI4" s="254"/>
      <c r="SJJ4" s="254"/>
      <c r="SJK4" s="254"/>
      <c r="SJL4" s="254"/>
      <c r="SJM4" s="254"/>
      <c r="SJN4" s="254"/>
      <c r="SJO4" s="254"/>
      <c r="SJP4" s="254"/>
      <c r="SJQ4" s="254"/>
      <c r="SJR4" s="254"/>
      <c r="SJS4" s="254"/>
      <c r="SJT4" s="254"/>
      <c r="SJU4" s="254"/>
      <c r="SJV4" s="254"/>
      <c r="SJW4" s="254"/>
      <c r="SJX4" s="254"/>
      <c r="SJY4" s="254"/>
      <c r="SJZ4" s="254"/>
      <c r="SKA4" s="254"/>
      <c r="SKB4" s="254"/>
      <c r="SKC4" s="254"/>
      <c r="SKD4" s="254"/>
      <c r="SKE4" s="254"/>
      <c r="SKF4" s="254"/>
      <c r="SKG4" s="254"/>
      <c r="SKH4" s="254"/>
      <c r="SKI4" s="254"/>
      <c r="SKJ4" s="254"/>
      <c r="SKK4" s="254"/>
      <c r="SKL4" s="254"/>
      <c r="SKM4" s="254"/>
      <c r="SKN4" s="254"/>
      <c r="SKO4" s="254"/>
      <c r="SKP4" s="254"/>
      <c r="SKQ4" s="254"/>
      <c r="SKR4" s="254"/>
      <c r="SKS4" s="254"/>
      <c r="SKT4" s="254"/>
      <c r="SKU4" s="254"/>
      <c r="SKV4" s="254"/>
      <c r="SKW4" s="254"/>
      <c r="SKX4" s="254"/>
      <c r="SKY4" s="254"/>
      <c r="SKZ4" s="254"/>
      <c r="SLA4" s="254"/>
      <c r="SLB4" s="254"/>
      <c r="SLC4" s="254"/>
      <c r="SLD4" s="254"/>
      <c r="SLE4" s="254"/>
      <c r="SLF4" s="254"/>
      <c r="SLG4" s="254"/>
      <c r="SLH4" s="254"/>
      <c r="SLI4" s="254"/>
      <c r="SLJ4" s="254"/>
      <c r="SLK4" s="254"/>
      <c r="SLL4" s="254"/>
      <c r="SLM4" s="254"/>
      <c r="SLN4" s="254"/>
      <c r="SLO4" s="254"/>
      <c r="SLP4" s="254"/>
      <c r="SLQ4" s="254"/>
      <c r="SLR4" s="254"/>
      <c r="SLS4" s="254"/>
      <c r="SLT4" s="254"/>
      <c r="SLU4" s="254"/>
      <c r="SLV4" s="254"/>
      <c r="SLW4" s="254"/>
      <c r="SLX4" s="254"/>
      <c r="SLY4" s="254"/>
      <c r="SLZ4" s="254"/>
      <c r="SMA4" s="254"/>
      <c r="SMB4" s="254"/>
      <c r="SMC4" s="254"/>
      <c r="SMD4" s="254"/>
      <c r="SME4" s="254"/>
      <c r="SMF4" s="254"/>
      <c r="SMG4" s="254"/>
      <c r="SMH4" s="254"/>
      <c r="SMI4" s="254"/>
      <c r="SMJ4" s="254"/>
      <c r="SMK4" s="254"/>
      <c r="SML4" s="254"/>
      <c r="SMM4" s="254"/>
      <c r="SMN4" s="254"/>
      <c r="SMO4" s="254"/>
      <c r="SMP4" s="254"/>
      <c r="SMQ4" s="254"/>
      <c r="SMR4" s="254"/>
      <c r="SMS4" s="254"/>
      <c r="SMT4" s="254"/>
      <c r="SMU4" s="254"/>
      <c r="SMV4" s="254"/>
      <c r="SMW4" s="254"/>
      <c r="SMX4" s="254"/>
      <c r="SMY4" s="254"/>
      <c r="SMZ4" s="254"/>
      <c r="SNA4" s="254"/>
      <c r="SNB4" s="254"/>
      <c r="SNC4" s="254"/>
      <c r="SND4" s="254"/>
      <c r="SNE4" s="254"/>
      <c r="SNF4" s="254"/>
      <c r="SNG4" s="254"/>
      <c r="SNH4" s="254"/>
      <c r="SNI4" s="254"/>
      <c r="SNJ4" s="254"/>
      <c r="SNK4" s="254"/>
      <c r="SNL4" s="254"/>
      <c r="SNM4" s="254"/>
      <c r="SNN4" s="254"/>
      <c r="SNO4" s="254"/>
      <c r="SNP4" s="254"/>
      <c r="SNQ4" s="254"/>
      <c r="SNR4" s="254"/>
      <c r="SNS4" s="254"/>
      <c r="SNT4" s="254"/>
      <c r="SNU4" s="254"/>
      <c r="SNV4" s="254"/>
      <c r="SNW4" s="254"/>
      <c r="SNX4" s="254"/>
      <c r="SNY4" s="254"/>
      <c r="SNZ4" s="254"/>
      <c r="SOA4" s="254"/>
      <c r="SOB4" s="254"/>
      <c r="SOC4" s="254"/>
      <c r="SOD4" s="254"/>
      <c r="SOE4" s="254"/>
      <c r="SOF4" s="254"/>
      <c r="SOG4" s="254"/>
      <c r="SOH4" s="254"/>
      <c r="SOI4" s="254"/>
      <c r="SOJ4" s="254"/>
      <c r="SOK4" s="254"/>
      <c r="SOL4" s="254"/>
      <c r="SOM4" s="254"/>
      <c r="SON4" s="254"/>
      <c r="SOO4" s="254"/>
      <c r="SOP4" s="254"/>
      <c r="SOQ4" s="254"/>
      <c r="SOR4" s="254"/>
      <c r="SOS4" s="254"/>
      <c r="SOT4" s="254"/>
      <c r="SOU4" s="254"/>
      <c r="SOV4" s="254"/>
      <c r="SOW4" s="254"/>
      <c r="SOX4" s="254"/>
      <c r="SOY4" s="254"/>
      <c r="SOZ4" s="254"/>
      <c r="SPA4" s="254"/>
      <c r="SPB4" s="254"/>
      <c r="SPC4" s="254"/>
      <c r="SPD4" s="254"/>
      <c r="SPE4" s="254"/>
      <c r="SPF4" s="254"/>
      <c r="SPG4" s="254"/>
      <c r="SPH4" s="254"/>
      <c r="SPI4" s="254"/>
      <c r="SPJ4" s="254"/>
      <c r="SPK4" s="254"/>
      <c r="SPL4" s="254"/>
      <c r="SPM4" s="254"/>
      <c r="SPN4" s="254"/>
      <c r="SPO4" s="254"/>
      <c r="SPP4" s="254"/>
      <c r="SPQ4" s="254"/>
      <c r="SPR4" s="254"/>
      <c r="SPS4" s="254"/>
      <c r="SPT4" s="254"/>
      <c r="SPU4" s="254"/>
      <c r="SPV4" s="254"/>
      <c r="SPW4" s="254"/>
      <c r="SPX4" s="254"/>
      <c r="SPY4" s="254"/>
      <c r="SPZ4" s="254"/>
      <c r="SQA4" s="254"/>
      <c r="SQB4" s="254"/>
      <c r="SQC4" s="254"/>
      <c r="SQD4" s="254"/>
      <c r="SQE4" s="254"/>
      <c r="SQF4" s="254"/>
      <c r="SQG4" s="254"/>
      <c r="SQH4" s="254"/>
      <c r="SQI4" s="254"/>
      <c r="SQJ4" s="254"/>
      <c r="SQK4" s="254"/>
      <c r="SQL4" s="254"/>
      <c r="SQM4" s="254"/>
      <c r="SQN4" s="254"/>
      <c r="SQO4" s="254"/>
      <c r="SQP4" s="254"/>
      <c r="SQQ4" s="254"/>
      <c r="SQR4" s="254"/>
      <c r="SQS4" s="254"/>
      <c r="SQT4" s="254"/>
      <c r="SQU4" s="254"/>
      <c r="SQV4" s="254"/>
      <c r="SQW4" s="254"/>
      <c r="SQX4" s="254"/>
      <c r="SQY4" s="254"/>
      <c r="SQZ4" s="254"/>
      <c r="SRA4" s="254"/>
      <c r="SRB4" s="254"/>
      <c r="SRC4" s="254"/>
      <c r="SRD4" s="254"/>
      <c r="SRE4" s="254"/>
      <c r="SRF4" s="254"/>
      <c r="SRG4" s="254"/>
      <c r="SRH4" s="254"/>
      <c r="SRI4" s="254"/>
      <c r="SRJ4" s="254"/>
      <c r="SRK4" s="254"/>
      <c r="SRL4" s="254"/>
      <c r="SRM4" s="254"/>
      <c r="SRN4" s="254"/>
      <c r="SRO4" s="254"/>
      <c r="SRP4" s="254"/>
      <c r="SRQ4" s="254"/>
      <c r="SRR4" s="254"/>
      <c r="SRS4" s="254"/>
      <c r="SRT4" s="254"/>
      <c r="SRU4" s="254"/>
      <c r="SRV4" s="254"/>
      <c r="SRW4" s="254"/>
      <c r="SRX4" s="254"/>
      <c r="SRY4" s="254"/>
      <c r="SRZ4" s="254"/>
      <c r="SSA4" s="254"/>
      <c r="SSB4" s="254"/>
      <c r="SSC4" s="254"/>
      <c r="SSD4" s="254"/>
      <c r="SSE4" s="254"/>
      <c r="SSF4" s="254"/>
      <c r="SSG4" s="254"/>
      <c r="SSH4" s="254"/>
      <c r="SSI4" s="254"/>
      <c r="SSJ4" s="254"/>
      <c r="SSK4" s="254"/>
      <c r="SSL4" s="254"/>
      <c r="SSM4" s="254"/>
      <c r="SSN4" s="254"/>
      <c r="SSO4" s="254"/>
      <c r="SSP4" s="254"/>
      <c r="SSQ4" s="254"/>
      <c r="SSR4" s="254"/>
      <c r="SSS4" s="254"/>
      <c r="SST4" s="254"/>
      <c r="SSU4" s="254"/>
      <c r="SSV4" s="254"/>
      <c r="SSW4" s="254"/>
      <c r="SSX4" s="254"/>
      <c r="SSY4" s="254"/>
      <c r="SSZ4" s="254"/>
      <c r="STA4" s="254"/>
      <c r="STB4" s="254"/>
      <c r="STC4" s="254"/>
      <c r="STD4" s="254"/>
      <c r="STE4" s="254"/>
      <c r="STF4" s="254"/>
      <c r="STG4" s="254"/>
      <c r="STH4" s="254"/>
      <c r="STI4" s="254"/>
      <c r="STJ4" s="254"/>
      <c r="STK4" s="254"/>
      <c r="STL4" s="254"/>
      <c r="STM4" s="254"/>
      <c r="STN4" s="254"/>
      <c r="STO4" s="254"/>
      <c r="STP4" s="254"/>
      <c r="STQ4" s="254"/>
      <c r="STR4" s="254"/>
      <c r="STS4" s="254"/>
      <c r="STT4" s="254"/>
      <c r="STU4" s="254"/>
      <c r="STV4" s="254"/>
      <c r="STW4" s="254"/>
      <c r="STX4" s="254"/>
      <c r="STY4" s="254"/>
      <c r="STZ4" s="254"/>
      <c r="SUA4" s="254"/>
      <c r="SUB4" s="254"/>
      <c r="SUC4" s="254"/>
      <c r="SUD4" s="254"/>
      <c r="SUE4" s="254"/>
      <c r="SUF4" s="254"/>
      <c r="SUG4" s="254"/>
      <c r="SUH4" s="254"/>
      <c r="SUI4" s="254"/>
      <c r="SUJ4" s="254"/>
      <c r="SUK4" s="254"/>
      <c r="SUL4" s="254"/>
      <c r="SUM4" s="254"/>
      <c r="SUN4" s="254"/>
      <c r="SUO4" s="254"/>
      <c r="SUP4" s="254"/>
      <c r="SUQ4" s="254"/>
      <c r="SUR4" s="254"/>
      <c r="SUS4" s="254"/>
      <c r="SUT4" s="254"/>
      <c r="SUU4" s="254"/>
      <c r="SUV4" s="254"/>
      <c r="SUW4" s="254"/>
      <c r="SUX4" s="254"/>
      <c r="SUY4" s="254"/>
      <c r="SUZ4" s="254"/>
      <c r="SVA4" s="254"/>
      <c r="SVB4" s="254"/>
      <c r="SVC4" s="254"/>
      <c r="SVD4" s="254"/>
      <c r="SVE4" s="254"/>
      <c r="SVF4" s="254"/>
      <c r="SVG4" s="254"/>
      <c r="SVH4" s="254"/>
      <c r="SVI4" s="254"/>
      <c r="SVJ4" s="254"/>
      <c r="SVK4" s="254"/>
      <c r="SVL4" s="254"/>
      <c r="SVM4" s="254"/>
      <c r="SVN4" s="254"/>
      <c r="SVO4" s="254"/>
      <c r="SVP4" s="254"/>
      <c r="SVQ4" s="254"/>
      <c r="SVR4" s="254"/>
      <c r="SVS4" s="254"/>
      <c r="SVT4" s="254"/>
      <c r="SVU4" s="254"/>
      <c r="SVV4" s="254"/>
      <c r="SVW4" s="254"/>
      <c r="SVX4" s="254"/>
      <c r="SVY4" s="254"/>
      <c r="SVZ4" s="254"/>
      <c r="SWA4" s="254"/>
      <c r="SWB4" s="254"/>
      <c r="SWC4" s="254"/>
      <c r="SWD4" s="254"/>
      <c r="SWE4" s="254"/>
      <c r="SWF4" s="254"/>
      <c r="SWG4" s="254"/>
      <c r="SWH4" s="254"/>
      <c r="SWI4" s="254"/>
      <c r="SWJ4" s="254"/>
      <c r="SWK4" s="254"/>
      <c r="SWL4" s="254"/>
      <c r="SWM4" s="254"/>
      <c r="SWN4" s="254"/>
      <c r="SWO4" s="254"/>
      <c r="SWP4" s="254"/>
      <c r="SWQ4" s="254"/>
      <c r="SWR4" s="254"/>
      <c r="SWS4" s="254"/>
      <c r="SWT4" s="254"/>
      <c r="SWU4" s="254"/>
      <c r="SWV4" s="254"/>
      <c r="SWW4" s="254"/>
      <c r="SWX4" s="254"/>
      <c r="SWY4" s="254"/>
      <c r="SWZ4" s="254"/>
      <c r="SXA4" s="254"/>
      <c r="SXB4" s="254"/>
      <c r="SXC4" s="254"/>
      <c r="SXD4" s="254"/>
      <c r="SXE4" s="254"/>
      <c r="SXF4" s="254"/>
      <c r="SXG4" s="254"/>
      <c r="SXH4" s="254"/>
      <c r="SXI4" s="254"/>
      <c r="SXJ4" s="254"/>
      <c r="SXK4" s="254"/>
      <c r="SXL4" s="254"/>
      <c r="SXM4" s="254"/>
      <c r="SXN4" s="254"/>
      <c r="SXO4" s="254"/>
      <c r="SXP4" s="254"/>
      <c r="SXQ4" s="254"/>
      <c r="SXR4" s="254"/>
      <c r="SXS4" s="254"/>
      <c r="SXT4" s="254"/>
      <c r="SXU4" s="254"/>
      <c r="SXV4" s="254"/>
      <c r="SXW4" s="254"/>
      <c r="SXX4" s="254"/>
      <c r="SXY4" s="254"/>
      <c r="SXZ4" s="254"/>
      <c r="SYA4" s="254"/>
      <c r="SYB4" s="254"/>
      <c r="SYC4" s="254"/>
      <c r="SYD4" s="254"/>
      <c r="SYE4" s="254"/>
      <c r="SYF4" s="254"/>
      <c r="SYG4" s="254"/>
      <c r="SYH4" s="254"/>
      <c r="SYI4" s="254"/>
      <c r="SYJ4" s="254"/>
      <c r="SYK4" s="254"/>
      <c r="SYL4" s="254"/>
      <c r="SYM4" s="254"/>
      <c r="SYN4" s="254"/>
      <c r="SYO4" s="254"/>
      <c r="SYP4" s="254"/>
      <c r="SYQ4" s="254"/>
      <c r="SYR4" s="254"/>
      <c r="SYS4" s="254"/>
      <c r="SYT4" s="254"/>
      <c r="SYU4" s="254"/>
      <c r="SYV4" s="254"/>
      <c r="SYW4" s="254"/>
      <c r="SYX4" s="254"/>
      <c r="SYY4" s="254"/>
      <c r="SYZ4" s="254"/>
      <c r="SZA4" s="254"/>
      <c r="SZB4" s="254"/>
      <c r="SZC4" s="254"/>
      <c r="SZD4" s="254"/>
      <c r="SZE4" s="254"/>
      <c r="SZF4" s="254"/>
      <c r="SZG4" s="254"/>
      <c r="SZH4" s="254"/>
      <c r="SZI4" s="254"/>
      <c r="SZJ4" s="254"/>
      <c r="SZK4" s="254"/>
      <c r="SZL4" s="254"/>
      <c r="SZM4" s="254"/>
      <c r="SZN4" s="254"/>
      <c r="SZO4" s="254"/>
      <c r="SZP4" s="254"/>
      <c r="SZQ4" s="254"/>
      <c r="SZR4" s="254"/>
      <c r="SZS4" s="254"/>
      <c r="SZT4" s="254"/>
      <c r="SZU4" s="254"/>
      <c r="SZV4" s="254"/>
      <c r="SZW4" s="254"/>
      <c r="SZX4" s="254"/>
      <c r="SZY4" s="254"/>
      <c r="SZZ4" s="254"/>
      <c r="TAA4" s="254"/>
      <c r="TAB4" s="254"/>
      <c r="TAC4" s="254"/>
      <c r="TAD4" s="254"/>
      <c r="TAE4" s="254"/>
      <c r="TAF4" s="254"/>
      <c r="TAG4" s="254"/>
      <c r="TAH4" s="254"/>
      <c r="TAI4" s="254"/>
      <c r="TAJ4" s="254"/>
      <c r="TAK4" s="254"/>
      <c r="TAL4" s="254"/>
      <c r="TAM4" s="254"/>
      <c r="TAN4" s="254"/>
      <c r="TAO4" s="254"/>
      <c r="TAP4" s="254"/>
      <c r="TAQ4" s="254"/>
      <c r="TAR4" s="254"/>
      <c r="TAS4" s="254"/>
      <c r="TAT4" s="254"/>
      <c r="TAU4" s="254"/>
      <c r="TAV4" s="254"/>
      <c r="TAW4" s="254"/>
      <c r="TAX4" s="254"/>
      <c r="TAY4" s="254"/>
      <c r="TAZ4" s="254"/>
      <c r="TBA4" s="254"/>
      <c r="TBB4" s="254"/>
      <c r="TBC4" s="254"/>
      <c r="TBD4" s="254"/>
      <c r="TBE4" s="254"/>
      <c r="TBF4" s="254"/>
      <c r="TBG4" s="254"/>
      <c r="TBH4" s="254"/>
      <c r="TBI4" s="254"/>
      <c r="TBJ4" s="254"/>
      <c r="TBK4" s="254"/>
      <c r="TBL4" s="254"/>
      <c r="TBM4" s="254"/>
      <c r="TBN4" s="254"/>
      <c r="TBO4" s="254"/>
      <c r="TBP4" s="254"/>
      <c r="TBQ4" s="254"/>
      <c r="TBR4" s="254"/>
      <c r="TBS4" s="254"/>
      <c r="TBT4" s="254"/>
      <c r="TBU4" s="254"/>
      <c r="TBV4" s="254"/>
      <c r="TBW4" s="254"/>
      <c r="TBX4" s="254"/>
      <c r="TBY4" s="254"/>
      <c r="TBZ4" s="254"/>
      <c r="TCA4" s="254"/>
      <c r="TCB4" s="254"/>
      <c r="TCC4" s="254"/>
      <c r="TCD4" s="254"/>
      <c r="TCE4" s="254"/>
      <c r="TCF4" s="254"/>
      <c r="TCG4" s="254"/>
      <c r="TCH4" s="254"/>
      <c r="TCI4" s="254"/>
      <c r="TCJ4" s="254"/>
      <c r="TCK4" s="254"/>
      <c r="TCL4" s="254"/>
      <c r="TCM4" s="254"/>
      <c r="TCN4" s="254"/>
      <c r="TCO4" s="254"/>
      <c r="TCP4" s="254"/>
      <c r="TCQ4" s="254"/>
      <c r="TCR4" s="254"/>
      <c r="TCS4" s="254"/>
      <c r="TCT4" s="254"/>
      <c r="TCU4" s="254"/>
      <c r="TCV4" s="254"/>
      <c r="TCW4" s="254"/>
      <c r="TCX4" s="254"/>
      <c r="TCY4" s="254"/>
      <c r="TCZ4" s="254"/>
      <c r="TDA4" s="254"/>
      <c r="TDB4" s="254"/>
      <c r="TDC4" s="254"/>
      <c r="TDD4" s="254"/>
      <c r="TDE4" s="254"/>
      <c r="TDF4" s="254"/>
      <c r="TDG4" s="254"/>
      <c r="TDH4" s="254"/>
      <c r="TDI4" s="254"/>
      <c r="TDJ4" s="254"/>
      <c r="TDK4" s="254"/>
      <c r="TDL4" s="254"/>
      <c r="TDM4" s="254"/>
      <c r="TDN4" s="254"/>
      <c r="TDO4" s="254"/>
      <c r="TDP4" s="254"/>
      <c r="TDQ4" s="254"/>
      <c r="TDR4" s="254"/>
      <c r="TDS4" s="254"/>
      <c r="TDT4" s="254"/>
      <c r="TDU4" s="254"/>
      <c r="TDV4" s="254"/>
      <c r="TDW4" s="254"/>
      <c r="TDX4" s="254"/>
      <c r="TDY4" s="254"/>
      <c r="TDZ4" s="254"/>
      <c r="TEA4" s="254"/>
      <c r="TEB4" s="254"/>
      <c r="TEC4" s="254"/>
      <c r="TED4" s="254"/>
      <c r="TEE4" s="254"/>
      <c r="TEF4" s="254"/>
      <c r="TEG4" s="254"/>
      <c r="TEH4" s="254"/>
      <c r="TEI4" s="254"/>
      <c r="TEJ4" s="254"/>
      <c r="TEK4" s="254"/>
      <c r="TEL4" s="254"/>
      <c r="TEM4" s="254"/>
      <c r="TEN4" s="254"/>
      <c r="TEO4" s="254"/>
      <c r="TEP4" s="254"/>
      <c r="TEQ4" s="254"/>
      <c r="TER4" s="254"/>
      <c r="TES4" s="254"/>
      <c r="TET4" s="254"/>
      <c r="TEU4" s="254"/>
      <c r="TEV4" s="254"/>
      <c r="TEW4" s="254"/>
      <c r="TEX4" s="254"/>
      <c r="TEY4" s="254"/>
      <c r="TEZ4" s="254"/>
      <c r="TFA4" s="254"/>
      <c r="TFB4" s="254"/>
      <c r="TFC4" s="254"/>
      <c r="TFD4" s="254"/>
      <c r="TFE4" s="254"/>
      <c r="TFF4" s="254"/>
      <c r="TFG4" s="254"/>
      <c r="TFH4" s="254"/>
      <c r="TFI4" s="254"/>
      <c r="TFJ4" s="254"/>
      <c r="TFK4" s="254"/>
      <c r="TFL4" s="254"/>
      <c r="TFM4" s="254"/>
      <c r="TFN4" s="254"/>
      <c r="TFO4" s="254"/>
      <c r="TFP4" s="254"/>
      <c r="TFQ4" s="254"/>
      <c r="TFR4" s="254"/>
      <c r="TFS4" s="254"/>
      <c r="TFT4" s="254"/>
      <c r="TFU4" s="254"/>
      <c r="TFV4" s="254"/>
      <c r="TFW4" s="254"/>
      <c r="TFX4" s="254"/>
      <c r="TFY4" s="254"/>
      <c r="TFZ4" s="254"/>
      <c r="TGA4" s="254"/>
      <c r="TGB4" s="254"/>
      <c r="TGC4" s="254"/>
      <c r="TGD4" s="254"/>
      <c r="TGE4" s="254"/>
      <c r="TGF4" s="254"/>
      <c r="TGG4" s="254"/>
      <c r="TGH4" s="254"/>
      <c r="TGI4" s="254"/>
      <c r="TGJ4" s="254"/>
      <c r="TGK4" s="254"/>
      <c r="TGL4" s="254"/>
      <c r="TGM4" s="254"/>
      <c r="TGN4" s="254"/>
      <c r="TGO4" s="254"/>
      <c r="TGP4" s="254"/>
      <c r="TGQ4" s="254"/>
      <c r="TGR4" s="254"/>
      <c r="TGS4" s="254"/>
      <c r="TGT4" s="254"/>
      <c r="TGU4" s="254"/>
      <c r="TGV4" s="254"/>
      <c r="TGW4" s="254"/>
      <c r="TGX4" s="254"/>
      <c r="TGY4" s="254"/>
      <c r="TGZ4" s="254"/>
      <c r="THA4" s="254"/>
      <c r="THB4" s="254"/>
      <c r="THC4" s="254"/>
      <c r="THD4" s="254"/>
      <c r="THE4" s="254"/>
      <c r="THF4" s="254"/>
      <c r="THG4" s="254"/>
      <c r="THH4" s="254"/>
      <c r="THI4" s="254"/>
      <c r="THJ4" s="254"/>
      <c r="THK4" s="254"/>
      <c r="THL4" s="254"/>
      <c r="THM4" s="254"/>
      <c r="THN4" s="254"/>
      <c r="THO4" s="254"/>
      <c r="THP4" s="254"/>
      <c r="THQ4" s="254"/>
      <c r="THR4" s="254"/>
      <c r="THS4" s="254"/>
      <c r="THT4" s="254"/>
      <c r="THU4" s="254"/>
      <c r="THV4" s="254"/>
      <c r="THW4" s="254"/>
      <c r="THX4" s="254"/>
      <c r="THY4" s="254"/>
      <c r="THZ4" s="254"/>
      <c r="TIA4" s="254"/>
      <c r="TIB4" s="254"/>
      <c r="TIC4" s="254"/>
      <c r="TID4" s="254"/>
      <c r="TIE4" s="254"/>
      <c r="TIF4" s="254"/>
      <c r="TIG4" s="254"/>
      <c r="TIH4" s="254"/>
      <c r="TII4" s="254"/>
      <c r="TIJ4" s="254"/>
      <c r="TIK4" s="254"/>
      <c r="TIL4" s="254"/>
      <c r="TIM4" s="254"/>
      <c r="TIN4" s="254"/>
      <c r="TIO4" s="254"/>
      <c r="TIP4" s="254"/>
      <c r="TIQ4" s="254"/>
      <c r="TIR4" s="254"/>
      <c r="TIS4" s="254"/>
      <c r="TIT4" s="254"/>
      <c r="TIU4" s="254"/>
      <c r="TIV4" s="254"/>
      <c r="TIW4" s="254"/>
      <c r="TIX4" s="254"/>
      <c r="TIY4" s="254"/>
      <c r="TIZ4" s="254"/>
      <c r="TJA4" s="254"/>
      <c r="TJB4" s="254"/>
      <c r="TJC4" s="254"/>
      <c r="TJD4" s="254"/>
      <c r="TJE4" s="254"/>
      <c r="TJF4" s="254"/>
      <c r="TJG4" s="254"/>
      <c r="TJH4" s="254"/>
      <c r="TJI4" s="254"/>
      <c r="TJJ4" s="254"/>
      <c r="TJK4" s="254"/>
      <c r="TJL4" s="254"/>
      <c r="TJM4" s="254"/>
      <c r="TJN4" s="254"/>
      <c r="TJO4" s="254"/>
      <c r="TJP4" s="254"/>
      <c r="TJQ4" s="254"/>
      <c r="TJR4" s="254"/>
      <c r="TJS4" s="254"/>
      <c r="TJT4" s="254"/>
      <c r="TJU4" s="254"/>
      <c r="TJV4" s="254"/>
      <c r="TJW4" s="254"/>
      <c r="TJX4" s="254"/>
      <c r="TJY4" s="254"/>
      <c r="TJZ4" s="254"/>
      <c r="TKA4" s="254"/>
      <c r="TKB4" s="254"/>
      <c r="TKC4" s="254"/>
      <c r="TKD4" s="254"/>
      <c r="TKE4" s="254"/>
      <c r="TKF4" s="254"/>
      <c r="TKG4" s="254"/>
      <c r="TKH4" s="254"/>
      <c r="TKI4" s="254"/>
      <c r="TKJ4" s="254"/>
      <c r="TKK4" s="254"/>
      <c r="TKL4" s="254"/>
      <c r="TKM4" s="254"/>
      <c r="TKN4" s="254"/>
      <c r="TKO4" s="254"/>
      <c r="TKP4" s="254"/>
      <c r="TKQ4" s="254"/>
      <c r="TKR4" s="254"/>
      <c r="TKS4" s="254"/>
      <c r="TKT4" s="254"/>
      <c r="TKU4" s="254"/>
      <c r="TKV4" s="254"/>
      <c r="TKW4" s="254"/>
      <c r="TKX4" s="254"/>
      <c r="TKY4" s="254"/>
      <c r="TKZ4" s="254"/>
      <c r="TLA4" s="254"/>
      <c r="TLB4" s="254"/>
      <c r="TLC4" s="254"/>
      <c r="TLD4" s="254"/>
      <c r="TLE4" s="254"/>
      <c r="TLF4" s="254"/>
      <c r="TLG4" s="254"/>
      <c r="TLH4" s="254"/>
      <c r="TLI4" s="254"/>
      <c r="TLJ4" s="254"/>
      <c r="TLK4" s="254"/>
      <c r="TLL4" s="254"/>
      <c r="TLM4" s="254"/>
      <c r="TLN4" s="254"/>
      <c r="TLO4" s="254"/>
      <c r="TLP4" s="254"/>
      <c r="TLQ4" s="254"/>
      <c r="TLR4" s="254"/>
      <c r="TLS4" s="254"/>
      <c r="TLT4" s="254"/>
      <c r="TLU4" s="254"/>
      <c r="TLV4" s="254"/>
      <c r="TLW4" s="254"/>
      <c r="TLX4" s="254"/>
      <c r="TLY4" s="254"/>
      <c r="TLZ4" s="254"/>
      <c r="TMA4" s="254"/>
      <c r="TMB4" s="254"/>
      <c r="TMC4" s="254"/>
      <c r="TMD4" s="254"/>
      <c r="TME4" s="254"/>
      <c r="TMF4" s="254"/>
      <c r="TMG4" s="254"/>
      <c r="TMH4" s="254"/>
      <c r="TMI4" s="254"/>
      <c r="TMJ4" s="254"/>
      <c r="TMK4" s="254"/>
      <c r="TML4" s="254"/>
      <c r="TMM4" s="254"/>
      <c r="TMN4" s="254"/>
      <c r="TMO4" s="254"/>
      <c r="TMP4" s="254"/>
      <c r="TMQ4" s="254"/>
      <c r="TMR4" s="254"/>
      <c r="TMS4" s="254"/>
      <c r="TMT4" s="254"/>
      <c r="TMU4" s="254"/>
      <c r="TMV4" s="254"/>
      <c r="TMW4" s="254"/>
      <c r="TMX4" s="254"/>
      <c r="TMY4" s="254"/>
      <c r="TMZ4" s="254"/>
      <c r="TNA4" s="254"/>
      <c r="TNB4" s="254"/>
      <c r="TNC4" s="254"/>
      <c r="TND4" s="254"/>
      <c r="TNE4" s="254"/>
      <c r="TNF4" s="254"/>
      <c r="TNG4" s="254"/>
      <c r="TNH4" s="254"/>
      <c r="TNI4" s="254"/>
      <c r="TNJ4" s="254"/>
      <c r="TNK4" s="254"/>
      <c r="TNL4" s="254"/>
      <c r="TNM4" s="254"/>
      <c r="TNN4" s="254"/>
      <c r="TNO4" s="254"/>
      <c r="TNP4" s="254"/>
      <c r="TNQ4" s="254"/>
      <c r="TNR4" s="254"/>
      <c r="TNS4" s="254"/>
      <c r="TNT4" s="254"/>
      <c r="TNU4" s="254"/>
      <c r="TNV4" s="254"/>
      <c r="TNW4" s="254"/>
      <c r="TNX4" s="254"/>
      <c r="TNY4" s="254"/>
      <c r="TNZ4" s="254"/>
      <c r="TOA4" s="254"/>
      <c r="TOB4" s="254"/>
      <c r="TOC4" s="254"/>
      <c r="TOD4" s="254"/>
      <c r="TOE4" s="254"/>
      <c r="TOF4" s="254"/>
      <c r="TOG4" s="254"/>
      <c r="TOH4" s="254"/>
      <c r="TOI4" s="254"/>
      <c r="TOJ4" s="254"/>
      <c r="TOK4" s="254"/>
      <c r="TOL4" s="254"/>
      <c r="TOM4" s="254"/>
      <c r="TON4" s="254"/>
      <c r="TOO4" s="254"/>
      <c r="TOP4" s="254"/>
      <c r="TOQ4" s="254"/>
      <c r="TOR4" s="254"/>
      <c r="TOS4" s="254"/>
      <c r="TOT4" s="254"/>
      <c r="TOU4" s="254"/>
      <c r="TOV4" s="254"/>
      <c r="TOW4" s="254"/>
      <c r="TOX4" s="254"/>
      <c r="TOY4" s="254"/>
      <c r="TOZ4" s="254"/>
      <c r="TPA4" s="254"/>
      <c r="TPB4" s="254"/>
      <c r="TPC4" s="254"/>
      <c r="TPD4" s="254"/>
      <c r="TPE4" s="254"/>
      <c r="TPF4" s="254"/>
      <c r="TPG4" s="254"/>
      <c r="TPH4" s="254"/>
      <c r="TPI4" s="254"/>
      <c r="TPJ4" s="254"/>
      <c r="TPK4" s="254"/>
      <c r="TPL4" s="254"/>
      <c r="TPM4" s="254"/>
      <c r="TPN4" s="254"/>
      <c r="TPO4" s="254"/>
      <c r="TPP4" s="254"/>
      <c r="TPQ4" s="254"/>
      <c r="TPR4" s="254"/>
      <c r="TPS4" s="254"/>
      <c r="TPT4" s="254"/>
      <c r="TPU4" s="254"/>
      <c r="TPV4" s="254"/>
      <c r="TPW4" s="254"/>
      <c r="TPX4" s="254"/>
      <c r="TPY4" s="254"/>
      <c r="TPZ4" s="254"/>
      <c r="TQA4" s="254"/>
      <c r="TQB4" s="254"/>
      <c r="TQC4" s="254"/>
      <c r="TQD4" s="254"/>
      <c r="TQE4" s="254"/>
      <c r="TQF4" s="254"/>
      <c r="TQG4" s="254"/>
      <c r="TQH4" s="254"/>
      <c r="TQI4" s="254"/>
      <c r="TQJ4" s="254"/>
      <c r="TQK4" s="254"/>
      <c r="TQL4" s="254"/>
      <c r="TQM4" s="254"/>
      <c r="TQN4" s="254"/>
      <c r="TQO4" s="254"/>
      <c r="TQP4" s="254"/>
      <c r="TQQ4" s="254"/>
      <c r="TQR4" s="254"/>
      <c r="TQS4" s="254"/>
      <c r="TQT4" s="254"/>
      <c r="TQU4" s="254"/>
      <c r="TQV4" s="254"/>
      <c r="TQW4" s="254"/>
      <c r="TQX4" s="254"/>
      <c r="TQY4" s="254"/>
      <c r="TQZ4" s="254"/>
      <c r="TRA4" s="254"/>
      <c r="TRB4" s="254"/>
      <c r="TRC4" s="254"/>
      <c r="TRD4" s="254"/>
      <c r="TRE4" s="254"/>
      <c r="TRF4" s="254"/>
      <c r="TRG4" s="254"/>
      <c r="TRH4" s="254"/>
      <c r="TRI4" s="254"/>
      <c r="TRJ4" s="254"/>
      <c r="TRK4" s="254"/>
      <c r="TRL4" s="254"/>
      <c r="TRM4" s="254"/>
      <c r="TRN4" s="254"/>
      <c r="TRO4" s="254"/>
      <c r="TRP4" s="254"/>
      <c r="TRQ4" s="254"/>
      <c r="TRR4" s="254"/>
      <c r="TRS4" s="254"/>
      <c r="TRT4" s="254"/>
      <c r="TRU4" s="254"/>
      <c r="TRV4" s="254"/>
      <c r="TRW4" s="254"/>
      <c r="TRX4" s="254"/>
      <c r="TRY4" s="254"/>
      <c r="TRZ4" s="254"/>
      <c r="TSA4" s="254"/>
      <c r="TSB4" s="254"/>
      <c r="TSC4" s="254"/>
      <c r="TSD4" s="254"/>
      <c r="TSE4" s="254"/>
      <c r="TSF4" s="254"/>
      <c r="TSG4" s="254"/>
      <c r="TSH4" s="254"/>
      <c r="TSI4" s="254"/>
      <c r="TSJ4" s="254"/>
      <c r="TSK4" s="254"/>
      <c r="TSL4" s="254"/>
      <c r="TSM4" s="254"/>
      <c r="TSN4" s="254"/>
      <c r="TSO4" s="254"/>
      <c r="TSP4" s="254"/>
      <c r="TSQ4" s="254"/>
      <c r="TSR4" s="254"/>
      <c r="TSS4" s="254"/>
      <c r="TST4" s="254"/>
      <c r="TSU4" s="254"/>
      <c r="TSV4" s="254"/>
      <c r="TSW4" s="254"/>
      <c r="TSX4" s="254"/>
      <c r="TSY4" s="254"/>
      <c r="TSZ4" s="254"/>
      <c r="TTA4" s="254"/>
      <c r="TTB4" s="254"/>
      <c r="TTC4" s="254"/>
      <c r="TTD4" s="254"/>
      <c r="TTE4" s="254"/>
      <c r="TTF4" s="254"/>
      <c r="TTG4" s="254"/>
      <c r="TTH4" s="254"/>
      <c r="TTI4" s="254"/>
      <c r="TTJ4" s="254"/>
      <c r="TTK4" s="254"/>
      <c r="TTL4" s="254"/>
      <c r="TTM4" s="254"/>
      <c r="TTN4" s="254"/>
      <c r="TTO4" s="254"/>
      <c r="TTP4" s="254"/>
      <c r="TTQ4" s="254"/>
      <c r="TTR4" s="254"/>
      <c r="TTS4" s="254"/>
      <c r="TTT4" s="254"/>
      <c r="TTU4" s="254"/>
      <c r="TTV4" s="254"/>
      <c r="TTW4" s="254"/>
      <c r="TTX4" s="254"/>
      <c r="TTY4" s="254"/>
      <c r="TTZ4" s="254"/>
      <c r="TUA4" s="254"/>
      <c r="TUB4" s="254"/>
      <c r="TUC4" s="254"/>
      <c r="TUD4" s="254"/>
      <c r="TUE4" s="254"/>
      <c r="TUF4" s="254"/>
      <c r="TUG4" s="254"/>
      <c r="TUH4" s="254"/>
      <c r="TUI4" s="254"/>
      <c r="TUJ4" s="254"/>
      <c r="TUK4" s="254"/>
      <c r="TUL4" s="254"/>
      <c r="TUM4" s="254"/>
      <c r="TUN4" s="254"/>
      <c r="TUO4" s="254"/>
      <c r="TUP4" s="254"/>
      <c r="TUQ4" s="254"/>
      <c r="TUR4" s="254"/>
      <c r="TUS4" s="254"/>
      <c r="TUT4" s="254"/>
      <c r="TUU4" s="254"/>
      <c r="TUV4" s="254"/>
      <c r="TUW4" s="254"/>
      <c r="TUX4" s="254"/>
      <c r="TUY4" s="254"/>
      <c r="TUZ4" s="254"/>
      <c r="TVA4" s="254"/>
      <c r="TVB4" s="254"/>
      <c r="TVC4" s="254"/>
      <c r="TVD4" s="254"/>
      <c r="TVE4" s="254"/>
      <c r="TVF4" s="254"/>
      <c r="TVG4" s="254"/>
      <c r="TVH4" s="254"/>
      <c r="TVI4" s="254"/>
      <c r="TVJ4" s="254"/>
      <c r="TVK4" s="254"/>
      <c r="TVL4" s="254"/>
      <c r="TVM4" s="254"/>
      <c r="TVN4" s="254"/>
      <c r="TVO4" s="254"/>
      <c r="TVP4" s="254"/>
      <c r="TVQ4" s="254"/>
      <c r="TVR4" s="254"/>
      <c r="TVS4" s="254"/>
      <c r="TVT4" s="254"/>
      <c r="TVU4" s="254"/>
      <c r="TVV4" s="254"/>
      <c r="TVW4" s="254"/>
      <c r="TVX4" s="254"/>
      <c r="TVY4" s="254"/>
      <c r="TVZ4" s="254"/>
      <c r="TWA4" s="254"/>
      <c r="TWB4" s="254"/>
      <c r="TWC4" s="254"/>
      <c r="TWD4" s="254"/>
      <c r="TWE4" s="254"/>
      <c r="TWF4" s="254"/>
      <c r="TWG4" s="254"/>
      <c r="TWH4" s="254"/>
      <c r="TWI4" s="254"/>
      <c r="TWJ4" s="254"/>
      <c r="TWK4" s="254"/>
      <c r="TWL4" s="254"/>
      <c r="TWM4" s="254"/>
      <c r="TWN4" s="254"/>
      <c r="TWO4" s="254"/>
      <c r="TWP4" s="254"/>
      <c r="TWQ4" s="254"/>
      <c r="TWR4" s="254"/>
      <c r="TWS4" s="254"/>
      <c r="TWT4" s="254"/>
      <c r="TWU4" s="254"/>
      <c r="TWV4" s="254"/>
      <c r="TWW4" s="254"/>
      <c r="TWX4" s="254"/>
      <c r="TWY4" s="254"/>
      <c r="TWZ4" s="254"/>
      <c r="TXA4" s="254"/>
      <c r="TXB4" s="254"/>
      <c r="TXC4" s="254"/>
      <c r="TXD4" s="254"/>
      <c r="TXE4" s="254"/>
      <c r="TXF4" s="254"/>
      <c r="TXG4" s="254"/>
      <c r="TXH4" s="254"/>
      <c r="TXI4" s="254"/>
      <c r="TXJ4" s="254"/>
      <c r="TXK4" s="254"/>
      <c r="TXL4" s="254"/>
      <c r="TXM4" s="254"/>
      <c r="TXN4" s="254"/>
      <c r="TXO4" s="254"/>
      <c r="TXP4" s="254"/>
      <c r="TXQ4" s="254"/>
      <c r="TXR4" s="254"/>
      <c r="TXS4" s="254"/>
      <c r="TXT4" s="254"/>
      <c r="TXU4" s="254"/>
      <c r="TXV4" s="254"/>
      <c r="TXW4" s="254"/>
      <c r="TXX4" s="254"/>
      <c r="TXY4" s="254"/>
      <c r="TXZ4" s="254"/>
      <c r="TYA4" s="254"/>
      <c r="TYB4" s="254"/>
      <c r="TYC4" s="254"/>
      <c r="TYD4" s="254"/>
      <c r="TYE4" s="254"/>
      <c r="TYF4" s="254"/>
      <c r="TYG4" s="254"/>
      <c r="TYH4" s="254"/>
      <c r="TYI4" s="254"/>
      <c r="TYJ4" s="254"/>
      <c r="TYK4" s="254"/>
      <c r="TYL4" s="254"/>
      <c r="TYM4" s="254"/>
      <c r="TYN4" s="254"/>
      <c r="TYO4" s="254"/>
      <c r="TYP4" s="254"/>
      <c r="TYQ4" s="254"/>
      <c r="TYR4" s="254"/>
      <c r="TYS4" s="254"/>
      <c r="TYT4" s="254"/>
      <c r="TYU4" s="254"/>
      <c r="TYV4" s="254"/>
      <c r="TYW4" s="254"/>
      <c r="TYX4" s="254"/>
      <c r="TYY4" s="254"/>
      <c r="TYZ4" s="254"/>
      <c r="TZA4" s="254"/>
      <c r="TZB4" s="254"/>
      <c r="TZC4" s="254"/>
      <c r="TZD4" s="254"/>
      <c r="TZE4" s="254"/>
      <c r="TZF4" s="254"/>
      <c r="TZG4" s="254"/>
      <c r="TZH4" s="254"/>
      <c r="TZI4" s="254"/>
      <c r="TZJ4" s="254"/>
      <c r="TZK4" s="254"/>
      <c r="TZL4" s="254"/>
      <c r="TZM4" s="254"/>
      <c r="TZN4" s="254"/>
      <c r="TZO4" s="254"/>
      <c r="TZP4" s="254"/>
      <c r="TZQ4" s="254"/>
      <c r="TZR4" s="254"/>
      <c r="TZS4" s="254"/>
      <c r="TZT4" s="254"/>
      <c r="TZU4" s="254"/>
      <c r="TZV4" s="254"/>
      <c r="TZW4" s="254"/>
      <c r="TZX4" s="254"/>
      <c r="TZY4" s="254"/>
      <c r="TZZ4" s="254"/>
      <c r="UAA4" s="254"/>
      <c r="UAB4" s="254"/>
      <c r="UAC4" s="254"/>
      <c r="UAD4" s="254"/>
      <c r="UAE4" s="254"/>
      <c r="UAF4" s="254"/>
      <c r="UAG4" s="254"/>
      <c r="UAH4" s="254"/>
      <c r="UAI4" s="254"/>
      <c r="UAJ4" s="254"/>
      <c r="UAK4" s="254"/>
      <c r="UAL4" s="254"/>
      <c r="UAM4" s="254"/>
      <c r="UAN4" s="254"/>
      <c r="UAO4" s="254"/>
      <c r="UAP4" s="254"/>
      <c r="UAQ4" s="254"/>
      <c r="UAR4" s="254"/>
      <c r="UAS4" s="254"/>
      <c r="UAT4" s="254"/>
      <c r="UAU4" s="254"/>
      <c r="UAV4" s="254"/>
      <c r="UAW4" s="254"/>
      <c r="UAX4" s="254"/>
      <c r="UAY4" s="254"/>
      <c r="UAZ4" s="254"/>
      <c r="UBA4" s="254"/>
      <c r="UBB4" s="254"/>
      <c r="UBC4" s="254"/>
      <c r="UBD4" s="254"/>
      <c r="UBE4" s="254"/>
      <c r="UBF4" s="254"/>
      <c r="UBG4" s="254"/>
      <c r="UBH4" s="254"/>
      <c r="UBI4" s="254"/>
      <c r="UBJ4" s="254"/>
      <c r="UBK4" s="254"/>
      <c r="UBL4" s="254"/>
      <c r="UBM4" s="254"/>
      <c r="UBN4" s="254"/>
      <c r="UBO4" s="254"/>
      <c r="UBP4" s="254"/>
      <c r="UBQ4" s="254"/>
      <c r="UBR4" s="254"/>
      <c r="UBS4" s="254"/>
      <c r="UBT4" s="254"/>
      <c r="UBU4" s="254"/>
      <c r="UBV4" s="254"/>
      <c r="UBW4" s="254"/>
      <c r="UBX4" s="254"/>
      <c r="UBY4" s="254"/>
      <c r="UBZ4" s="254"/>
      <c r="UCA4" s="254"/>
      <c r="UCB4" s="254"/>
      <c r="UCC4" s="254"/>
      <c r="UCD4" s="254"/>
      <c r="UCE4" s="254"/>
      <c r="UCF4" s="254"/>
      <c r="UCG4" s="254"/>
      <c r="UCH4" s="254"/>
      <c r="UCI4" s="254"/>
      <c r="UCJ4" s="254"/>
      <c r="UCK4" s="254"/>
      <c r="UCL4" s="254"/>
      <c r="UCM4" s="254"/>
      <c r="UCN4" s="254"/>
      <c r="UCO4" s="254"/>
      <c r="UCP4" s="254"/>
      <c r="UCQ4" s="254"/>
      <c r="UCR4" s="254"/>
      <c r="UCS4" s="254"/>
      <c r="UCT4" s="254"/>
      <c r="UCU4" s="254"/>
      <c r="UCV4" s="254"/>
      <c r="UCW4" s="254"/>
      <c r="UCX4" s="254"/>
      <c r="UCY4" s="254"/>
      <c r="UCZ4" s="254"/>
      <c r="UDA4" s="254"/>
      <c r="UDB4" s="254"/>
      <c r="UDC4" s="254"/>
      <c r="UDD4" s="254"/>
      <c r="UDE4" s="254"/>
      <c r="UDF4" s="254"/>
      <c r="UDG4" s="254"/>
      <c r="UDH4" s="254"/>
      <c r="UDI4" s="254"/>
      <c r="UDJ4" s="254"/>
      <c r="UDK4" s="254"/>
      <c r="UDL4" s="254"/>
      <c r="UDM4" s="254"/>
      <c r="UDN4" s="254"/>
      <c r="UDO4" s="254"/>
      <c r="UDP4" s="254"/>
      <c r="UDQ4" s="254"/>
      <c r="UDR4" s="254"/>
      <c r="UDS4" s="254"/>
      <c r="UDT4" s="254"/>
      <c r="UDU4" s="254"/>
      <c r="UDV4" s="254"/>
      <c r="UDW4" s="254"/>
      <c r="UDX4" s="254"/>
      <c r="UDY4" s="254"/>
      <c r="UDZ4" s="254"/>
      <c r="UEA4" s="254"/>
      <c r="UEB4" s="254"/>
      <c r="UEC4" s="254"/>
      <c r="UED4" s="254"/>
      <c r="UEE4" s="254"/>
      <c r="UEF4" s="254"/>
      <c r="UEG4" s="254"/>
      <c r="UEH4" s="254"/>
      <c r="UEI4" s="254"/>
      <c r="UEJ4" s="254"/>
      <c r="UEK4" s="254"/>
      <c r="UEL4" s="254"/>
      <c r="UEM4" s="254"/>
      <c r="UEN4" s="254"/>
      <c r="UEO4" s="254"/>
      <c r="UEP4" s="254"/>
      <c r="UEQ4" s="254"/>
      <c r="UER4" s="254"/>
      <c r="UES4" s="254"/>
      <c r="UET4" s="254"/>
      <c r="UEU4" s="254"/>
      <c r="UEV4" s="254"/>
      <c r="UEW4" s="254"/>
      <c r="UEX4" s="254"/>
      <c r="UEY4" s="254"/>
      <c r="UEZ4" s="254"/>
      <c r="UFA4" s="254"/>
      <c r="UFB4" s="254"/>
      <c r="UFC4" s="254"/>
      <c r="UFD4" s="254"/>
      <c r="UFE4" s="254"/>
      <c r="UFF4" s="254"/>
      <c r="UFG4" s="254"/>
      <c r="UFH4" s="254"/>
      <c r="UFI4" s="254"/>
      <c r="UFJ4" s="254"/>
      <c r="UFK4" s="254"/>
      <c r="UFL4" s="254"/>
      <c r="UFM4" s="254"/>
      <c r="UFN4" s="254"/>
      <c r="UFO4" s="254"/>
      <c r="UFP4" s="254"/>
      <c r="UFQ4" s="254"/>
      <c r="UFR4" s="254"/>
      <c r="UFS4" s="254"/>
      <c r="UFT4" s="254"/>
      <c r="UFU4" s="254"/>
      <c r="UFV4" s="254"/>
      <c r="UFW4" s="254"/>
      <c r="UFX4" s="254"/>
      <c r="UFY4" s="254"/>
      <c r="UFZ4" s="254"/>
      <c r="UGA4" s="254"/>
      <c r="UGB4" s="254"/>
      <c r="UGC4" s="254"/>
      <c r="UGD4" s="254"/>
      <c r="UGE4" s="254"/>
      <c r="UGF4" s="254"/>
      <c r="UGG4" s="254"/>
      <c r="UGH4" s="254"/>
      <c r="UGI4" s="254"/>
      <c r="UGJ4" s="254"/>
      <c r="UGK4" s="254"/>
      <c r="UGL4" s="254"/>
      <c r="UGM4" s="254"/>
      <c r="UGN4" s="254"/>
      <c r="UGO4" s="254"/>
      <c r="UGP4" s="254"/>
      <c r="UGQ4" s="254"/>
      <c r="UGR4" s="254"/>
      <c r="UGS4" s="254"/>
      <c r="UGT4" s="254"/>
      <c r="UGU4" s="254"/>
      <c r="UGV4" s="254"/>
      <c r="UGW4" s="254"/>
      <c r="UGX4" s="254"/>
      <c r="UGY4" s="254"/>
      <c r="UGZ4" s="254"/>
      <c r="UHA4" s="254"/>
      <c r="UHB4" s="254"/>
      <c r="UHC4" s="254"/>
      <c r="UHD4" s="254"/>
      <c r="UHE4" s="254"/>
      <c r="UHF4" s="254"/>
      <c r="UHG4" s="254"/>
      <c r="UHH4" s="254"/>
      <c r="UHI4" s="254"/>
      <c r="UHJ4" s="254"/>
      <c r="UHK4" s="254"/>
      <c r="UHL4" s="254"/>
      <c r="UHM4" s="254"/>
      <c r="UHN4" s="254"/>
      <c r="UHO4" s="254"/>
      <c r="UHP4" s="254"/>
      <c r="UHQ4" s="254"/>
      <c r="UHR4" s="254"/>
      <c r="UHS4" s="254"/>
      <c r="UHT4" s="254"/>
      <c r="UHU4" s="254"/>
      <c r="UHV4" s="254"/>
      <c r="UHW4" s="254"/>
      <c r="UHX4" s="254"/>
      <c r="UHY4" s="254"/>
      <c r="UHZ4" s="254"/>
      <c r="UIA4" s="254"/>
      <c r="UIB4" s="254"/>
      <c r="UIC4" s="254"/>
      <c r="UID4" s="254"/>
      <c r="UIE4" s="254"/>
      <c r="UIF4" s="254"/>
      <c r="UIG4" s="254"/>
      <c r="UIH4" s="254"/>
      <c r="UII4" s="254"/>
      <c r="UIJ4" s="254"/>
      <c r="UIK4" s="254"/>
      <c r="UIL4" s="254"/>
      <c r="UIM4" s="254"/>
      <c r="UIN4" s="254"/>
      <c r="UIO4" s="254"/>
      <c r="UIP4" s="254"/>
      <c r="UIQ4" s="254"/>
      <c r="UIR4" s="254"/>
      <c r="UIS4" s="254"/>
      <c r="UIT4" s="254"/>
      <c r="UIU4" s="254"/>
      <c r="UIV4" s="254"/>
      <c r="UIW4" s="254"/>
      <c r="UIX4" s="254"/>
      <c r="UIY4" s="254"/>
      <c r="UIZ4" s="254"/>
      <c r="UJA4" s="254"/>
      <c r="UJB4" s="254"/>
      <c r="UJC4" s="254"/>
      <c r="UJD4" s="254"/>
      <c r="UJE4" s="254"/>
      <c r="UJF4" s="254"/>
      <c r="UJG4" s="254"/>
      <c r="UJH4" s="254"/>
      <c r="UJI4" s="254"/>
      <c r="UJJ4" s="254"/>
      <c r="UJK4" s="254"/>
      <c r="UJL4" s="254"/>
      <c r="UJM4" s="254"/>
      <c r="UJN4" s="254"/>
      <c r="UJO4" s="254"/>
      <c r="UJP4" s="254"/>
      <c r="UJQ4" s="254"/>
      <c r="UJR4" s="254"/>
      <c r="UJS4" s="254"/>
      <c r="UJT4" s="254"/>
      <c r="UJU4" s="254"/>
      <c r="UJV4" s="254"/>
      <c r="UJW4" s="254"/>
      <c r="UJX4" s="254"/>
      <c r="UJY4" s="254"/>
      <c r="UJZ4" s="254"/>
      <c r="UKA4" s="254"/>
      <c r="UKB4" s="254"/>
      <c r="UKC4" s="254"/>
      <c r="UKD4" s="254"/>
      <c r="UKE4" s="254"/>
      <c r="UKF4" s="254"/>
      <c r="UKG4" s="254"/>
      <c r="UKH4" s="254"/>
      <c r="UKI4" s="254"/>
      <c r="UKJ4" s="254"/>
      <c r="UKK4" s="254"/>
      <c r="UKL4" s="254"/>
      <c r="UKM4" s="254"/>
      <c r="UKN4" s="254"/>
      <c r="UKO4" s="254"/>
      <c r="UKP4" s="254"/>
      <c r="UKQ4" s="254"/>
      <c r="UKR4" s="254"/>
      <c r="UKS4" s="254"/>
      <c r="UKT4" s="254"/>
      <c r="UKU4" s="254"/>
      <c r="UKV4" s="254"/>
      <c r="UKW4" s="254"/>
      <c r="UKX4" s="254"/>
      <c r="UKY4" s="254"/>
      <c r="UKZ4" s="254"/>
      <c r="ULA4" s="254"/>
      <c r="ULB4" s="254"/>
      <c r="ULC4" s="254"/>
      <c r="ULD4" s="254"/>
      <c r="ULE4" s="254"/>
      <c r="ULF4" s="254"/>
      <c r="ULG4" s="254"/>
      <c r="ULH4" s="254"/>
      <c r="ULI4" s="254"/>
      <c r="ULJ4" s="254"/>
      <c r="ULK4" s="254"/>
      <c r="ULL4" s="254"/>
      <c r="ULM4" s="254"/>
      <c r="ULN4" s="254"/>
      <c r="ULO4" s="254"/>
      <c r="ULP4" s="254"/>
      <c r="ULQ4" s="254"/>
      <c r="ULR4" s="254"/>
      <c r="ULS4" s="254"/>
      <c r="ULT4" s="254"/>
      <c r="ULU4" s="254"/>
      <c r="ULV4" s="254"/>
      <c r="ULW4" s="254"/>
      <c r="ULX4" s="254"/>
      <c r="ULY4" s="254"/>
      <c r="ULZ4" s="254"/>
      <c r="UMA4" s="254"/>
      <c r="UMB4" s="254"/>
      <c r="UMC4" s="254"/>
      <c r="UMD4" s="254"/>
      <c r="UME4" s="254"/>
      <c r="UMF4" s="254"/>
      <c r="UMG4" s="254"/>
      <c r="UMH4" s="254"/>
      <c r="UMI4" s="254"/>
      <c r="UMJ4" s="254"/>
      <c r="UMK4" s="254"/>
      <c r="UML4" s="254"/>
      <c r="UMM4" s="254"/>
      <c r="UMN4" s="254"/>
      <c r="UMO4" s="254"/>
      <c r="UMP4" s="254"/>
      <c r="UMQ4" s="254"/>
      <c r="UMR4" s="254"/>
      <c r="UMS4" s="254"/>
      <c r="UMT4" s="254"/>
      <c r="UMU4" s="254"/>
      <c r="UMV4" s="254"/>
      <c r="UMW4" s="254"/>
      <c r="UMX4" s="254"/>
      <c r="UMY4" s="254"/>
      <c r="UMZ4" s="254"/>
      <c r="UNA4" s="254"/>
      <c r="UNB4" s="254"/>
      <c r="UNC4" s="254"/>
      <c r="UND4" s="254"/>
      <c r="UNE4" s="254"/>
      <c r="UNF4" s="254"/>
      <c r="UNG4" s="254"/>
      <c r="UNH4" s="254"/>
      <c r="UNI4" s="254"/>
      <c r="UNJ4" s="254"/>
      <c r="UNK4" s="254"/>
      <c r="UNL4" s="254"/>
      <c r="UNM4" s="254"/>
      <c r="UNN4" s="254"/>
      <c r="UNO4" s="254"/>
      <c r="UNP4" s="254"/>
      <c r="UNQ4" s="254"/>
      <c r="UNR4" s="254"/>
      <c r="UNS4" s="254"/>
      <c r="UNT4" s="254"/>
      <c r="UNU4" s="254"/>
      <c r="UNV4" s="254"/>
      <c r="UNW4" s="254"/>
      <c r="UNX4" s="254"/>
      <c r="UNY4" s="254"/>
      <c r="UNZ4" s="254"/>
      <c r="UOA4" s="254"/>
      <c r="UOB4" s="254"/>
      <c r="UOC4" s="254"/>
      <c r="UOD4" s="254"/>
      <c r="UOE4" s="254"/>
      <c r="UOF4" s="254"/>
      <c r="UOG4" s="254"/>
      <c r="UOH4" s="254"/>
      <c r="UOI4" s="254"/>
      <c r="UOJ4" s="254"/>
      <c r="UOK4" s="254"/>
      <c r="UOL4" s="254"/>
      <c r="UOM4" s="254"/>
      <c r="UON4" s="254"/>
      <c r="UOO4" s="254"/>
      <c r="UOP4" s="254"/>
      <c r="UOQ4" s="254"/>
      <c r="UOR4" s="254"/>
      <c r="UOS4" s="254"/>
      <c r="UOT4" s="254"/>
      <c r="UOU4" s="254"/>
      <c r="UOV4" s="254"/>
      <c r="UOW4" s="254"/>
      <c r="UOX4" s="254"/>
      <c r="UOY4" s="254"/>
      <c r="UOZ4" s="254"/>
      <c r="UPA4" s="254"/>
      <c r="UPB4" s="254"/>
      <c r="UPC4" s="254"/>
      <c r="UPD4" s="254"/>
      <c r="UPE4" s="254"/>
      <c r="UPF4" s="254"/>
      <c r="UPG4" s="254"/>
      <c r="UPH4" s="254"/>
      <c r="UPI4" s="254"/>
      <c r="UPJ4" s="254"/>
      <c r="UPK4" s="254"/>
      <c r="UPL4" s="254"/>
      <c r="UPM4" s="254"/>
      <c r="UPN4" s="254"/>
      <c r="UPO4" s="254"/>
      <c r="UPP4" s="254"/>
      <c r="UPQ4" s="254"/>
      <c r="UPR4" s="254"/>
      <c r="UPS4" s="254"/>
      <c r="UPT4" s="254"/>
      <c r="UPU4" s="254"/>
      <c r="UPV4" s="254"/>
      <c r="UPW4" s="254"/>
      <c r="UPX4" s="254"/>
      <c r="UPY4" s="254"/>
      <c r="UPZ4" s="254"/>
      <c r="UQA4" s="254"/>
      <c r="UQB4" s="254"/>
      <c r="UQC4" s="254"/>
      <c r="UQD4" s="254"/>
      <c r="UQE4" s="254"/>
      <c r="UQF4" s="254"/>
      <c r="UQG4" s="254"/>
      <c r="UQH4" s="254"/>
      <c r="UQI4" s="254"/>
      <c r="UQJ4" s="254"/>
      <c r="UQK4" s="254"/>
      <c r="UQL4" s="254"/>
      <c r="UQM4" s="254"/>
      <c r="UQN4" s="254"/>
      <c r="UQO4" s="254"/>
      <c r="UQP4" s="254"/>
      <c r="UQQ4" s="254"/>
      <c r="UQR4" s="254"/>
      <c r="UQS4" s="254"/>
      <c r="UQT4" s="254"/>
      <c r="UQU4" s="254"/>
      <c r="UQV4" s="254"/>
      <c r="UQW4" s="254"/>
      <c r="UQX4" s="254"/>
      <c r="UQY4" s="254"/>
      <c r="UQZ4" s="254"/>
      <c r="URA4" s="254"/>
      <c r="URB4" s="254"/>
      <c r="URC4" s="254"/>
      <c r="URD4" s="254"/>
      <c r="URE4" s="254"/>
      <c r="URF4" s="254"/>
      <c r="URG4" s="254"/>
      <c r="URH4" s="254"/>
      <c r="URI4" s="254"/>
      <c r="URJ4" s="254"/>
      <c r="URK4" s="254"/>
      <c r="URL4" s="254"/>
      <c r="URM4" s="254"/>
      <c r="URN4" s="254"/>
      <c r="URO4" s="254"/>
      <c r="URP4" s="254"/>
      <c r="URQ4" s="254"/>
      <c r="URR4" s="254"/>
      <c r="URS4" s="254"/>
      <c r="URT4" s="254"/>
      <c r="URU4" s="254"/>
      <c r="URV4" s="254"/>
      <c r="URW4" s="254"/>
      <c r="URX4" s="254"/>
      <c r="URY4" s="254"/>
      <c r="URZ4" s="254"/>
      <c r="USA4" s="254"/>
      <c r="USB4" s="254"/>
      <c r="USC4" s="254"/>
      <c r="USD4" s="254"/>
      <c r="USE4" s="254"/>
      <c r="USF4" s="254"/>
      <c r="USG4" s="254"/>
      <c r="USH4" s="254"/>
      <c r="USI4" s="254"/>
      <c r="USJ4" s="254"/>
      <c r="USK4" s="254"/>
      <c r="USL4" s="254"/>
      <c r="USM4" s="254"/>
      <c r="USN4" s="254"/>
      <c r="USO4" s="254"/>
      <c r="USP4" s="254"/>
      <c r="USQ4" s="254"/>
      <c r="USR4" s="254"/>
      <c r="USS4" s="254"/>
      <c r="UST4" s="254"/>
      <c r="USU4" s="254"/>
      <c r="USV4" s="254"/>
      <c r="USW4" s="254"/>
      <c r="USX4" s="254"/>
      <c r="USY4" s="254"/>
      <c r="USZ4" s="254"/>
      <c r="UTA4" s="254"/>
      <c r="UTB4" s="254"/>
      <c r="UTC4" s="254"/>
      <c r="UTD4" s="254"/>
      <c r="UTE4" s="254"/>
      <c r="UTF4" s="254"/>
      <c r="UTG4" s="254"/>
      <c r="UTH4" s="254"/>
      <c r="UTI4" s="254"/>
      <c r="UTJ4" s="254"/>
      <c r="UTK4" s="254"/>
      <c r="UTL4" s="254"/>
      <c r="UTM4" s="254"/>
      <c r="UTN4" s="254"/>
      <c r="UTO4" s="254"/>
      <c r="UTP4" s="254"/>
      <c r="UTQ4" s="254"/>
      <c r="UTR4" s="254"/>
      <c r="UTS4" s="254"/>
      <c r="UTT4" s="254"/>
      <c r="UTU4" s="254"/>
      <c r="UTV4" s="254"/>
      <c r="UTW4" s="254"/>
      <c r="UTX4" s="254"/>
      <c r="UTY4" s="254"/>
      <c r="UTZ4" s="254"/>
      <c r="UUA4" s="254"/>
      <c r="UUB4" s="254"/>
      <c r="UUC4" s="254"/>
      <c r="UUD4" s="254"/>
      <c r="UUE4" s="254"/>
      <c r="UUF4" s="254"/>
      <c r="UUG4" s="254"/>
      <c r="UUH4" s="254"/>
      <c r="UUI4" s="254"/>
      <c r="UUJ4" s="254"/>
      <c r="UUK4" s="254"/>
      <c r="UUL4" s="254"/>
      <c r="UUM4" s="254"/>
      <c r="UUN4" s="254"/>
      <c r="UUO4" s="254"/>
      <c r="UUP4" s="254"/>
      <c r="UUQ4" s="254"/>
      <c r="UUR4" s="254"/>
      <c r="UUS4" s="254"/>
      <c r="UUT4" s="254"/>
      <c r="UUU4" s="254"/>
      <c r="UUV4" s="254"/>
      <c r="UUW4" s="254"/>
      <c r="UUX4" s="254"/>
      <c r="UUY4" s="254"/>
      <c r="UUZ4" s="254"/>
      <c r="UVA4" s="254"/>
      <c r="UVB4" s="254"/>
      <c r="UVC4" s="254"/>
      <c r="UVD4" s="254"/>
      <c r="UVE4" s="254"/>
      <c r="UVF4" s="254"/>
      <c r="UVG4" s="254"/>
      <c r="UVH4" s="254"/>
      <c r="UVI4" s="254"/>
      <c r="UVJ4" s="254"/>
      <c r="UVK4" s="254"/>
      <c r="UVL4" s="254"/>
      <c r="UVM4" s="254"/>
      <c r="UVN4" s="254"/>
      <c r="UVO4" s="254"/>
      <c r="UVP4" s="254"/>
      <c r="UVQ4" s="254"/>
      <c r="UVR4" s="254"/>
      <c r="UVS4" s="254"/>
      <c r="UVT4" s="254"/>
      <c r="UVU4" s="254"/>
      <c r="UVV4" s="254"/>
      <c r="UVW4" s="254"/>
      <c r="UVX4" s="254"/>
      <c r="UVY4" s="254"/>
      <c r="UVZ4" s="254"/>
      <c r="UWA4" s="254"/>
      <c r="UWB4" s="254"/>
      <c r="UWC4" s="254"/>
      <c r="UWD4" s="254"/>
      <c r="UWE4" s="254"/>
      <c r="UWF4" s="254"/>
      <c r="UWG4" s="254"/>
      <c r="UWH4" s="254"/>
      <c r="UWI4" s="254"/>
      <c r="UWJ4" s="254"/>
      <c r="UWK4" s="254"/>
      <c r="UWL4" s="254"/>
      <c r="UWM4" s="254"/>
      <c r="UWN4" s="254"/>
      <c r="UWO4" s="254"/>
      <c r="UWP4" s="254"/>
      <c r="UWQ4" s="254"/>
      <c r="UWR4" s="254"/>
      <c r="UWS4" s="254"/>
      <c r="UWT4" s="254"/>
      <c r="UWU4" s="254"/>
      <c r="UWV4" s="254"/>
      <c r="UWW4" s="254"/>
      <c r="UWX4" s="254"/>
      <c r="UWY4" s="254"/>
      <c r="UWZ4" s="254"/>
      <c r="UXA4" s="254"/>
      <c r="UXB4" s="254"/>
      <c r="UXC4" s="254"/>
      <c r="UXD4" s="254"/>
      <c r="UXE4" s="254"/>
      <c r="UXF4" s="254"/>
      <c r="UXG4" s="254"/>
      <c r="UXH4" s="254"/>
      <c r="UXI4" s="254"/>
      <c r="UXJ4" s="254"/>
      <c r="UXK4" s="254"/>
      <c r="UXL4" s="254"/>
      <c r="UXM4" s="254"/>
      <c r="UXN4" s="254"/>
      <c r="UXO4" s="254"/>
      <c r="UXP4" s="254"/>
      <c r="UXQ4" s="254"/>
      <c r="UXR4" s="254"/>
      <c r="UXS4" s="254"/>
      <c r="UXT4" s="254"/>
      <c r="UXU4" s="254"/>
      <c r="UXV4" s="254"/>
      <c r="UXW4" s="254"/>
      <c r="UXX4" s="254"/>
      <c r="UXY4" s="254"/>
      <c r="UXZ4" s="254"/>
      <c r="UYA4" s="254"/>
      <c r="UYB4" s="254"/>
      <c r="UYC4" s="254"/>
      <c r="UYD4" s="254"/>
      <c r="UYE4" s="254"/>
      <c r="UYF4" s="254"/>
      <c r="UYG4" s="254"/>
      <c r="UYH4" s="254"/>
      <c r="UYI4" s="254"/>
      <c r="UYJ4" s="254"/>
      <c r="UYK4" s="254"/>
      <c r="UYL4" s="254"/>
      <c r="UYM4" s="254"/>
      <c r="UYN4" s="254"/>
      <c r="UYO4" s="254"/>
      <c r="UYP4" s="254"/>
      <c r="UYQ4" s="254"/>
      <c r="UYR4" s="254"/>
      <c r="UYS4" s="254"/>
      <c r="UYT4" s="254"/>
      <c r="UYU4" s="254"/>
      <c r="UYV4" s="254"/>
      <c r="UYW4" s="254"/>
      <c r="UYX4" s="254"/>
      <c r="UYY4" s="254"/>
      <c r="UYZ4" s="254"/>
      <c r="UZA4" s="254"/>
      <c r="UZB4" s="254"/>
      <c r="UZC4" s="254"/>
      <c r="UZD4" s="254"/>
      <c r="UZE4" s="254"/>
      <c r="UZF4" s="254"/>
      <c r="UZG4" s="254"/>
      <c r="UZH4" s="254"/>
      <c r="UZI4" s="254"/>
      <c r="UZJ4" s="254"/>
      <c r="UZK4" s="254"/>
      <c r="UZL4" s="254"/>
      <c r="UZM4" s="254"/>
      <c r="UZN4" s="254"/>
      <c r="UZO4" s="254"/>
      <c r="UZP4" s="254"/>
      <c r="UZQ4" s="254"/>
      <c r="UZR4" s="254"/>
      <c r="UZS4" s="254"/>
      <c r="UZT4" s="254"/>
      <c r="UZU4" s="254"/>
      <c r="UZV4" s="254"/>
      <c r="UZW4" s="254"/>
      <c r="UZX4" s="254"/>
      <c r="UZY4" s="254"/>
      <c r="UZZ4" s="254"/>
      <c r="VAA4" s="254"/>
      <c r="VAB4" s="254"/>
      <c r="VAC4" s="254"/>
      <c r="VAD4" s="254"/>
      <c r="VAE4" s="254"/>
      <c r="VAF4" s="254"/>
      <c r="VAG4" s="254"/>
      <c r="VAH4" s="254"/>
      <c r="VAI4" s="254"/>
      <c r="VAJ4" s="254"/>
      <c r="VAK4" s="254"/>
      <c r="VAL4" s="254"/>
      <c r="VAM4" s="254"/>
      <c r="VAN4" s="254"/>
      <c r="VAO4" s="254"/>
      <c r="VAP4" s="254"/>
      <c r="VAQ4" s="254"/>
      <c r="VAR4" s="254"/>
      <c r="VAS4" s="254"/>
      <c r="VAT4" s="254"/>
      <c r="VAU4" s="254"/>
      <c r="VAV4" s="254"/>
      <c r="VAW4" s="254"/>
      <c r="VAX4" s="254"/>
      <c r="VAY4" s="254"/>
      <c r="VAZ4" s="254"/>
      <c r="VBA4" s="254"/>
      <c r="VBB4" s="254"/>
      <c r="VBC4" s="254"/>
      <c r="VBD4" s="254"/>
      <c r="VBE4" s="254"/>
      <c r="VBF4" s="254"/>
      <c r="VBG4" s="254"/>
      <c r="VBH4" s="254"/>
      <c r="VBI4" s="254"/>
      <c r="VBJ4" s="254"/>
      <c r="VBK4" s="254"/>
      <c r="VBL4" s="254"/>
      <c r="VBM4" s="254"/>
      <c r="VBN4" s="254"/>
      <c r="VBO4" s="254"/>
      <c r="VBP4" s="254"/>
      <c r="VBQ4" s="254"/>
      <c r="VBR4" s="254"/>
      <c r="VBS4" s="254"/>
      <c r="VBT4" s="254"/>
      <c r="VBU4" s="254"/>
      <c r="VBV4" s="254"/>
      <c r="VBW4" s="254"/>
      <c r="VBX4" s="254"/>
      <c r="VBY4" s="254"/>
      <c r="VBZ4" s="254"/>
      <c r="VCA4" s="254"/>
      <c r="VCB4" s="254"/>
      <c r="VCC4" s="254"/>
      <c r="VCD4" s="254"/>
      <c r="VCE4" s="254"/>
      <c r="VCF4" s="254"/>
      <c r="VCG4" s="254"/>
      <c r="VCH4" s="254"/>
      <c r="VCI4" s="254"/>
      <c r="VCJ4" s="254"/>
      <c r="VCK4" s="254"/>
      <c r="VCL4" s="254"/>
      <c r="VCM4" s="254"/>
      <c r="VCN4" s="254"/>
      <c r="VCO4" s="254"/>
      <c r="VCP4" s="254"/>
      <c r="VCQ4" s="254"/>
      <c r="VCR4" s="254"/>
      <c r="VCS4" s="254"/>
      <c r="VCT4" s="254"/>
      <c r="VCU4" s="254"/>
      <c r="VCV4" s="254"/>
      <c r="VCW4" s="254"/>
      <c r="VCX4" s="254"/>
      <c r="VCY4" s="254"/>
      <c r="VCZ4" s="254"/>
      <c r="VDA4" s="254"/>
      <c r="VDB4" s="254"/>
      <c r="VDC4" s="254"/>
      <c r="VDD4" s="254"/>
      <c r="VDE4" s="254"/>
      <c r="VDF4" s="254"/>
      <c r="VDG4" s="254"/>
      <c r="VDH4" s="254"/>
      <c r="VDI4" s="254"/>
      <c r="VDJ4" s="254"/>
      <c r="VDK4" s="254"/>
      <c r="VDL4" s="254"/>
      <c r="VDM4" s="254"/>
      <c r="VDN4" s="254"/>
      <c r="VDO4" s="254"/>
      <c r="VDP4" s="254"/>
      <c r="VDQ4" s="254"/>
      <c r="VDR4" s="254"/>
      <c r="VDS4" s="254"/>
      <c r="VDT4" s="254"/>
      <c r="VDU4" s="254"/>
      <c r="VDV4" s="254"/>
      <c r="VDW4" s="254"/>
      <c r="VDX4" s="254"/>
      <c r="VDY4" s="254"/>
      <c r="VDZ4" s="254"/>
      <c r="VEA4" s="254"/>
      <c r="VEB4" s="254"/>
      <c r="VEC4" s="254"/>
      <c r="VED4" s="254"/>
      <c r="VEE4" s="254"/>
      <c r="VEF4" s="254"/>
      <c r="VEG4" s="254"/>
      <c r="VEH4" s="254"/>
      <c r="VEI4" s="254"/>
      <c r="VEJ4" s="254"/>
      <c r="VEK4" s="254"/>
      <c r="VEL4" s="254"/>
      <c r="VEM4" s="254"/>
      <c r="VEN4" s="254"/>
      <c r="VEO4" s="254"/>
      <c r="VEP4" s="254"/>
      <c r="VEQ4" s="254"/>
      <c r="VER4" s="254"/>
      <c r="VES4" s="254"/>
      <c r="VET4" s="254"/>
      <c r="VEU4" s="254"/>
      <c r="VEV4" s="254"/>
      <c r="VEW4" s="254"/>
      <c r="VEX4" s="254"/>
      <c r="VEY4" s="254"/>
      <c r="VEZ4" s="254"/>
      <c r="VFA4" s="254"/>
      <c r="VFB4" s="254"/>
      <c r="VFC4" s="254"/>
      <c r="VFD4" s="254"/>
      <c r="VFE4" s="254"/>
      <c r="VFF4" s="254"/>
      <c r="VFG4" s="254"/>
      <c r="VFH4" s="254"/>
      <c r="VFI4" s="254"/>
      <c r="VFJ4" s="254"/>
      <c r="VFK4" s="254"/>
      <c r="VFL4" s="254"/>
      <c r="VFM4" s="254"/>
      <c r="VFN4" s="254"/>
      <c r="VFO4" s="254"/>
      <c r="VFP4" s="254"/>
      <c r="VFQ4" s="254"/>
      <c r="VFR4" s="254"/>
      <c r="VFS4" s="254"/>
      <c r="VFT4" s="254"/>
      <c r="VFU4" s="254"/>
      <c r="VFV4" s="254"/>
      <c r="VFW4" s="254"/>
      <c r="VFX4" s="254"/>
      <c r="VFY4" s="254"/>
      <c r="VFZ4" s="254"/>
      <c r="VGA4" s="254"/>
      <c r="VGB4" s="254"/>
      <c r="VGC4" s="254"/>
      <c r="VGD4" s="254"/>
      <c r="VGE4" s="254"/>
      <c r="VGF4" s="254"/>
      <c r="VGG4" s="254"/>
      <c r="VGH4" s="254"/>
      <c r="VGI4" s="254"/>
      <c r="VGJ4" s="254"/>
      <c r="VGK4" s="254"/>
      <c r="VGL4" s="254"/>
      <c r="VGM4" s="254"/>
      <c r="VGN4" s="254"/>
      <c r="VGO4" s="254"/>
      <c r="VGP4" s="254"/>
      <c r="VGQ4" s="254"/>
      <c r="VGR4" s="254"/>
      <c r="VGS4" s="254"/>
      <c r="VGT4" s="254"/>
      <c r="VGU4" s="254"/>
      <c r="VGV4" s="254"/>
      <c r="VGW4" s="254"/>
      <c r="VGX4" s="254"/>
      <c r="VGY4" s="254"/>
      <c r="VGZ4" s="254"/>
      <c r="VHA4" s="254"/>
      <c r="VHB4" s="254"/>
      <c r="VHC4" s="254"/>
      <c r="VHD4" s="254"/>
      <c r="VHE4" s="254"/>
      <c r="VHF4" s="254"/>
      <c r="VHG4" s="254"/>
      <c r="VHH4" s="254"/>
      <c r="VHI4" s="254"/>
      <c r="VHJ4" s="254"/>
      <c r="VHK4" s="254"/>
      <c r="VHL4" s="254"/>
      <c r="VHM4" s="254"/>
      <c r="VHN4" s="254"/>
      <c r="VHO4" s="254"/>
      <c r="VHP4" s="254"/>
      <c r="VHQ4" s="254"/>
      <c r="VHR4" s="254"/>
      <c r="VHS4" s="254"/>
      <c r="VHT4" s="254"/>
      <c r="VHU4" s="254"/>
      <c r="VHV4" s="254"/>
      <c r="VHW4" s="254"/>
      <c r="VHX4" s="254"/>
      <c r="VHY4" s="254"/>
      <c r="VHZ4" s="254"/>
      <c r="VIA4" s="254"/>
      <c r="VIB4" s="254"/>
      <c r="VIC4" s="254"/>
      <c r="VID4" s="254"/>
      <c r="VIE4" s="254"/>
      <c r="VIF4" s="254"/>
      <c r="VIG4" s="254"/>
      <c r="VIH4" s="254"/>
      <c r="VII4" s="254"/>
      <c r="VIJ4" s="254"/>
      <c r="VIK4" s="254"/>
      <c r="VIL4" s="254"/>
      <c r="VIM4" s="254"/>
      <c r="VIN4" s="254"/>
      <c r="VIO4" s="254"/>
      <c r="VIP4" s="254"/>
      <c r="VIQ4" s="254"/>
      <c r="VIR4" s="254"/>
      <c r="VIS4" s="254"/>
      <c r="VIT4" s="254"/>
      <c r="VIU4" s="254"/>
      <c r="VIV4" s="254"/>
      <c r="VIW4" s="254"/>
      <c r="VIX4" s="254"/>
      <c r="VIY4" s="254"/>
      <c r="VIZ4" s="254"/>
      <c r="VJA4" s="254"/>
      <c r="VJB4" s="254"/>
      <c r="VJC4" s="254"/>
      <c r="VJD4" s="254"/>
      <c r="VJE4" s="254"/>
      <c r="VJF4" s="254"/>
      <c r="VJG4" s="254"/>
      <c r="VJH4" s="254"/>
      <c r="VJI4" s="254"/>
      <c r="VJJ4" s="254"/>
      <c r="VJK4" s="254"/>
      <c r="VJL4" s="254"/>
      <c r="VJM4" s="254"/>
      <c r="VJN4" s="254"/>
      <c r="VJO4" s="254"/>
      <c r="VJP4" s="254"/>
      <c r="VJQ4" s="254"/>
      <c r="VJR4" s="254"/>
      <c r="VJS4" s="254"/>
      <c r="VJT4" s="254"/>
      <c r="VJU4" s="254"/>
      <c r="VJV4" s="254"/>
      <c r="VJW4" s="254"/>
      <c r="VJX4" s="254"/>
      <c r="VJY4" s="254"/>
      <c r="VJZ4" s="254"/>
      <c r="VKA4" s="254"/>
      <c r="VKB4" s="254"/>
      <c r="VKC4" s="254"/>
      <c r="VKD4" s="254"/>
      <c r="VKE4" s="254"/>
      <c r="VKF4" s="254"/>
      <c r="VKG4" s="254"/>
      <c r="VKH4" s="254"/>
      <c r="VKI4" s="254"/>
      <c r="VKJ4" s="254"/>
      <c r="VKK4" s="254"/>
      <c r="VKL4" s="254"/>
      <c r="VKM4" s="254"/>
      <c r="VKN4" s="254"/>
      <c r="VKO4" s="254"/>
      <c r="VKP4" s="254"/>
      <c r="VKQ4" s="254"/>
      <c r="VKR4" s="254"/>
      <c r="VKS4" s="254"/>
      <c r="VKT4" s="254"/>
      <c r="VKU4" s="254"/>
      <c r="VKV4" s="254"/>
      <c r="VKW4" s="254"/>
      <c r="VKX4" s="254"/>
      <c r="VKY4" s="254"/>
      <c r="VKZ4" s="254"/>
      <c r="VLA4" s="254"/>
      <c r="VLB4" s="254"/>
      <c r="VLC4" s="254"/>
      <c r="VLD4" s="254"/>
      <c r="VLE4" s="254"/>
      <c r="VLF4" s="254"/>
      <c r="VLG4" s="254"/>
      <c r="VLH4" s="254"/>
      <c r="VLI4" s="254"/>
      <c r="VLJ4" s="254"/>
      <c r="VLK4" s="254"/>
      <c r="VLL4" s="254"/>
      <c r="VLM4" s="254"/>
      <c r="VLN4" s="254"/>
      <c r="VLO4" s="254"/>
      <c r="VLP4" s="254"/>
      <c r="VLQ4" s="254"/>
      <c r="VLR4" s="254"/>
      <c r="VLS4" s="254"/>
      <c r="VLT4" s="254"/>
      <c r="VLU4" s="254"/>
      <c r="VLV4" s="254"/>
      <c r="VLW4" s="254"/>
      <c r="VLX4" s="254"/>
      <c r="VLY4" s="254"/>
      <c r="VLZ4" s="254"/>
      <c r="VMA4" s="254"/>
      <c r="VMB4" s="254"/>
      <c r="VMC4" s="254"/>
      <c r="VMD4" s="254"/>
      <c r="VME4" s="254"/>
      <c r="VMF4" s="254"/>
      <c r="VMG4" s="254"/>
      <c r="VMH4" s="254"/>
      <c r="VMI4" s="254"/>
      <c r="VMJ4" s="254"/>
      <c r="VMK4" s="254"/>
      <c r="VML4" s="254"/>
      <c r="VMM4" s="254"/>
      <c r="VMN4" s="254"/>
      <c r="VMO4" s="254"/>
      <c r="VMP4" s="254"/>
      <c r="VMQ4" s="254"/>
      <c r="VMR4" s="254"/>
      <c r="VMS4" s="254"/>
      <c r="VMT4" s="254"/>
      <c r="VMU4" s="254"/>
      <c r="VMV4" s="254"/>
      <c r="VMW4" s="254"/>
      <c r="VMX4" s="254"/>
      <c r="VMY4" s="254"/>
      <c r="VMZ4" s="254"/>
      <c r="VNA4" s="254"/>
      <c r="VNB4" s="254"/>
      <c r="VNC4" s="254"/>
      <c r="VND4" s="254"/>
      <c r="VNE4" s="254"/>
      <c r="VNF4" s="254"/>
      <c r="VNG4" s="254"/>
      <c r="VNH4" s="254"/>
      <c r="VNI4" s="254"/>
      <c r="VNJ4" s="254"/>
      <c r="VNK4" s="254"/>
      <c r="VNL4" s="254"/>
      <c r="VNM4" s="254"/>
      <c r="VNN4" s="254"/>
      <c r="VNO4" s="254"/>
      <c r="VNP4" s="254"/>
      <c r="VNQ4" s="254"/>
      <c r="VNR4" s="254"/>
      <c r="VNS4" s="254"/>
      <c r="VNT4" s="254"/>
      <c r="VNU4" s="254"/>
      <c r="VNV4" s="254"/>
      <c r="VNW4" s="254"/>
      <c r="VNX4" s="254"/>
      <c r="VNY4" s="254"/>
      <c r="VNZ4" s="254"/>
      <c r="VOA4" s="254"/>
      <c r="VOB4" s="254"/>
      <c r="VOC4" s="254"/>
      <c r="VOD4" s="254"/>
      <c r="VOE4" s="254"/>
      <c r="VOF4" s="254"/>
      <c r="VOG4" s="254"/>
      <c r="VOH4" s="254"/>
      <c r="VOI4" s="254"/>
      <c r="VOJ4" s="254"/>
      <c r="VOK4" s="254"/>
      <c r="VOL4" s="254"/>
      <c r="VOM4" s="254"/>
      <c r="VON4" s="254"/>
      <c r="VOO4" s="254"/>
      <c r="VOP4" s="254"/>
      <c r="VOQ4" s="254"/>
      <c r="VOR4" s="254"/>
      <c r="VOS4" s="254"/>
      <c r="VOT4" s="254"/>
      <c r="VOU4" s="254"/>
      <c r="VOV4" s="254"/>
      <c r="VOW4" s="254"/>
      <c r="VOX4" s="254"/>
      <c r="VOY4" s="254"/>
      <c r="VOZ4" s="254"/>
      <c r="VPA4" s="254"/>
      <c r="VPB4" s="254"/>
      <c r="VPC4" s="254"/>
      <c r="VPD4" s="254"/>
      <c r="VPE4" s="254"/>
      <c r="VPF4" s="254"/>
      <c r="VPG4" s="254"/>
      <c r="VPH4" s="254"/>
      <c r="VPI4" s="254"/>
      <c r="VPJ4" s="254"/>
      <c r="VPK4" s="254"/>
      <c r="VPL4" s="254"/>
      <c r="VPM4" s="254"/>
      <c r="VPN4" s="254"/>
      <c r="VPO4" s="254"/>
      <c r="VPP4" s="254"/>
      <c r="VPQ4" s="254"/>
      <c r="VPR4" s="254"/>
      <c r="VPS4" s="254"/>
      <c r="VPT4" s="254"/>
      <c r="VPU4" s="254"/>
      <c r="VPV4" s="254"/>
      <c r="VPW4" s="254"/>
      <c r="VPX4" s="254"/>
      <c r="VPY4" s="254"/>
      <c r="VPZ4" s="254"/>
      <c r="VQA4" s="254"/>
      <c r="VQB4" s="254"/>
      <c r="VQC4" s="254"/>
      <c r="VQD4" s="254"/>
      <c r="VQE4" s="254"/>
      <c r="VQF4" s="254"/>
      <c r="VQG4" s="254"/>
      <c r="VQH4" s="254"/>
      <c r="VQI4" s="254"/>
      <c r="VQJ4" s="254"/>
      <c r="VQK4" s="254"/>
      <c r="VQL4" s="254"/>
      <c r="VQM4" s="254"/>
      <c r="VQN4" s="254"/>
      <c r="VQO4" s="254"/>
      <c r="VQP4" s="254"/>
      <c r="VQQ4" s="254"/>
      <c r="VQR4" s="254"/>
      <c r="VQS4" s="254"/>
      <c r="VQT4" s="254"/>
      <c r="VQU4" s="254"/>
      <c r="VQV4" s="254"/>
      <c r="VQW4" s="254"/>
      <c r="VQX4" s="254"/>
      <c r="VQY4" s="254"/>
      <c r="VQZ4" s="254"/>
      <c r="VRA4" s="254"/>
      <c r="VRB4" s="254"/>
      <c r="VRC4" s="254"/>
      <c r="VRD4" s="254"/>
      <c r="VRE4" s="254"/>
      <c r="VRF4" s="254"/>
      <c r="VRG4" s="254"/>
      <c r="VRH4" s="254"/>
      <c r="VRI4" s="254"/>
      <c r="VRJ4" s="254"/>
      <c r="VRK4" s="254"/>
      <c r="VRL4" s="254"/>
      <c r="VRM4" s="254"/>
      <c r="VRN4" s="254"/>
      <c r="VRO4" s="254"/>
      <c r="VRP4" s="254"/>
      <c r="VRQ4" s="254"/>
      <c r="VRR4" s="254"/>
      <c r="VRS4" s="254"/>
      <c r="VRT4" s="254"/>
      <c r="VRU4" s="254"/>
      <c r="VRV4" s="254"/>
      <c r="VRW4" s="254"/>
      <c r="VRX4" s="254"/>
      <c r="VRY4" s="254"/>
      <c r="VRZ4" s="254"/>
      <c r="VSA4" s="254"/>
      <c r="VSB4" s="254"/>
      <c r="VSC4" s="254"/>
      <c r="VSD4" s="254"/>
      <c r="VSE4" s="254"/>
      <c r="VSF4" s="254"/>
      <c r="VSG4" s="254"/>
      <c r="VSH4" s="254"/>
      <c r="VSI4" s="254"/>
      <c r="VSJ4" s="254"/>
      <c r="VSK4" s="254"/>
      <c r="VSL4" s="254"/>
      <c r="VSM4" s="254"/>
      <c r="VSN4" s="254"/>
      <c r="VSO4" s="254"/>
      <c r="VSP4" s="254"/>
      <c r="VSQ4" s="254"/>
      <c r="VSR4" s="254"/>
      <c r="VSS4" s="254"/>
      <c r="VST4" s="254"/>
      <c r="VSU4" s="254"/>
      <c r="VSV4" s="254"/>
      <c r="VSW4" s="254"/>
      <c r="VSX4" s="254"/>
      <c r="VSY4" s="254"/>
      <c r="VSZ4" s="254"/>
      <c r="VTA4" s="254"/>
      <c r="VTB4" s="254"/>
      <c r="VTC4" s="254"/>
      <c r="VTD4" s="254"/>
      <c r="VTE4" s="254"/>
      <c r="VTF4" s="254"/>
      <c r="VTG4" s="254"/>
      <c r="VTH4" s="254"/>
      <c r="VTI4" s="254"/>
      <c r="VTJ4" s="254"/>
      <c r="VTK4" s="254"/>
      <c r="VTL4" s="254"/>
      <c r="VTM4" s="254"/>
      <c r="VTN4" s="254"/>
      <c r="VTO4" s="254"/>
      <c r="VTP4" s="254"/>
      <c r="VTQ4" s="254"/>
      <c r="VTR4" s="254"/>
      <c r="VTS4" s="254"/>
      <c r="VTT4" s="254"/>
      <c r="VTU4" s="254"/>
      <c r="VTV4" s="254"/>
      <c r="VTW4" s="254"/>
      <c r="VTX4" s="254"/>
      <c r="VTY4" s="254"/>
      <c r="VTZ4" s="254"/>
      <c r="VUA4" s="254"/>
      <c r="VUB4" s="254"/>
      <c r="VUC4" s="254"/>
      <c r="VUD4" s="254"/>
      <c r="VUE4" s="254"/>
      <c r="VUF4" s="254"/>
      <c r="VUG4" s="254"/>
      <c r="VUH4" s="254"/>
      <c r="VUI4" s="254"/>
      <c r="VUJ4" s="254"/>
      <c r="VUK4" s="254"/>
      <c r="VUL4" s="254"/>
      <c r="VUM4" s="254"/>
      <c r="VUN4" s="254"/>
      <c r="VUO4" s="254"/>
      <c r="VUP4" s="254"/>
      <c r="VUQ4" s="254"/>
      <c r="VUR4" s="254"/>
      <c r="VUS4" s="254"/>
      <c r="VUT4" s="254"/>
      <c r="VUU4" s="254"/>
      <c r="VUV4" s="254"/>
      <c r="VUW4" s="254"/>
      <c r="VUX4" s="254"/>
      <c r="VUY4" s="254"/>
      <c r="VUZ4" s="254"/>
      <c r="VVA4" s="254"/>
      <c r="VVB4" s="254"/>
      <c r="VVC4" s="254"/>
      <c r="VVD4" s="254"/>
      <c r="VVE4" s="254"/>
      <c r="VVF4" s="254"/>
      <c r="VVG4" s="254"/>
      <c r="VVH4" s="254"/>
      <c r="VVI4" s="254"/>
      <c r="VVJ4" s="254"/>
      <c r="VVK4" s="254"/>
      <c r="VVL4" s="254"/>
      <c r="VVM4" s="254"/>
      <c r="VVN4" s="254"/>
      <c r="VVO4" s="254"/>
      <c r="VVP4" s="254"/>
      <c r="VVQ4" s="254"/>
      <c r="VVR4" s="254"/>
      <c r="VVS4" s="254"/>
      <c r="VVT4" s="254"/>
      <c r="VVU4" s="254"/>
      <c r="VVV4" s="254"/>
      <c r="VVW4" s="254"/>
      <c r="VVX4" s="254"/>
      <c r="VVY4" s="254"/>
      <c r="VVZ4" s="254"/>
      <c r="VWA4" s="254"/>
      <c r="VWB4" s="254"/>
      <c r="VWC4" s="254"/>
      <c r="VWD4" s="254"/>
      <c r="VWE4" s="254"/>
      <c r="VWF4" s="254"/>
      <c r="VWG4" s="254"/>
      <c r="VWH4" s="254"/>
      <c r="VWI4" s="254"/>
      <c r="VWJ4" s="254"/>
      <c r="VWK4" s="254"/>
      <c r="VWL4" s="254"/>
      <c r="VWM4" s="254"/>
      <c r="VWN4" s="254"/>
      <c r="VWO4" s="254"/>
      <c r="VWP4" s="254"/>
      <c r="VWQ4" s="254"/>
      <c r="VWR4" s="254"/>
      <c r="VWS4" s="254"/>
      <c r="VWT4" s="254"/>
      <c r="VWU4" s="254"/>
      <c r="VWV4" s="254"/>
      <c r="VWW4" s="254"/>
      <c r="VWX4" s="254"/>
      <c r="VWY4" s="254"/>
      <c r="VWZ4" s="254"/>
      <c r="VXA4" s="254"/>
      <c r="VXB4" s="254"/>
      <c r="VXC4" s="254"/>
      <c r="VXD4" s="254"/>
      <c r="VXE4" s="254"/>
      <c r="VXF4" s="254"/>
      <c r="VXG4" s="254"/>
      <c r="VXH4" s="254"/>
      <c r="VXI4" s="254"/>
      <c r="VXJ4" s="254"/>
      <c r="VXK4" s="254"/>
      <c r="VXL4" s="254"/>
      <c r="VXM4" s="254"/>
      <c r="VXN4" s="254"/>
      <c r="VXO4" s="254"/>
      <c r="VXP4" s="254"/>
      <c r="VXQ4" s="254"/>
      <c r="VXR4" s="254"/>
      <c r="VXS4" s="254"/>
      <c r="VXT4" s="254"/>
      <c r="VXU4" s="254"/>
      <c r="VXV4" s="254"/>
      <c r="VXW4" s="254"/>
      <c r="VXX4" s="254"/>
      <c r="VXY4" s="254"/>
      <c r="VXZ4" s="254"/>
      <c r="VYA4" s="254"/>
      <c r="VYB4" s="254"/>
      <c r="VYC4" s="254"/>
      <c r="VYD4" s="254"/>
      <c r="VYE4" s="254"/>
      <c r="VYF4" s="254"/>
      <c r="VYG4" s="254"/>
      <c r="VYH4" s="254"/>
      <c r="VYI4" s="254"/>
      <c r="VYJ4" s="254"/>
      <c r="VYK4" s="254"/>
      <c r="VYL4" s="254"/>
      <c r="VYM4" s="254"/>
      <c r="VYN4" s="254"/>
      <c r="VYO4" s="254"/>
      <c r="VYP4" s="254"/>
      <c r="VYQ4" s="254"/>
      <c r="VYR4" s="254"/>
      <c r="VYS4" s="254"/>
      <c r="VYT4" s="254"/>
      <c r="VYU4" s="254"/>
      <c r="VYV4" s="254"/>
      <c r="VYW4" s="254"/>
      <c r="VYX4" s="254"/>
      <c r="VYY4" s="254"/>
      <c r="VYZ4" s="254"/>
      <c r="VZA4" s="254"/>
      <c r="VZB4" s="254"/>
      <c r="VZC4" s="254"/>
      <c r="VZD4" s="254"/>
      <c r="VZE4" s="254"/>
      <c r="VZF4" s="254"/>
      <c r="VZG4" s="254"/>
      <c r="VZH4" s="254"/>
      <c r="VZI4" s="254"/>
      <c r="VZJ4" s="254"/>
      <c r="VZK4" s="254"/>
      <c r="VZL4" s="254"/>
      <c r="VZM4" s="254"/>
      <c r="VZN4" s="254"/>
      <c r="VZO4" s="254"/>
      <c r="VZP4" s="254"/>
      <c r="VZQ4" s="254"/>
      <c r="VZR4" s="254"/>
      <c r="VZS4" s="254"/>
      <c r="VZT4" s="254"/>
      <c r="VZU4" s="254"/>
      <c r="VZV4" s="254"/>
      <c r="VZW4" s="254"/>
      <c r="VZX4" s="254"/>
      <c r="VZY4" s="254"/>
      <c r="VZZ4" s="254"/>
      <c r="WAA4" s="254"/>
      <c r="WAB4" s="254"/>
      <c r="WAC4" s="254"/>
      <c r="WAD4" s="254"/>
      <c r="WAE4" s="254"/>
      <c r="WAF4" s="254"/>
      <c r="WAG4" s="254"/>
      <c r="WAH4" s="254"/>
      <c r="WAI4" s="254"/>
      <c r="WAJ4" s="254"/>
      <c r="WAK4" s="254"/>
      <c r="WAL4" s="254"/>
      <c r="WAM4" s="254"/>
      <c r="WAN4" s="254"/>
      <c r="WAO4" s="254"/>
      <c r="WAP4" s="254"/>
      <c r="WAQ4" s="254"/>
      <c r="WAR4" s="254"/>
      <c r="WAS4" s="254"/>
      <c r="WAT4" s="254"/>
      <c r="WAU4" s="254"/>
      <c r="WAV4" s="254"/>
      <c r="WAW4" s="254"/>
      <c r="WAX4" s="254"/>
      <c r="WAY4" s="254"/>
      <c r="WAZ4" s="254"/>
      <c r="WBA4" s="254"/>
      <c r="WBB4" s="254"/>
      <c r="WBC4" s="254"/>
      <c r="WBD4" s="254"/>
      <c r="WBE4" s="254"/>
      <c r="WBF4" s="254"/>
      <c r="WBG4" s="254"/>
      <c r="WBH4" s="254"/>
      <c r="WBI4" s="254"/>
      <c r="WBJ4" s="254"/>
      <c r="WBK4" s="254"/>
      <c r="WBL4" s="254"/>
      <c r="WBM4" s="254"/>
      <c r="WBN4" s="254"/>
      <c r="WBO4" s="254"/>
      <c r="WBP4" s="254"/>
      <c r="WBQ4" s="254"/>
      <c r="WBR4" s="254"/>
      <c r="WBS4" s="254"/>
      <c r="WBT4" s="254"/>
      <c r="WBU4" s="254"/>
      <c r="WBV4" s="254"/>
      <c r="WBW4" s="254"/>
      <c r="WBX4" s="254"/>
      <c r="WBY4" s="254"/>
      <c r="WBZ4" s="254"/>
      <c r="WCA4" s="254"/>
      <c r="WCB4" s="254"/>
      <c r="WCC4" s="254"/>
      <c r="WCD4" s="254"/>
      <c r="WCE4" s="254"/>
      <c r="WCF4" s="254"/>
      <c r="WCG4" s="254"/>
      <c r="WCH4" s="254"/>
      <c r="WCI4" s="254"/>
      <c r="WCJ4" s="254"/>
      <c r="WCK4" s="254"/>
      <c r="WCL4" s="254"/>
      <c r="WCM4" s="254"/>
      <c r="WCN4" s="254"/>
      <c r="WCO4" s="254"/>
      <c r="WCP4" s="254"/>
      <c r="WCQ4" s="254"/>
      <c r="WCR4" s="254"/>
      <c r="WCS4" s="254"/>
      <c r="WCT4" s="254"/>
      <c r="WCU4" s="254"/>
      <c r="WCV4" s="254"/>
      <c r="WCW4" s="254"/>
      <c r="WCX4" s="254"/>
      <c r="WCY4" s="254"/>
      <c r="WCZ4" s="254"/>
      <c r="WDA4" s="254"/>
      <c r="WDB4" s="254"/>
      <c r="WDC4" s="254"/>
      <c r="WDD4" s="254"/>
      <c r="WDE4" s="254"/>
      <c r="WDF4" s="254"/>
      <c r="WDG4" s="254"/>
      <c r="WDH4" s="254"/>
      <c r="WDI4" s="254"/>
      <c r="WDJ4" s="254"/>
      <c r="WDK4" s="254"/>
      <c r="WDL4" s="254"/>
      <c r="WDM4" s="254"/>
      <c r="WDN4" s="254"/>
      <c r="WDO4" s="254"/>
      <c r="WDP4" s="254"/>
      <c r="WDQ4" s="254"/>
      <c r="WDR4" s="254"/>
      <c r="WDS4" s="254"/>
      <c r="WDT4" s="254"/>
      <c r="WDU4" s="254"/>
      <c r="WDV4" s="254"/>
      <c r="WDW4" s="254"/>
      <c r="WDX4" s="254"/>
      <c r="WDY4" s="254"/>
      <c r="WDZ4" s="254"/>
      <c r="WEA4" s="254"/>
      <c r="WEB4" s="254"/>
      <c r="WEC4" s="254"/>
      <c r="WED4" s="254"/>
      <c r="WEE4" s="254"/>
      <c r="WEF4" s="254"/>
      <c r="WEG4" s="254"/>
      <c r="WEH4" s="254"/>
      <c r="WEI4" s="254"/>
      <c r="WEJ4" s="254"/>
      <c r="WEK4" s="254"/>
      <c r="WEL4" s="254"/>
      <c r="WEM4" s="254"/>
      <c r="WEN4" s="254"/>
      <c r="WEO4" s="254"/>
      <c r="WEP4" s="254"/>
      <c r="WEQ4" s="254"/>
      <c r="WER4" s="254"/>
      <c r="WES4" s="254"/>
      <c r="WET4" s="254"/>
      <c r="WEU4" s="254"/>
      <c r="WEV4" s="254"/>
      <c r="WEW4" s="254"/>
      <c r="WEX4" s="254"/>
      <c r="WEY4" s="254"/>
      <c r="WEZ4" s="254"/>
      <c r="WFA4" s="254"/>
      <c r="WFB4" s="254"/>
      <c r="WFC4" s="254"/>
      <c r="WFD4" s="254"/>
      <c r="WFE4" s="254"/>
      <c r="WFF4" s="254"/>
      <c r="WFG4" s="254"/>
      <c r="WFH4" s="254"/>
      <c r="WFI4" s="254"/>
      <c r="WFJ4" s="254"/>
      <c r="WFK4" s="254"/>
      <c r="WFL4" s="254"/>
      <c r="WFM4" s="254"/>
      <c r="WFN4" s="254"/>
      <c r="WFO4" s="254"/>
      <c r="WFP4" s="254"/>
      <c r="WFQ4" s="254"/>
      <c r="WFR4" s="254"/>
      <c r="WFS4" s="254"/>
      <c r="WFT4" s="254"/>
      <c r="WFU4" s="254"/>
      <c r="WFV4" s="254"/>
      <c r="WFW4" s="254"/>
      <c r="WFX4" s="254"/>
      <c r="WFY4" s="254"/>
      <c r="WFZ4" s="254"/>
      <c r="WGA4" s="254"/>
      <c r="WGB4" s="254"/>
      <c r="WGC4" s="254"/>
      <c r="WGD4" s="254"/>
      <c r="WGE4" s="254"/>
      <c r="WGF4" s="254"/>
      <c r="WGG4" s="254"/>
      <c r="WGH4" s="254"/>
      <c r="WGI4" s="254"/>
      <c r="WGJ4" s="254"/>
      <c r="WGK4" s="254"/>
      <c r="WGL4" s="254"/>
      <c r="WGM4" s="254"/>
      <c r="WGN4" s="254"/>
      <c r="WGO4" s="254"/>
      <c r="WGP4" s="254"/>
      <c r="WGQ4" s="254"/>
      <c r="WGR4" s="254"/>
      <c r="WGS4" s="254"/>
      <c r="WGT4" s="254"/>
      <c r="WGU4" s="254"/>
      <c r="WGV4" s="254"/>
      <c r="WGW4" s="254"/>
      <c r="WGX4" s="254"/>
      <c r="WGY4" s="254"/>
      <c r="WGZ4" s="254"/>
      <c r="WHA4" s="254"/>
      <c r="WHB4" s="254"/>
      <c r="WHC4" s="254"/>
      <c r="WHD4" s="254"/>
      <c r="WHE4" s="254"/>
      <c r="WHF4" s="254"/>
      <c r="WHG4" s="254"/>
      <c r="WHH4" s="254"/>
      <c r="WHI4" s="254"/>
      <c r="WHJ4" s="254"/>
      <c r="WHK4" s="254"/>
      <c r="WHL4" s="254"/>
      <c r="WHM4" s="254"/>
      <c r="WHN4" s="254"/>
      <c r="WHO4" s="254"/>
      <c r="WHP4" s="254"/>
      <c r="WHQ4" s="254"/>
      <c r="WHR4" s="254"/>
      <c r="WHS4" s="254"/>
      <c r="WHT4" s="254"/>
      <c r="WHU4" s="254"/>
      <c r="WHV4" s="254"/>
      <c r="WHW4" s="254"/>
      <c r="WHX4" s="254"/>
      <c r="WHY4" s="254"/>
      <c r="WHZ4" s="254"/>
      <c r="WIA4" s="254"/>
      <c r="WIB4" s="254"/>
      <c r="WIC4" s="254"/>
      <c r="WID4" s="254"/>
      <c r="WIE4" s="254"/>
      <c r="WIF4" s="254"/>
      <c r="WIG4" s="254"/>
      <c r="WIH4" s="254"/>
      <c r="WII4" s="254"/>
      <c r="WIJ4" s="254"/>
      <c r="WIK4" s="254"/>
      <c r="WIL4" s="254"/>
      <c r="WIM4" s="254"/>
      <c r="WIN4" s="254"/>
      <c r="WIO4" s="254"/>
      <c r="WIP4" s="254"/>
      <c r="WIQ4" s="254"/>
      <c r="WIR4" s="254"/>
      <c r="WIS4" s="254"/>
      <c r="WIT4" s="254"/>
      <c r="WIU4" s="254"/>
      <c r="WIV4" s="254"/>
      <c r="WIW4" s="254"/>
      <c r="WIX4" s="254"/>
      <c r="WIY4" s="254"/>
      <c r="WIZ4" s="254"/>
      <c r="WJA4" s="254"/>
      <c r="WJB4" s="254"/>
      <c r="WJC4" s="254"/>
      <c r="WJD4" s="254"/>
      <c r="WJE4" s="254"/>
      <c r="WJF4" s="254"/>
      <c r="WJG4" s="254"/>
      <c r="WJH4" s="254"/>
      <c r="WJI4" s="254"/>
      <c r="WJJ4" s="254"/>
      <c r="WJK4" s="254"/>
      <c r="WJL4" s="254"/>
      <c r="WJM4" s="254"/>
      <c r="WJN4" s="254"/>
      <c r="WJO4" s="254"/>
      <c r="WJP4" s="254"/>
      <c r="WJQ4" s="254"/>
      <c r="WJR4" s="254"/>
      <c r="WJS4" s="254"/>
      <c r="WJT4" s="254"/>
      <c r="WJU4" s="254"/>
      <c r="WJV4" s="254"/>
      <c r="WJW4" s="254"/>
      <c r="WJX4" s="254"/>
      <c r="WJY4" s="254"/>
      <c r="WJZ4" s="254"/>
      <c r="WKA4" s="254"/>
      <c r="WKB4" s="254"/>
      <c r="WKC4" s="254"/>
      <c r="WKD4" s="254"/>
      <c r="WKE4" s="254"/>
      <c r="WKF4" s="254"/>
      <c r="WKG4" s="254"/>
      <c r="WKH4" s="254"/>
      <c r="WKI4" s="254"/>
      <c r="WKJ4" s="254"/>
      <c r="WKK4" s="254"/>
      <c r="WKL4" s="254"/>
      <c r="WKM4" s="254"/>
      <c r="WKN4" s="254"/>
      <c r="WKO4" s="254"/>
      <c r="WKP4" s="254"/>
      <c r="WKQ4" s="254"/>
      <c r="WKR4" s="254"/>
      <c r="WKS4" s="254"/>
      <c r="WKT4" s="254"/>
      <c r="WKU4" s="254"/>
      <c r="WKV4" s="254"/>
      <c r="WKW4" s="254"/>
      <c r="WKX4" s="254"/>
      <c r="WKY4" s="254"/>
      <c r="WKZ4" s="254"/>
      <c r="WLA4" s="254"/>
      <c r="WLB4" s="254"/>
      <c r="WLC4" s="254"/>
      <c r="WLD4" s="254"/>
      <c r="WLE4" s="254"/>
      <c r="WLF4" s="254"/>
      <c r="WLG4" s="254"/>
      <c r="WLH4" s="254"/>
      <c r="WLI4" s="254"/>
      <c r="WLJ4" s="254"/>
      <c r="WLK4" s="254"/>
      <c r="WLL4" s="254"/>
      <c r="WLM4" s="254"/>
      <c r="WLN4" s="254"/>
      <c r="WLO4" s="254"/>
      <c r="WLP4" s="254"/>
      <c r="WLQ4" s="254"/>
      <c r="WLR4" s="254"/>
      <c r="WLS4" s="254"/>
      <c r="WLT4" s="254"/>
      <c r="WLU4" s="254"/>
      <c r="WLV4" s="254"/>
      <c r="WLW4" s="254"/>
      <c r="WLX4" s="254"/>
      <c r="WLY4" s="254"/>
      <c r="WLZ4" s="254"/>
      <c r="WMA4" s="254"/>
      <c r="WMB4" s="254"/>
      <c r="WMC4" s="254"/>
      <c r="WMD4" s="254"/>
      <c r="WME4" s="254"/>
      <c r="WMF4" s="254"/>
      <c r="WMG4" s="254"/>
      <c r="WMH4" s="254"/>
      <c r="WMI4" s="254"/>
      <c r="WMJ4" s="254"/>
      <c r="WMK4" s="254"/>
      <c r="WML4" s="254"/>
      <c r="WMM4" s="254"/>
      <c r="WMN4" s="254"/>
      <c r="WMO4" s="254"/>
      <c r="WMP4" s="254"/>
      <c r="WMQ4" s="254"/>
      <c r="WMR4" s="254"/>
      <c r="WMS4" s="254"/>
      <c r="WMT4" s="254"/>
      <c r="WMU4" s="254"/>
      <c r="WMV4" s="254"/>
      <c r="WMW4" s="254"/>
      <c r="WMX4" s="254"/>
      <c r="WMY4" s="254"/>
      <c r="WMZ4" s="254"/>
      <c r="WNA4" s="254"/>
      <c r="WNB4" s="254"/>
      <c r="WNC4" s="254"/>
      <c r="WND4" s="254"/>
      <c r="WNE4" s="254"/>
      <c r="WNF4" s="254"/>
      <c r="WNG4" s="254"/>
      <c r="WNH4" s="254"/>
      <c r="WNI4" s="254"/>
      <c r="WNJ4" s="254"/>
      <c r="WNK4" s="254"/>
      <c r="WNL4" s="254"/>
      <c r="WNM4" s="254"/>
      <c r="WNN4" s="254"/>
      <c r="WNO4" s="254"/>
      <c r="WNP4" s="254"/>
      <c r="WNQ4" s="254"/>
      <c r="WNR4" s="254"/>
      <c r="WNS4" s="254"/>
      <c r="WNT4" s="254"/>
      <c r="WNU4" s="254"/>
      <c r="WNV4" s="254"/>
      <c r="WNW4" s="254"/>
      <c r="WNX4" s="254"/>
      <c r="WNY4" s="254"/>
      <c r="WNZ4" s="254"/>
      <c r="WOA4" s="254"/>
      <c r="WOB4" s="254"/>
      <c r="WOC4" s="254"/>
      <c r="WOD4" s="254"/>
      <c r="WOE4" s="254"/>
      <c r="WOF4" s="254"/>
      <c r="WOG4" s="254"/>
      <c r="WOH4" s="254"/>
      <c r="WOI4" s="254"/>
      <c r="WOJ4" s="254"/>
      <c r="WOK4" s="254"/>
      <c r="WOL4" s="254"/>
      <c r="WOM4" s="254"/>
      <c r="WON4" s="254"/>
      <c r="WOO4" s="254"/>
      <c r="WOP4" s="254"/>
      <c r="WOQ4" s="254"/>
      <c r="WOR4" s="254"/>
      <c r="WOS4" s="254"/>
      <c r="WOT4" s="254"/>
      <c r="WOU4" s="254"/>
      <c r="WOV4" s="254"/>
      <c r="WOW4" s="254"/>
      <c r="WOX4" s="254"/>
      <c r="WOY4" s="254"/>
      <c r="WOZ4" s="254"/>
      <c r="WPA4" s="254"/>
      <c r="WPB4" s="254"/>
      <c r="WPC4" s="254"/>
      <c r="WPD4" s="254"/>
      <c r="WPE4" s="254"/>
      <c r="WPF4" s="254"/>
      <c r="WPG4" s="254"/>
      <c r="WPH4" s="254"/>
      <c r="WPI4" s="254"/>
      <c r="WPJ4" s="254"/>
      <c r="WPK4" s="254"/>
      <c r="WPL4" s="254"/>
      <c r="WPM4" s="254"/>
      <c r="WPN4" s="254"/>
      <c r="WPO4" s="254"/>
      <c r="WPP4" s="254"/>
      <c r="WPQ4" s="254"/>
      <c r="WPR4" s="254"/>
      <c r="WPS4" s="254"/>
      <c r="WPT4" s="254"/>
      <c r="WPU4" s="254"/>
      <c r="WPV4" s="254"/>
      <c r="WPW4" s="254"/>
      <c r="WPX4" s="254"/>
      <c r="WPY4" s="254"/>
      <c r="WPZ4" s="254"/>
      <c r="WQA4" s="254"/>
      <c r="WQB4" s="254"/>
      <c r="WQC4" s="254"/>
      <c r="WQD4" s="254"/>
      <c r="WQE4" s="254"/>
      <c r="WQF4" s="254"/>
      <c r="WQG4" s="254"/>
      <c r="WQH4" s="254"/>
      <c r="WQI4" s="254"/>
      <c r="WQJ4" s="254"/>
      <c r="WQK4" s="254"/>
      <c r="WQL4" s="254"/>
      <c r="WQM4" s="254"/>
      <c r="WQN4" s="254"/>
      <c r="WQO4" s="254"/>
      <c r="WQP4" s="254"/>
      <c r="WQQ4" s="254"/>
      <c r="WQR4" s="254"/>
      <c r="WQS4" s="254"/>
      <c r="WQT4" s="254"/>
      <c r="WQU4" s="254"/>
      <c r="WQV4" s="254"/>
      <c r="WQW4" s="254"/>
      <c r="WQX4" s="254"/>
      <c r="WQY4" s="254"/>
      <c r="WQZ4" s="254"/>
      <c r="WRA4" s="254"/>
      <c r="WRB4" s="254"/>
      <c r="WRC4" s="254"/>
      <c r="WRD4" s="254"/>
      <c r="WRE4" s="254"/>
      <c r="WRF4" s="254"/>
      <c r="WRG4" s="254"/>
      <c r="WRH4" s="254"/>
      <c r="WRI4" s="254"/>
      <c r="WRJ4" s="254"/>
      <c r="WRK4" s="254"/>
      <c r="WRL4" s="254"/>
      <c r="WRM4" s="254"/>
      <c r="WRN4" s="254"/>
      <c r="WRO4" s="254"/>
      <c r="WRP4" s="254"/>
      <c r="WRQ4" s="254"/>
      <c r="WRR4" s="254"/>
      <c r="WRS4" s="254"/>
      <c r="WRT4" s="254"/>
      <c r="WRU4" s="254"/>
      <c r="WRV4" s="254"/>
      <c r="WRW4" s="254"/>
      <c r="WRX4" s="254"/>
      <c r="WRY4" s="254"/>
      <c r="WRZ4" s="254"/>
      <c r="WSA4" s="254"/>
      <c r="WSB4" s="254"/>
      <c r="WSC4" s="254"/>
      <c r="WSD4" s="254"/>
      <c r="WSE4" s="254"/>
      <c r="WSF4" s="254"/>
      <c r="WSG4" s="254"/>
      <c r="WSH4" s="254"/>
      <c r="WSI4" s="254"/>
      <c r="WSJ4" s="254"/>
      <c r="WSK4" s="254"/>
      <c r="WSL4" s="254"/>
      <c r="WSM4" s="254"/>
      <c r="WSN4" s="254"/>
      <c r="WSO4" s="254"/>
      <c r="WSP4" s="254"/>
      <c r="WSQ4" s="254"/>
      <c r="WSR4" s="254"/>
      <c r="WSS4" s="254"/>
      <c r="WST4" s="254"/>
      <c r="WSU4" s="254"/>
      <c r="WSV4" s="254"/>
      <c r="WSW4" s="254"/>
      <c r="WSX4" s="254"/>
      <c r="WSY4" s="254"/>
      <c r="WSZ4" s="254"/>
      <c r="WTA4" s="254"/>
      <c r="WTB4" s="254"/>
      <c r="WTC4" s="254"/>
      <c r="WTD4" s="254"/>
      <c r="WTE4" s="254"/>
      <c r="WTF4" s="254"/>
      <c r="WTG4" s="254"/>
      <c r="WTH4" s="254"/>
      <c r="WTI4" s="254"/>
      <c r="WTJ4" s="254"/>
      <c r="WTK4" s="254"/>
      <c r="WTL4" s="254"/>
      <c r="WTM4" s="254"/>
      <c r="WTN4" s="254"/>
      <c r="WTO4" s="254"/>
      <c r="WTP4" s="254"/>
      <c r="WTQ4" s="254"/>
      <c r="WTR4" s="254"/>
      <c r="WTS4" s="254"/>
      <c r="WTT4" s="254"/>
      <c r="WTU4" s="254"/>
      <c r="WTV4" s="254"/>
      <c r="WTW4" s="254"/>
      <c r="WTX4" s="254"/>
      <c r="WTY4" s="254"/>
      <c r="WTZ4" s="254"/>
      <c r="WUA4" s="254"/>
      <c r="WUB4" s="254"/>
      <c r="WUC4" s="254"/>
      <c r="WUD4" s="254"/>
      <c r="WUE4" s="254"/>
      <c r="WUF4" s="254"/>
      <c r="WUG4" s="254"/>
      <c r="WUH4" s="254"/>
      <c r="WUI4" s="254"/>
      <c r="WUJ4" s="254"/>
      <c r="WUK4" s="254"/>
      <c r="WUL4" s="254"/>
      <c r="WUM4" s="254"/>
      <c r="WUN4" s="254"/>
      <c r="WUO4" s="254"/>
      <c r="WUP4" s="254"/>
      <c r="WUQ4" s="254"/>
      <c r="WUR4" s="254"/>
      <c r="WUS4" s="254"/>
      <c r="WUT4" s="254"/>
      <c r="WUU4" s="254"/>
      <c r="WUV4" s="254"/>
      <c r="WUW4" s="254"/>
      <c r="WUX4" s="254"/>
      <c r="WUY4" s="254"/>
      <c r="WUZ4" s="254"/>
      <c r="WVA4" s="254"/>
      <c r="WVB4" s="254"/>
      <c r="WVC4" s="254"/>
      <c r="WVD4" s="254"/>
      <c r="WVE4" s="254"/>
      <c r="WVF4" s="254"/>
      <c r="WVG4" s="254"/>
      <c r="WVH4" s="254"/>
      <c r="WVI4" s="254"/>
      <c r="WVJ4" s="254"/>
      <c r="WVK4" s="254"/>
      <c r="WVL4" s="254"/>
      <c r="WVM4" s="254"/>
      <c r="WVN4" s="254"/>
      <c r="WVO4" s="254"/>
      <c r="WVP4" s="254"/>
      <c r="WVQ4" s="254"/>
      <c r="WVR4" s="254"/>
      <c r="WVS4" s="254"/>
      <c r="WVT4" s="254"/>
      <c r="WVU4" s="254"/>
      <c r="WVV4" s="254"/>
      <c r="WVW4" s="254"/>
      <c r="WVX4" s="254"/>
      <c r="WVY4" s="254"/>
      <c r="WVZ4" s="254"/>
      <c r="WWA4" s="254"/>
      <c r="WWB4" s="254"/>
      <c r="WWC4" s="254"/>
      <c r="WWD4" s="254"/>
      <c r="WWE4" s="254"/>
      <c r="WWF4" s="254"/>
      <c r="WWG4" s="254"/>
      <c r="WWH4" s="254"/>
      <c r="WWI4" s="254"/>
      <c r="WWJ4" s="254"/>
      <c r="WWK4" s="254"/>
      <c r="WWL4" s="254"/>
      <c r="WWM4" s="254"/>
      <c r="WWN4" s="254"/>
      <c r="WWO4" s="254"/>
      <c r="WWP4" s="254"/>
      <c r="WWQ4" s="254"/>
      <c r="WWR4" s="254"/>
      <c r="WWS4" s="254"/>
      <c r="WWT4" s="254"/>
      <c r="WWU4" s="254"/>
      <c r="WWV4" s="254"/>
      <c r="WWW4" s="254"/>
      <c r="WWX4" s="254"/>
      <c r="WWY4" s="254"/>
      <c r="WWZ4" s="254"/>
      <c r="WXA4" s="254"/>
      <c r="WXB4" s="254"/>
      <c r="WXC4" s="254"/>
      <c r="WXD4" s="254"/>
      <c r="WXE4" s="254"/>
      <c r="WXF4" s="254"/>
      <c r="WXG4" s="254"/>
      <c r="WXH4" s="254"/>
      <c r="WXI4" s="254"/>
      <c r="WXJ4" s="254"/>
      <c r="WXK4" s="254"/>
      <c r="WXL4" s="254"/>
      <c r="WXM4" s="254"/>
      <c r="WXN4" s="254"/>
      <c r="WXO4" s="254"/>
      <c r="WXP4" s="254"/>
      <c r="WXQ4" s="254"/>
      <c r="WXR4" s="254"/>
      <c r="WXS4" s="254"/>
      <c r="WXT4" s="254"/>
      <c r="WXU4" s="254"/>
      <c r="WXV4" s="254"/>
      <c r="WXW4" s="254"/>
      <c r="WXX4" s="254"/>
      <c r="WXY4" s="254"/>
      <c r="WXZ4" s="254"/>
      <c r="WYA4" s="254"/>
      <c r="WYB4" s="254"/>
      <c r="WYC4" s="254"/>
      <c r="WYD4" s="254"/>
      <c r="WYE4" s="254"/>
      <c r="WYF4" s="254"/>
      <c r="WYG4" s="254"/>
      <c r="WYH4" s="254"/>
      <c r="WYI4" s="254"/>
      <c r="WYJ4" s="254"/>
      <c r="WYK4" s="254"/>
      <c r="WYL4" s="254"/>
      <c r="WYM4" s="254"/>
      <c r="WYN4" s="254"/>
      <c r="WYO4" s="254"/>
      <c r="WYP4" s="254"/>
      <c r="WYQ4" s="254"/>
      <c r="WYR4" s="254"/>
      <c r="WYS4" s="254"/>
      <c r="WYT4" s="254"/>
      <c r="WYU4" s="254"/>
      <c r="WYV4" s="254"/>
      <c r="WYW4" s="254"/>
      <c r="WYX4" s="254"/>
      <c r="WYY4" s="254"/>
      <c r="WYZ4" s="254"/>
      <c r="WZA4" s="254"/>
      <c r="WZB4" s="254"/>
      <c r="WZC4" s="254"/>
      <c r="WZD4" s="254"/>
      <c r="WZE4" s="254"/>
      <c r="WZF4" s="254"/>
      <c r="WZG4" s="254"/>
      <c r="WZH4" s="254"/>
      <c r="WZI4" s="254"/>
      <c r="WZJ4" s="254"/>
      <c r="WZK4" s="254"/>
      <c r="WZL4" s="254"/>
      <c r="WZM4" s="254"/>
      <c r="WZN4" s="254"/>
      <c r="WZO4" s="254"/>
      <c r="WZP4" s="254"/>
      <c r="WZQ4" s="254"/>
      <c r="WZR4" s="254"/>
      <c r="WZS4" s="254"/>
      <c r="WZT4" s="254"/>
      <c r="WZU4" s="254"/>
      <c r="WZV4" s="254"/>
      <c r="WZW4" s="254"/>
      <c r="WZX4" s="254"/>
      <c r="WZY4" s="254"/>
      <c r="WZZ4" s="254"/>
      <c r="XAA4" s="254"/>
      <c r="XAB4" s="254"/>
      <c r="XAC4" s="254"/>
      <c r="XAD4" s="254"/>
      <c r="XAE4" s="254"/>
      <c r="XAF4" s="254"/>
      <c r="XAG4" s="254"/>
      <c r="XAH4" s="254"/>
      <c r="XAI4" s="254"/>
      <c r="XAJ4" s="254"/>
      <c r="XAK4" s="254"/>
      <c r="XAL4" s="254"/>
      <c r="XAM4" s="254"/>
      <c r="XAN4" s="254"/>
      <c r="XAO4" s="254"/>
      <c r="XAP4" s="254"/>
      <c r="XAQ4" s="254"/>
      <c r="XAR4" s="254"/>
      <c r="XAS4" s="254"/>
      <c r="XAT4" s="254"/>
      <c r="XAU4" s="254"/>
      <c r="XAV4" s="254"/>
      <c r="XAW4" s="254"/>
      <c r="XAX4" s="254"/>
      <c r="XAY4" s="254"/>
      <c r="XAZ4" s="254"/>
      <c r="XBA4" s="254"/>
      <c r="XBB4" s="254"/>
      <c r="XBC4" s="254"/>
      <c r="XBD4" s="254"/>
      <c r="XBE4" s="254"/>
      <c r="XBF4" s="254"/>
      <c r="XBG4" s="254"/>
      <c r="XBH4" s="254"/>
      <c r="XBI4" s="254"/>
      <c r="XBJ4" s="254"/>
      <c r="XBK4" s="254"/>
      <c r="XBL4" s="254"/>
      <c r="XBM4" s="254"/>
      <c r="XBN4" s="254"/>
      <c r="XBO4" s="254"/>
      <c r="XBP4" s="254"/>
      <c r="XBQ4" s="254"/>
      <c r="XBR4" s="254"/>
      <c r="XBS4" s="254"/>
      <c r="XBT4" s="254"/>
      <c r="XBU4" s="254"/>
      <c r="XBV4" s="254"/>
      <c r="XBW4" s="254"/>
      <c r="XBX4" s="254"/>
      <c r="XBY4" s="254"/>
      <c r="XBZ4" s="254"/>
      <c r="XCA4" s="254"/>
      <c r="XCB4" s="254"/>
      <c r="XCC4" s="254"/>
      <c r="XCD4" s="254"/>
      <c r="XCE4" s="254"/>
      <c r="XCF4" s="254"/>
      <c r="XCG4" s="254"/>
      <c r="XCH4" s="254"/>
      <c r="XCI4" s="254"/>
      <c r="XCJ4" s="254"/>
      <c r="XCK4" s="254"/>
      <c r="XCL4" s="254"/>
      <c r="XCM4" s="254"/>
      <c r="XCN4" s="254"/>
      <c r="XCO4" s="254"/>
      <c r="XCP4" s="254"/>
      <c r="XCQ4" s="254"/>
      <c r="XCR4" s="254"/>
      <c r="XCS4" s="254"/>
      <c r="XCT4" s="254"/>
      <c r="XCU4" s="254"/>
      <c r="XCV4" s="254"/>
      <c r="XCW4" s="254"/>
      <c r="XCX4" s="254"/>
      <c r="XCY4" s="254"/>
      <c r="XCZ4" s="254"/>
      <c r="XDA4" s="254"/>
      <c r="XDB4" s="254"/>
      <c r="XDC4" s="254"/>
      <c r="XDD4" s="254"/>
      <c r="XDE4" s="254"/>
      <c r="XDF4" s="254"/>
      <c r="XDG4" s="254"/>
      <c r="XDH4" s="254"/>
      <c r="XDI4" s="254"/>
      <c r="XDJ4" s="254"/>
      <c r="XDK4" s="254"/>
      <c r="XDL4" s="254"/>
      <c r="XDM4" s="254"/>
      <c r="XDN4" s="254"/>
      <c r="XDO4" s="254"/>
      <c r="XDP4" s="254"/>
      <c r="XDQ4" s="254"/>
      <c r="XDR4" s="254"/>
      <c r="XDS4" s="254"/>
      <c r="XDT4" s="254"/>
      <c r="XDU4" s="254"/>
      <c r="XDV4" s="254"/>
      <c r="XDW4" s="254"/>
      <c r="XDX4" s="254"/>
      <c r="XDY4" s="254"/>
      <c r="XDZ4" s="254"/>
      <c r="XEA4" s="254"/>
      <c r="XEB4" s="254"/>
      <c r="XEC4" s="254"/>
      <c r="XED4" s="254"/>
      <c r="XEE4" s="254"/>
      <c r="XEF4" s="254"/>
      <c r="XEG4" s="254"/>
      <c r="XEH4" s="254"/>
      <c r="XEI4" s="254"/>
      <c r="XEJ4" s="254"/>
      <c r="XEK4" s="254"/>
      <c r="XEL4" s="254"/>
      <c r="XEM4" s="254"/>
      <c r="XEN4" s="254"/>
      <c r="XEO4" s="254"/>
      <c r="XEP4" s="254"/>
      <c r="XEQ4" s="254"/>
      <c r="XER4" s="254"/>
      <c r="XES4" s="254"/>
      <c r="XET4" s="254"/>
      <c r="XEU4" s="254"/>
    </row>
    <row r="5" spans="1:16375" ht="1.5" customHeight="1" x14ac:dyDescent="0.25">
      <c r="A5" s="45"/>
      <c r="B5" s="45"/>
      <c r="C5" s="45"/>
      <c r="D5" s="23"/>
      <c r="E5" s="254"/>
      <c r="F5" s="45"/>
      <c r="G5" s="23"/>
    </row>
    <row r="6" spans="1:16375" ht="21" customHeight="1" x14ac:dyDescent="0.25">
      <c r="A6" s="45"/>
      <c r="B6" s="707" t="s">
        <v>47</v>
      </c>
      <c r="C6" s="708"/>
      <c r="D6" s="708"/>
      <c r="E6" s="708"/>
      <c r="F6" s="708"/>
    </row>
    <row r="7" spans="1:16375" ht="77.25" customHeight="1" x14ac:dyDescent="0.25">
      <c r="A7" s="45"/>
      <c r="B7" s="249"/>
      <c r="C7" s="702" t="s">
        <v>926</v>
      </c>
      <c r="D7" s="702"/>
      <c r="E7" s="702"/>
      <c r="F7" s="703"/>
      <c r="G7" s="45"/>
    </row>
    <row r="8" spans="1:16375" ht="12.75" customHeight="1" x14ac:dyDescent="0.25">
      <c r="A8" s="45"/>
      <c r="B8" s="246"/>
      <c r="C8" s="247"/>
      <c r="D8" s="247"/>
      <c r="E8" s="254"/>
      <c r="F8" s="639"/>
      <c r="G8" s="45"/>
    </row>
    <row r="9" spans="1:16375" ht="58.9" customHeight="1" x14ac:dyDescent="0.25">
      <c r="A9" s="45"/>
      <c r="B9" s="249"/>
      <c r="C9" s="702" t="s">
        <v>977</v>
      </c>
      <c r="D9" s="702"/>
      <c r="E9" s="702"/>
      <c r="F9" s="703"/>
      <c r="G9" s="45"/>
    </row>
    <row r="10" spans="1:16375" ht="11.1" customHeight="1" x14ac:dyDescent="0.25">
      <c r="A10" s="45"/>
      <c r="B10" s="45"/>
      <c r="C10" s="45"/>
      <c r="D10" s="45"/>
      <c r="E10" s="254"/>
      <c r="F10" s="246"/>
      <c r="G10" s="45"/>
    </row>
    <row r="11" spans="1:16375" ht="55.15" customHeight="1" x14ac:dyDescent="0.25">
      <c r="A11" s="45"/>
      <c r="B11" s="249"/>
      <c r="C11" s="702" t="s">
        <v>978</v>
      </c>
      <c r="D11" s="702"/>
      <c r="E11" s="702"/>
      <c r="F11" s="703"/>
      <c r="G11" s="246"/>
    </row>
    <row r="12" spans="1:16375" ht="11.1" customHeight="1" x14ac:dyDescent="0.25">
      <c r="A12" s="45"/>
      <c r="B12" s="45"/>
      <c r="C12" s="45"/>
      <c r="D12" s="45"/>
      <c r="E12" s="45"/>
      <c r="F12" s="639"/>
      <c r="G12" s="45"/>
    </row>
    <row r="13" spans="1:16375" ht="56.45" customHeight="1" x14ac:dyDescent="0.25">
      <c r="A13" s="45"/>
      <c r="B13" s="249"/>
      <c r="C13" s="702" t="s">
        <v>906</v>
      </c>
      <c r="D13" s="702"/>
      <c r="E13" s="702"/>
      <c r="F13" s="703"/>
      <c r="G13" s="247"/>
    </row>
    <row r="14" spans="1:16375" ht="11.1" customHeight="1" x14ac:dyDescent="0.25">
      <c r="A14" s="45"/>
      <c r="B14" s="45"/>
      <c r="C14" s="45"/>
      <c r="D14" s="45"/>
      <c r="E14" s="254"/>
      <c r="F14" s="639"/>
      <c r="G14" s="45"/>
    </row>
    <row r="15" spans="1:16375" ht="68.45" customHeight="1" x14ac:dyDescent="0.25">
      <c r="A15" s="45"/>
      <c r="B15" s="249"/>
      <c r="C15" s="702" t="s">
        <v>917</v>
      </c>
      <c r="D15" s="702"/>
      <c r="E15" s="702"/>
      <c r="F15" s="703"/>
      <c r="G15" s="247"/>
    </row>
    <row r="16" spans="1:16375" ht="11.1" customHeight="1" x14ac:dyDescent="0.25">
      <c r="A16" s="45"/>
      <c r="B16" s="45"/>
      <c r="C16" s="45"/>
      <c r="D16" s="45"/>
      <c r="E16" s="254"/>
      <c r="F16" s="639"/>
      <c r="G16" s="45"/>
    </row>
    <row r="17" spans="1:7" ht="81.75" customHeight="1" x14ac:dyDescent="0.25">
      <c r="A17" s="45"/>
      <c r="B17" s="249"/>
      <c r="C17" s="702" t="s">
        <v>907</v>
      </c>
      <c r="D17" s="702"/>
      <c r="E17" s="702"/>
      <c r="F17" s="703"/>
      <c r="G17" s="247"/>
    </row>
    <row r="18" spans="1:7" ht="11.1" customHeight="1" x14ac:dyDescent="0.25">
      <c r="A18" s="45"/>
      <c r="B18" s="45"/>
      <c r="C18" s="45"/>
      <c r="D18" s="45"/>
      <c r="E18" s="254"/>
      <c r="F18" s="248"/>
      <c r="G18" s="45"/>
    </row>
    <row r="19" spans="1:7" ht="50.25" customHeight="1" x14ac:dyDescent="0.25">
      <c r="A19" s="45"/>
      <c r="B19" s="249"/>
      <c r="C19" s="702" t="s">
        <v>908</v>
      </c>
      <c r="D19" s="702"/>
      <c r="E19" s="702"/>
      <c r="F19" s="703"/>
      <c r="G19" s="247"/>
    </row>
    <row r="20" spans="1:7" ht="11.1" customHeight="1" x14ac:dyDescent="0.25">
      <c r="A20" s="45"/>
      <c r="B20" s="45"/>
      <c r="C20" s="45"/>
      <c r="E20" s="254"/>
      <c r="F20" s="248"/>
      <c r="G20" s="45"/>
    </row>
    <row r="21" spans="1:7" ht="155.25" customHeight="1" x14ac:dyDescent="0.25">
      <c r="A21" s="45"/>
      <c r="B21" s="47"/>
      <c r="C21" s="697" t="s">
        <v>909</v>
      </c>
      <c r="D21" s="697"/>
      <c r="E21" s="697"/>
      <c r="F21" s="698"/>
      <c r="G21" s="247"/>
    </row>
    <row r="22" spans="1:7" ht="11.1" customHeight="1" x14ac:dyDescent="0.25">
      <c r="A22" s="45"/>
      <c r="B22" s="45"/>
      <c r="C22" s="45"/>
      <c r="E22" s="254"/>
      <c r="F22" s="247"/>
      <c r="G22" s="247"/>
    </row>
    <row r="23" spans="1:7" ht="65.25" customHeight="1" x14ac:dyDescent="0.25">
      <c r="A23" s="45"/>
      <c r="B23" s="47"/>
      <c r="C23" s="701" t="s">
        <v>955</v>
      </c>
      <c r="D23" s="699"/>
      <c r="E23" s="699"/>
      <c r="F23" s="700"/>
      <c r="G23" s="247"/>
    </row>
    <row r="24" spans="1:7" ht="11.1" customHeight="1" x14ac:dyDescent="0.25">
      <c r="A24" s="45"/>
      <c r="B24" s="45"/>
      <c r="C24" s="45"/>
      <c r="E24" s="254"/>
      <c r="F24" s="247"/>
      <c r="G24" s="247"/>
    </row>
    <row r="25" spans="1:7" ht="39.950000000000003" customHeight="1" x14ac:dyDescent="0.25">
      <c r="A25" s="45"/>
      <c r="B25" s="47"/>
      <c r="C25" s="697" t="s">
        <v>918</v>
      </c>
      <c r="D25" s="697"/>
      <c r="E25" s="697"/>
      <c r="F25" s="698"/>
      <c r="G25" s="247"/>
    </row>
    <row r="26" spans="1:7" ht="11.1" customHeight="1" x14ac:dyDescent="0.25">
      <c r="A26" s="45"/>
      <c r="B26" s="45"/>
      <c r="C26" s="45"/>
      <c r="E26" s="254"/>
      <c r="F26" s="247"/>
      <c r="G26" s="247"/>
    </row>
    <row r="27" spans="1:7" ht="168" customHeight="1" x14ac:dyDescent="0.25">
      <c r="A27" s="45"/>
      <c r="B27" s="47"/>
      <c r="C27" s="697" t="s">
        <v>949</v>
      </c>
      <c r="D27" s="697"/>
      <c r="E27" s="697"/>
      <c r="F27" s="698"/>
      <c r="G27" s="247"/>
    </row>
    <row r="28" spans="1:7" ht="11.1" customHeight="1" x14ac:dyDescent="0.25">
      <c r="A28" s="45"/>
      <c r="B28" s="45"/>
      <c r="C28" s="45"/>
      <c r="E28" s="254"/>
      <c r="F28" s="255"/>
      <c r="G28" s="247"/>
    </row>
    <row r="29" spans="1:7" ht="85.5" customHeight="1" x14ac:dyDescent="0.25">
      <c r="A29" s="45"/>
      <c r="B29" s="47"/>
      <c r="C29" s="697" t="s">
        <v>927</v>
      </c>
      <c r="D29" s="697"/>
      <c r="E29" s="697"/>
      <c r="F29" s="698"/>
      <c r="G29" s="247"/>
    </row>
    <row r="30" spans="1:7" ht="11.1" customHeight="1" x14ac:dyDescent="0.25">
      <c r="A30" s="45"/>
      <c r="B30" s="45"/>
      <c r="C30" s="45"/>
      <c r="E30" s="254"/>
      <c r="F30" s="45"/>
      <c r="G30" s="247"/>
    </row>
    <row r="31" spans="1:7" ht="106.5" customHeight="1" x14ac:dyDescent="0.25">
      <c r="A31" s="45"/>
      <c r="B31" s="47"/>
      <c r="C31" s="697" t="s">
        <v>910</v>
      </c>
      <c r="D31" s="697"/>
      <c r="E31" s="697"/>
      <c r="F31" s="698"/>
      <c r="G31" s="247"/>
    </row>
    <row r="32" spans="1:7" ht="11.1" customHeight="1" x14ac:dyDescent="0.25">
      <c r="A32" s="45"/>
      <c r="B32" s="45"/>
      <c r="C32" s="45"/>
      <c r="E32" s="254"/>
      <c r="F32" s="45"/>
      <c r="G32" s="247"/>
    </row>
    <row r="33" spans="1:7" ht="60" customHeight="1" x14ac:dyDescent="0.25">
      <c r="A33" s="45"/>
      <c r="B33" s="47"/>
      <c r="C33" s="697" t="s">
        <v>181</v>
      </c>
      <c r="D33" s="697"/>
      <c r="E33" s="697"/>
      <c r="F33" s="698"/>
      <c r="G33" s="247"/>
    </row>
    <row r="34" spans="1:7" ht="11.1" customHeight="1" x14ac:dyDescent="0.25">
      <c r="A34" s="45"/>
      <c r="B34" s="45"/>
      <c r="C34" s="45"/>
      <c r="E34" s="254"/>
      <c r="F34" s="45"/>
      <c r="G34" s="247"/>
    </row>
    <row r="35" spans="1:7" ht="73.5" customHeight="1" x14ac:dyDescent="0.25">
      <c r="A35" s="45"/>
      <c r="B35" s="47"/>
      <c r="C35" s="699" t="s">
        <v>958</v>
      </c>
      <c r="D35" s="699"/>
      <c r="E35" s="699"/>
      <c r="F35" s="700"/>
      <c r="G35" s="247"/>
    </row>
    <row r="36" spans="1:7" ht="11.1" customHeight="1" x14ac:dyDescent="0.25">
      <c r="A36" s="45"/>
      <c r="B36" s="45"/>
      <c r="C36" s="45"/>
      <c r="D36" s="45"/>
      <c r="E36" s="45"/>
      <c r="F36" s="45"/>
      <c r="G36" s="247"/>
    </row>
    <row r="37" spans="1:7" ht="11.1" hidden="1" customHeight="1" x14ac:dyDescent="0.25">
      <c r="A37" s="45"/>
      <c r="B37" s="45"/>
      <c r="C37" s="45"/>
      <c r="D37" s="45"/>
      <c r="E37" s="45"/>
      <c r="F37" s="45"/>
      <c r="G37" s="247"/>
    </row>
    <row r="38" spans="1:7" ht="15" hidden="1" x14ac:dyDescent="0.25">
      <c r="A38" s="45"/>
      <c r="B38" s="45"/>
      <c r="C38" s="45"/>
      <c r="D38" s="45"/>
      <c r="E38" s="45"/>
      <c r="F38" s="45"/>
      <c r="G38" s="45"/>
    </row>
    <row r="39" spans="1:7" ht="15" hidden="1" x14ac:dyDescent="0.25">
      <c r="A39" s="45"/>
      <c r="B39" s="45"/>
      <c r="C39" s="45"/>
      <c r="D39" s="45"/>
      <c r="E39" s="45"/>
      <c r="F39" s="45"/>
      <c r="G39" s="45"/>
    </row>
    <row r="40" spans="1:7" ht="15" hidden="1" x14ac:dyDescent="0.25">
      <c r="A40" s="45"/>
      <c r="B40" s="45"/>
      <c r="C40" s="45"/>
      <c r="D40" s="45"/>
      <c r="E40" s="45"/>
      <c r="F40" s="45"/>
      <c r="G40" s="45"/>
    </row>
    <row r="41" spans="1:7" ht="15" hidden="1" x14ac:dyDescent="0.25">
      <c r="A41" s="45"/>
      <c r="B41" s="45"/>
      <c r="C41" s="45"/>
      <c r="D41" s="45"/>
      <c r="E41" s="45"/>
      <c r="F41" s="45"/>
      <c r="G41" s="45"/>
    </row>
    <row r="42" spans="1:7" ht="15" hidden="1" x14ac:dyDescent="0.25">
      <c r="A42" s="45"/>
      <c r="B42" s="45"/>
      <c r="C42" s="45"/>
      <c r="D42" s="45"/>
      <c r="E42" s="45"/>
      <c r="F42" s="45"/>
      <c r="G42" s="45"/>
    </row>
    <row r="43" spans="1:7" ht="15" hidden="1" x14ac:dyDescent="0.25">
      <c r="A43" s="45"/>
      <c r="B43" s="45"/>
      <c r="C43" s="45"/>
      <c r="D43" s="45"/>
      <c r="E43" s="45"/>
      <c r="F43" s="45"/>
      <c r="G43" s="45"/>
    </row>
    <row r="44" spans="1:7" ht="15" hidden="1" x14ac:dyDescent="0.25">
      <c r="A44" s="45"/>
      <c r="B44" s="45"/>
      <c r="C44" s="45"/>
      <c r="D44" s="45"/>
      <c r="E44" s="45"/>
      <c r="F44" s="45"/>
      <c r="G44" s="45"/>
    </row>
    <row r="45" spans="1:7" ht="15" hidden="1" x14ac:dyDescent="0.25">
      <c r="A45" s="45"/>
      <c r="B45" s="45"/>
      <c r="C45" s="45"/>
      <c r="D45" s="45"/>
      <c r="E45" s="45"/>
      <c r="F45" s="45"/>
      <c r="G45" s="45"/>
    </row>
    <row r="46" spans="1:7" ht="15" hidden="1" x14ac:dyDescent="0.25">
      <c r="A46" s="45"/>
      <c r="B46" s="45"/>
      <c r="C46" s="45"/>
      <c r="D46" s="45"/>
      <c r="E46" s="45"/>
      <c r="F46" s="45"/>
      <c r="G46" s="45"/>
    </row>
    <row r="47" spans="1:7" ht="15" hidden="1" x14ac:dyDescent="0.25">
      <c r="A47" s="45"/>
      <c r="B47" s="45"/>
      <c r="C47" s="45"/>
      <c r="D47" s="45"/>
      <c r="E47" s="45"/>
      <c r="F47" s="45"/>
      <c r="G47" s="45"/>
    </row>
    <row r="48" spans="1:7" ht="15" hidden="1" x14ac:dyDescent="0.25">
      <c r="A48" s="45"/>
      <c r="B48" s="45"/>
      <c r="C48" s="45"/>
      <c r="D48" s="45"/>
      <c r="E48" s="45"/>
      <c r="F48" s="45"/>
      <c r="G48" s="45"/>
    </row>
    <row r="49" spans="1:7" ht="15" hidden="1" x14ac:dyDescent="0.25">
      <c r="A49" s="45"/>
      <c r="B49" s="45"/>
      <c r="C49" s="45"/>
      <c r="D49" s="45"/>
      <c r="E49" s="45"/>
      <c r="F49" s="45"/>
      <c r="G49" s="45"/>
    </row>
    <row r="50" spans="1:7" ht="15" hidden="1" x14ac:dyDescent="0.25">
      <c r="A50" s="45"/>
      <c r="B50" s="45"/>
      <c r="C50" s="45"/>
      <c r="E50" s="45"/>
      <c r="G50" s="45"/>
    </row>
    <row r="56" spans="1:7" ht="3.6" hidden="1" customHeight="1" x14ac:dyDescent="0.25"/>
    <row r="57" spans="1:7" ht="3.6" hidden="1" customHeight="1" x14ac:dyDescent="0.25"/>
    <row r="58" spans="1:7" ht="3.6" hidden="1" customHeight="1" x14ac:dyDescent="0.25"/>
    <row r="59" spans="1:7" ht="3.6" hidden="1" customHeight="1" x14ac:dyDescent="0.25"/>
    <row r="60" spans="1:7" ht="3.6" hidden="1" customHeight="1" x14ac:dyDescent="0.25"/>
    <row r="61" spans="1:7" ht="3.6" hidden="1" customHeight="1" x14ac:dyDescent="0.25"/>
    <row r="62" spans="1:7" ht="3.6" hidden="1" customHeight="1" x14ac:dyDescent="0.25"/>
    <row r="63" spans="1:7" ht="3.6" hidden="1" customHeight="1" x14ac:dyDescent="0.25"/>
    <row r="64" spans="1:7" ht="3.6" hidden="1" customHeight="1" x14ac:dyDescent="0.25"/>
    <row r="65" ht="3.6" hidden="1" customHeight="1" x14ac:dyDescent="0.25"/>
    <row r="66" ht="3.6" hidden="1" customHeight="1" x14ac:dyDescent="0.25"/>
    <row r="67" ht="3.6" hidden="1" customHeight="1" x14ac:dyDescent="0.25"/>
    <row r="68" ht="3.6" hidden="1" customHeight="1" x14ac:dyDescent="0.25"/>
    <row r="69" ht="3.6" hidden="1" customHeight="1" x14ac:dyDescent="0.25"/>
    <row r="70" ht="3.6" hidden="1" customHeight="1" x14ac:dyDescent="0.25"/>
    <row r="71" ht="3.6" hidden="1" customHeight="1" x14ac:dyDescent="0.25"/>
    <row r="72" ht="3.6" hidden="1" customHeight="1" x14ac:dyDescent="0.25"/>
    <row r="73" ht="3.6" hidden="1" customHeight="1" x14ac:dyDescent="0.25"/>
    <row r="74" ht="3.6" hidden="1" customHeight="1" x14ac:dyDescent="0.25"/>
    <row r="75" ht="3.6" hidden="1" customHeight="1" x14ac:dyDescent="0.25"/>
    <row r="76" ht="3.6" hidden="1" customHeight="1" x14ac:dyDescent="0.25"/>
    <row r="77" ht="3.6" hidden="1" customHeight="1" x14ac:dyDescent="0.25"/>
    <row r="78" ht="3.6" hidden="1" customHeight="1" x14ac:dyDescent="0.25"/>
    <row r="79" ht="3.6" hidden="1" customHeight="1" x14ac:dyDescent="0.25"/>
    <row r="80" ht="3.6" hidden="1" customHeight="1" x14ac:dyDescent="0.25"/>
    <row r="81" spans="1:6" ht="3.6" hidden="1" customHeight="1" x14ac:dyDescent="0.25"/>
    <row r="82" spans="1:6" ht="3.6" hidden="1" customHeight="1" x14ac:dyDescent="0.25"/>
    <row r="83" spans="1:6" ht="3.6" hidden="1" customHeight="1" x14ac:dyDescent="0.25"/>
    <row r="84" spans="1:6" ht="3.6" hidden="1" customHeight="1" x14ac:dyDescent="0.25"/>
    <row r="85" spans="1:6" ht="3.6" hidden="1" customHeight="1" x14ac:dyDescent="0.25"/>
    <row r="86" spans="1:6" ht="3.6" hidden="1" customHeight="1" x14ac:dyDescent="0.25"/>
    <row r="87" spans="1:6" ht="3.6" hidden="1" customHeight="1" x14ac:dyDescent="0.25"/>
    <row r="88" spans="1:6" ht="3.6" hidden="1" customHeight="1" x14ac:dyDescent="0.25"/>
    <row r="89" spans="1:6" ht="3.6" hidden="1" customHeight="1" x14ac:dyDescent="0.25"/>
    <row r="90" spans="1:6" ht="3.6" hidden="1" customHeight="1" x14ac:dyDescent="0.25"/>
    <row r="91" spans="1:6" ht="3.6" hidden="1" customHeight="1" x14ac:dyDescent="0.25">
      <c r="E91" s="230"/>
    </row>
    <row r="92" spans="1:6" ht="3.6" hidden="1" customHeight="1" x14ac:dyDescent="0.25"/>
    <row r="93" spans="1:6" ht="3.6" hidden="1" customHeight="1" x14ac:dyDescent="0.25">
      <c r="A93" s="45"/>
      <c r="B93" s="45"/>
      <c r="C93" s="45"/>
      <c r="D93" s="45"/>
      <c r="E93" s="17"/>
      <c r="F93" s="45"/>
    </row>
    <row r="94" spans="1:6" ht="3.6" hidden="1" customHeight="1" x14ac:dyDescent="0.25"/>
  </sheetData>
  <sheetProtection algorithmName="SHA-512" hashValue="kCBkDZbW/Ga7Obfl7zrWPEFh7X/pHugRuZdiyeq3KMoVBYLbl879AuHFKMODyFoHBL3zZj13FcykFPCiMPJQ9A==" saltValue="D87eX0IeKmpfpBCJtyRSyw==" spinCount="100000" sheet="1" objects="1" scenarios="1" selectLockedCells="1"/>
  <mergeCells count="18">
    <mergeCell ref="C19:F19"/>
    <mergeCell ref="B2:F2"/>
    <mergeCell ref="B4:C4"/>
    <mergeCell ref="B6:F6"/>
    <mergeCell ref="C7:F7"/>
    <mergeCell ref="C9:F9"/>
    <mergeCell ref="C11:F11"/>
    <mergeCell ref="C13:F13"/>
    <mergeCell ref="C15:F15"/>
    <mergeCell ref="C17:F17"/>
    <mergeCell ref="C31:F31"/>
    <mergeCell ref="C33:F33"/>
    <mergeCell ref="C35:F35"/>
    <mergeCell ref="C21:F21"/>
    <mergeCell ref="C23:F23"/>
    <mergeCell ref="C25:F25"/>
    <mergeCell ref="C27:F27"/>
    <mergeCell ref="C29:F29"/>
  </mergeCells>
  <hyperlinks>
    <hyperlink ref="F4" location="Main!A1" display="Return to Main" xr:uid="{AF347A32-A6A4-4AAC-8944-6E6043BDFD99}"/>
  </hyperlinks>
  <pageMargins left="0.7" right="0.7" top="0.75" bottom="0.75" header="0.3" footer="0.3"/>
  <pageSetup scale="4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2A29-9BBE-46B1-B512-7A1424D9BD0A}">
  <sheetPr codeName="Sheet31">
    <tabColor rgb="FF33CCCC"/>
  </sheetPr>
  <dimension ref="A1:L39"/>
  <sheetViews>
    <sheetView showGridLines="0" showRowColHeaders="0" topLeftCell="A3" zoomScaleNormal="100" workbookViewId="0">
      <selection activeCell="E12" sqref="E12"/>
    </sheetView>
  </sheetViews>
  <sheetFormatPr defaultColWidth="0" defaultRowHeight="15" customHeight="1" zeroHeight="1" x14ac:dyDescent="0.25"/>
  <cols>
    <col min="1" max="1" width="4.42578125" style="115" customWidth="1"/>
    <col min="2" max="2" width="8.85546875" style="115" customWidth="1"/>
    <col min="3" max="3" width="22.140625" style="115" customWidth="1"/>
    <col min="4" max="4" width="51.42578125" style="115" customWidth="1"/>
    <col min="5" max="5" width="10.5703125" style="116" customWidth="1"/>
    <col min="6" max="6" width="5.5703125" style="115" customWidth="1"/>
    <col min="7" max="7" width="34.5703125" style="115" customWidth="1"/>
    <col min="8" max="8" width="17.5703125" style="115" customWidth="1"/>
    <col min="9" max="9" width="8.85546875" style="115" customWidth="1"/>
    <col min="10" max="10" width="4.5703125" style="115" customWidth="1"/>
    <col min="11" max="12" width="21.5703125" style="92" hidden="1" customWidth="1"/>
    <col min="13" max="16384" width="8.85546875" style="92" hidden="1"/>
  </cols>
  <sheetData>
    <row r="1" spans="1:12" ht="15" hidden="1" customHeight="1" x14ac:dyDescent="0.25">
      <c r="A1" s="77"/>
      <c r="B1" s="77"/>
      <c r="C1" s="77"/>
      <c r="D1" s="77"/>
      <c r="E1" s="103"/>
      <c r="F1" s="77"/>
      <c r="G1" s="77"/>
      <c r="H1" s="77"/>
      <c r="I1" s="77"/>
      <c r="J1" s="77"/>
    </row>
    <row r="2" spans="1:12" ht="15" hidden="1" customHeight="1" x14ac:dyDescent="0.25">
      <c r="A2" s="77"/>
      <c r="B2" s="77"/>
      <c r="C2" s="77"/>
      <c r="D2" s="77"/>
      <c r="E2" s="103"/>
      <c r="F2" s="77"/>
      <c r="G2" s="77"/>
      <c r="H2" s="77"/>
      <c r="I2" s="77"/>
      <c r="J2" s="77"/>
    </row>
    <row r="3" spans="1:12" ht="22.35" customHeight="1" x14ac:dyDescent="0.25">
      <c r="A3" s="77"/>
      <c r="B3" s="51"/>
      <c r="C3" s="77"/>
      <c r="D3" s="77"/>
      <c r="E3" s="103"/>
      <c r="F3" s="77"/>
      <c r="G3" s="77"/>
      <c r="H3" s="77"/>
      <c r="I3" s="77"/>
      <c r="J3" s="77"/>
    </row>
    <row r="4" spans="1:12" ht="21.6" customHeight="1" x14ac:dyDescent="0.25">
      <c r="A4" s="239" t="s">
        <v>540</v>
      </c>
      <c r="B4" s="769" t="str">
        <f>A4&amp;". "&amp;INDEX(VL_TDM!$E$11:$E$41,MATCH($A$4,VL_TDM!$B$11:$B$41,0),1)</f>
        <v>2B2. Increase Employment Density</v>
      </c>
      <c r="C4" s="722"/>
      <c r="D4" s="722"/>
      <c r="E4" s="722"/>
      <c r="F4" s="722"/>
      <c r="G4" s="722"/>
      <c r="H4" s="722"/>
      <c r="I4" s="723"/>
      <c r="J4" s="77"/>
    </row>
    <row r="5" spans="1:12" ht="15" customHeight="1" x14ac:dyDescent="0.25">
      <c r="A5" s="77"/>
      <c r="B5" s="85"/>
      <c r="C5" s="98"/>
      <c r="D5" s="98"/>
      <c r="E5" s="98"/>
      <c r="F5" s="98"/>
      <c r="G5" s="100"/>
      <c r="H5" s="98"/>
      <c r="I5" s="83"/>
      <c r="J5" s="77"/>
    </row>
    <row r="6" spans="1:12" ht="15" customHeight="1" x14ac:dyDescent="0.25">
      <c r="A6" s="77"/>
      <c r="B6" s="85"/>
      <c r="C6" s="109" t="s">
        <v>1</v>
      </c>
      <c r="D6" s="110" t="str">
        <f>INDEX(VL_TDM!$AC$11:$AC$41,MATCH($A$4,VL_TDM!$B$11:$B$41,0),1)</f>
        <v>Project/Site</v>
      </c>
      <c r="E6" s="100"/>
      <c r="F6" s="462"/>
      <c r="G6" s="462"/>
      <c r="H6" s="617" t="s">
        <v>89</v>
      </c>
      <c r="I6" s="83"/>
      <c r="J6" s="77"/>
    </row>
    <row r="7" spans="1:12" ht="15" customHeight="1" x14ac:dyDescent="0.25">
      <c r="A7" s="77"/>
      <c r="B7" s="85"/>
      <c r="C7" s="109" t="s">
        <v>2</v>
      </c>
      <c r="D7" s="113" t="str">
        <f>INDEX(VL_TDM!$AD$11:$AD$41,MATCH($A$4,VL_TDM!$B$11:$B$41,0),1)</f>
        <v>Employee commute trips</v>
      </c>
      <c r="E7" s="109"/>
      <c r="F7" s="462"/>
      <c r="G7" s="462"/>
      <c r="H7" s="617" t="s">
        <v>105</v>
      </c>
      <c r="I7" s="83"/>
      <c r="J7" s="77"/>
    </row>
    <row r="8" spans="1:12" ht="15" customHeight="1" x14ac:dyDescent="0.25">
      <c r="A8" s="77"/>
      <c r="B8" s="85"/>
      <c r="C8" s="109" t="s">
        <v>149</v>
      </c>
      <c r="D8" s="114">
        <f>INDEX(VL_TDM!$AE$11:$AE$41,MATCH($A$4,VL_TDM!$B$11:$B$41,0),1)</f>
        <v>0.3</v>
      </c>
      <c r="E8" s="98"/>
      <c r="F8" s="98"/>
      <c r="G8" s="100"/>
      <c r="H8" s="98"/>
      <c r="I8" s="83"/>
      <c r="J8" s="77"/>
    </row>
    <row r="9" spans="1:12" ht="15" customHeight="1" x14ac:dyDescent="0.25">
      <c r="A9" s="77"/>
      <c r="B9" s="85"/>
      <c r="C9" s="509"/>
      <c r="D9" s="100"/>
      <c r="E9" s="100"/>
      <c r="F9" s="100"/>
      <c r="G9" s="100"/>
      <c r="H9" s="100"/>
      <c r="I9" s="83"/>
      <c r="J9" s="77"/>
    </row>
    <row r="10" spans="1:12" ht="60" customHeight="1" x14ac:dyDescent="0.25">
      <c r="A10" s="77"/>
      <c r="B10" s="85"/>
      <c r="C10" s="724" t="str">
        <f>INDEX(VL_TDM!$AF$11:$AF$41,MATCH($A$4,VL_TDM!$B$11:$B$41,0),1)</f>
        <v>This strategy accounts for the VMT reduction achieved by a project that is designed with a higher density of jobs compared to the average job density in the United States. Increased densities affect the distance people travel and provide greater options for the mode of travel they choose. Increasing job density results in shorter and fewer trips by single occupancy vehicles and thus a reduction in GHG emissions.</v>
      </c>
      <c r="D10" s="719"/>
      <c r="E10" s="719"/>
      <c r="F10" s="719"/>
      <c r="G10" s="719"/>
      <c r="H10" s="719"/>
      <c r="I10" s="83"/>
      <c r="J10" s="77"/>
    </row>
    <row r="11" spans="1:12" ht="15" customHeight="1" x14ac:dyDescent="0.25">
      <c r="A11" s="77"/>
      <c r="B11" s="85"/>
      <c r="C11" s="98"/>
      <c r="D11" s="98"/>
      <c r="E11" s="100"/>
      <c r="F11" s="98"/>
      <c r="G11" s="98"/>
      <c r="H11" s="98"/>
      <c r="I11" s="83"/>
      <c r="J11" s="77"/>
    </row>
    <row r="12" spans="1:12" ht="15" customHeight="1" x14ac:dyDescent="0.25">
      <c r="A12" s="77"/>
      <c r="B12" s="85"/>
      <c r="C12" s="510" t="s">
        <v>845</v>
      </c>
      <c r="D12" s="109"/>
      <c r="E12" s="236"/>
      <c r="F12" s="443"/>
      <c r="G12" s="453" t="s">
        <v>0</v>
      </c>
      <c r="H12" s="98"/>
      <c r="I12" s="83"/>
      <c r="J12" s="78"/>
    </row>
    <row r="13" spans="1:12" ht="7.35" customHeight="1" x14ac:dyDescent="0.25">
      <c r="A13" s="77"/>
      <c r="B13" s="85"/>
      <c r="C13" s="105"/>
      <c r="D13" s="109"/>
      <c r="E13" s="511"/>
      <c r="F13" s="98"/>
      <c r="G13" s="263"/>
      <c r="H13" s="98"/>
      <c r="I13" s="83"/>
      <c r="J13" s="77"/>
    </row>
    <row r="14" spans="1:12" ht="15" customHeight="1" x14ac:dyDescent="0.25">
      <c r="A14" s="77"/>
      <c r="B14" s="85"/>
      <c r="C14" s="510" t="s">
        <v>853</v>
      </c>
      <c r="D14" s="109"/>
      <c r="E14" s="519">
        <v>145</v>
      </c>
      <c r="F14" s="98"/>
      <c r="G14" s="98" t="str">
        <f>CONCATENATE("constant, source (1)",IF(NOT(ISBLANK(E16)),", overridden",""))</f>
        <v>constant, source (1)</v>
      </c>
      <c r="H14" s="98"/>
      <c r="I14" s="83"/>
      <c r="J14" s="77"/>
      <c r="K14" s="117"/>
      <c r="L14" s="117"/>
    </row>
    <row r="15" spans="1:12" ht="7.35" customHeight="1" x14ac:dyDescent="0.25">
      <c r="A15" s="77"/>
      <c r="B15" s="85"/>
      <c r="C15" s="105"/>
      <c r="D15" s="109"/>
      <c r="E15" s="511"/>
      <c r="F15" s="98"/>
      <c r="G15" s="263"/>
      <c r="H15" s="98"/>
      <c r="I15" s="83"/>
      <c r="J15" s="77"/>
    </row>
    <row r="16" spans="1:12" ht="14.45" customHeight="1" x14ac:dyDescent="0.25">
      <c r="A16" s="77"/>
      <c r="B16" s="85"/>
      <c r="C16" s="510" t="s">
        <v>822</v>
      </c>
      <c r="D16" s="109"/>
      <c r="E16" s="63"/>
      <c r="F16" s="98"/>
      <c r="G16" s="265" t="s">
        <v>11</v>
      </c>
      <c r="H16" s="98"/>
      <c r="I16" s="83"/>
      <c r="J16" s="77"/>
    </row>
    <row r="17" spans="1:11" ht="4.3499999999999996" customHeight="1" x14ac:dyDescent="0.25">
      <c r="A17" s="77"/>
      <c r="B17" s="85"/>
      <c r="C17" s="105"/>
      <c r="D17" s="109"/>
      <c r="E17" s="513"/>
      <c r="F17" s="98"/>
      <c r="G17" s="263"/>
      <c r="H17" s="98"/>
      <c r="I17" s="83"/>
      <c r="J17" s="77"/>
    </row>
    <row r="18" spans="1:11" ht="15" customHeight="1" x14ac:dyDescent="0.25">
      <c r="A18" s="77"/>
      <c r="B18" s="85"/>
      <c r="C18" s="510" t="s">
        <v>544</v>
      </c>
      <c r="D18" s="514"/>
      <c r="E18" s="515">
        <f>IFERROR(IF(ISBLANK(E16),E14,E16),"")</f>
        <v>145</v>
      </c>
      <c r="F18" s="98"/>
      <c r="G18" s="262" t="s">
        <v>10</v>
      </c>
      <c r="H18" s="98"/>
      <c r="I18" s="83"/>
      <c r="J18" s="78"/>
    </row>
    <row r="19" spans="1:11" ht="7.35" customHeight="1" x14ac:dyDescent="0.25">
      <c r="A19" s="77"/>
      <c r="B19" s="85"/>
      <c r="C19" s="105"/>
      <c r="D19" s="109"/>
      <c r="E19" s="511"/>
      <c r="F19" s="98"/>
      <c r="G19" s="263"/>
      <c r="H19" s="98"/>
      <c r="I19" s="83"/>
      <c r="J19" s="77"/>
    </row>
    <row r="20" spans="1:11" ht="15" customHeight="1" x14ac:dyDescent="0.25">
      <c r="A20" s="77"/>
      <c r="B20" s="85"/>
      <c r="C20" s="510" t="s">
        <v>549</v>
      </c>
      <c r="D20" s="109"/>
      <c r="E20" s="520">
        <v>-7.0000000000000007E-2</v>
      </c>
      <c r="F20" s="98"/>
      <c r="G20" s="108" t="s">
        <v>9</v>
      </c>
      <c r="H20" s="98"/>
      <c r="I20" s="83"/>
      <c r="J20" s="78"/>
    </row>
    <row r="21" spans="1:11" ht="7.35" customHeight="1" x14ac:dyDescent="0.25">
      <c r="A21" s="77"/>
      <c r="B21" s="85"/>
      <c r="C21" s="105"/>
      <c r="D21" s="109"/>
      <c r="E21" s="511"/>
      <c r="F21" s="98"/>
      <c r="G21" s="263"/>
      <c r="H21" s="98"/>
      <c r="I21" s="83"/>
      <c r="J21" s="77"/>
    </row>
    <row r="22" spans="1:11" ht="15" customHeight="1" x14ac:dyDescent="0.25">
      <c r="A22" s="77"/>
      <c r="B22" s="85"/>
      <c r="C22" s="104"/>
      <c r="D22" s="104"/>
      <c r="E22" s="104"/>
      <c r="F22" s="104"/>
      <c r="G22" s="104"/>
      <c r="H22" s="98"/>
      <c r="I22" s="83"/>
      <c r="J22" s="77"/>
    </row>
    <row r="23" spans="1:11" ht="7.35" customHeight="1" x14ac:dyDescent="0.25">
      <c r="A23" s="77"/>
      <c r="B23" s="85"/>
      <c r="C23" s="105"/>
      <c r="D23" s="109"/>
      <c r="E23" s="98"/>
      <c r="F23" s="98"/>
      <c r="G23" s="98"/>
      <c r="H23" s="98"/>
      <c r="I23" s="83"/>
      <c r="J23" s="77"/>
    </row>
    <row r="24" spans="1:11" ht="15" customHeight="1" x14ac:dyDescent="0.25">
      <c r="A24" s="77"/>
      <c r="B24" s="85"/>
      <c r="C24" s="104" t="s">
        <v>159</v>
      </c>
      <c r="D24" s="100"/>
      <c r="E24" s="129" t="str">
        <f>IF(E12="","",IFERROR(MAX(-D8,((E12-E18)/E18)*E20),""))</f>
        <v/>
      </c>
      <c r="F24" s="470"/>
      <c r="G24" s="55" t="b">
        <v>0</v>
      </c>
      <c r="H24" s="207" t="str">
        <f>IF(OR(G24=TRUE,E24=""),"Not Active","Active")</f>
        <v>Not Active</v>
      </c>
      <c r="I24" s="83"/>
      <c r="J24" s="77"/>
    </row>
    <row r="25" spans="1:11" ht="15" customHeight="1" x14ac:dyDescent="0.25">
      <c r="A25" s="77"/>
      <c r="B25" s="85"/>
      <c r="C25" s="98"/>
      <c r="D25" s="98"/>
      <c r="E25" s="100"/>
      <c r="F25" s="98"/>
      <c r="G25" s="98"/>
      <c r="H25" s="98"/>
      <c r="I25" s="83"/>
      <c r="J25" s="77"/>
    </row>
    <row r="26" spans="1:11" ht="35.1" customHeight="1" x14ac:dyDescent="0.25">
      <c r="A26" s="77"/>
      <c r="B26" s="85"/>
      <c r="C26" s="725" t="str">
        <f>"Formula:  % Change in VMT =  " &amp; SUBSTITUTE("(( " &amp; C12 &amp; " - " &amp; C18 &amp; " )/ " &amp; C18 &amp; " )* " &amp; C20 &amp; " "," used for calculation","")</f>
        <v xml:space="preserve">Formula:  % Change in VMT =  (( Job density of project development (jobs per acre) - Job density of typical development )/ Job density of typical development )* Elasticity of VMT with respect to Job density </v>
      </c>
      <c r="D26" s="726"/>
      <c r="E26" s="726"/>
      <c r="F26" s="726"/>
      <c r="G26" s="726"/>
      <c r="H26" s="777"/>
      <c r="I26" s="83"/>
      <c r="J26" s="77"/>
    </row>
    <row r="27" spans="1:11" ht="15" customHeight="1" x14ac:dyDescent="0.25">
      <c r="A27" s="77"/>
      <c r="B27" s="85"/>
      <c r="C27" s="329"/>
      <c r="D27" s="517"/>
      <c r="E27" s="518"/>
      <c r="F27" s="518"/>
      <c r="G27" s="518"/>
      <c r="H27" s="518"/>
      <c r="I27" s="83"/>
      <c r="J27" s="77"/>
      <c r="K27" s="118"/>
    </row>
    <row r="28" spans="1:11" ht="15" customHeight="1" x14ac:dyDescent="0.25">
      <c r="A28" s="77"/>
      <c r="B28" s="85"/>
      <c r="C28" s="98" t="s">
        <v>6</v>
      </c>
      <c r="D28" s="98"/>
      <c r="E28" s="100"/>
      <c r="F28" s="98"/>
      <c r="G28" s="98"/>
      <c r="H28" s="98"/>
      <c r="I28" s="83"/>
      <c r="J28" s="77"/>
    </row>
    <row r="29" spans="1:11" ht="99.95" customHeight="1" x14ac:dyDescent="0.25">
      <c r="A29" s="77"/>
      <c r="B29" s="85"/>
      <c r="C29" s="747" t="str">
        <f>INDEX(VL_TDM!$AG$11:$AG$41,MATCH($A$4,VL_TDM!$B$11:$B$41,0),1)</f>
        <v>(1)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29" s="719"/>
      <c r="E29" s="719"/>
      <c r="F29" s="719"/>
      <c r="G29" s="719"/>
      <c r="H29" s="719"/>
      <c r="I29" s="83"/>
      <c r="J29" s="77"/>
    </row>
    <row r="30" spans="1:11" ht="15" customHeight="1" x14ac:dyDescent="0.25">
      <c r="A30" s="77"/>
      <c r="B30" s="101"/>
      <c r="C30" s="226"/>
      <c r="D30" s="226"/>
      <c r="E30" s="471"/>
      <c r="F30" s="226"/>
      <c r="G30" s="226"/>
      <c r="H30" s="226"/>
      <c r="I30" s="472"/>
      <c r="J30" s="77"/>
    </row>
    <row r="31" spans="1:11" ht="22.35" customHeight="1" x14ac:dyDescent="0.25">
      <c r="A31" s="77"/>
      <c r="B31" s="78"/>
      <c r="C31" s="78"/>
      <c r="D31" s="78"/>
      <c r="E31" s="103"/>
      <c r="F31" s="77"/>
      <c r="G31" s="77"/>
      <c r="H31" s="77"/>
      <c r="I31" s="77"/>
      <c r="J31" s="77"/>
    </row>
    <row r="38" spans="5:12" s="115" customFormat="1" hidden="1" x14ac:dyDescent="0.25">
      <c r="E38" s="116"/>
      <c r="K38" s="92"/>
      <c r="L38" s="92"/>
    </row>
    <row r="39" spans="5:12" s="115" customFormat="1" hidden="1" x14ac:dyDescent="0.25">
      <c r="E39" s="116"/>
      <c r="K39" s="92"/>
      <c r="L39" s="92"/>
    </row>
  </sheetData>
  <sheetProtection algorithmName="SHA-512" hashValue="j6EAmPsGA8vdCmnSeUn8k9p+BbS1N7FUuCnqmqQoff3pJp9n6LQLUHDVkQG4NDLX5GUFVvQnP816zAF0JJVg9g==" saltValue="QtzzxuUPSsELrpJIQ+2Lsw==" spinCount="100000" sheet="1" objects="1" scenarios="1" selectLockedCells="1"/>
  <mergeCells count="4">
    <mergeCell ref="C29:H29"/>
    <mergeCell ref="B4:I4"/>
    <mergeCell ref="C10:H10"/>
    <mergeCell ref="C26:H26"/>
  </mergeCells>
  <conditionalFormatting sqref="E24">
    <cfRule type="expression" dxfId="39" priority="3">
      <formula>-ROUND($D$8,3)=ROUND($E$24,3)</formula>
    </cfRule>
    <cfRule type="expression" dxfId="38" priority="4">
      <formula>AND(E24&lt;&gt;"",E24&gt;0)</formula>
    </cfRule>
  </conditionalFormatting>
  <dataValidations count="1">
    <dataValidation type="decimal" allowBlank="1" showInputMessage="1" showErrorMessage="1" sqref="E16" xr:uid="{EFE8FC41-07D3-4FE7-8AB1-46456FBF0B22}">
      <formula1>0</formula1>
      <formula2>1000</formula2>
    </dataValidation>
  </dataValidations>
  <hyperlinks>
    <hyperlink ref="H7" location="Results!A1" display="Results Summary" xr:uid="{A20BF486-D7C8-4516-8B59-F424E3CF3C4C}"/>
    <hyperlink ref="H6" location="Main!E65" display="Return to Main É" xr:uid="{85867FE3-C93C-427C-A941-B8920EE72EFF}"/>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Check Box 1">
              <controlPr defaultSize="0" autoFill="0" autoLine="0" autoPict="0" altText="Exclude From Results Summary">
                <anchor moveWithCells="1">
                  <from>
                    <xdr:col>6</xdr:col>
                    <xdr:colOff>28575</xdr:colOff>
                    <xdr:row>22</xdr:row>
                    <xdr:rowOff>85725</xdr:rowOff>
                  </from>
                  <to>
                    <xdr:col>7</xdr:col>
                    <xdr:colOff>0</xdr:colOff>
                    <xdr:row>24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0E94-C72C-4F45-ACBD-ACB2A5F728EE}">
  <sheetPr codeName="Sheet32">
    <tabColor rgb="FF33CCCC"/>
  </sheetPr>
  <dimension ref="A1:L34"/>
  <sheetViews>
    <sheetView showGridLines="0" showRowColHeaders="0" topLeftCell="A3" zoomScaleNormal="100" workbookViewId="0">
      <selection activeCell="E12" sqref="E12"/>
    </sheetView>
  </sheetViews>
  <sheetFormatPr defaultColWidth="0" defaultRowHeight="15" customHeight="1" zeroHeight="1" x14ac:dyDescent="0.25"/>
  <cols>
    <col min="1" max="1" width="4.42578125" style="115" customWidth="1"/>
    <col min="2" max="2" width="8.85546875" style="115" customWidth="1"/>
    <col min="3" max="3" width="22.140625" style="115" customWidth="1"/>
    <col min="4" max="4" width="45.5703125" style="115" customWidth="1"/>
    <col min="5" max="5" width="10.5703125" style="116" customWidth="1"/>
    <col min="6" max="6" width="5.5703125" style="115" customWidth="1"/>
    <col min="7" max="7" width="34.5703125" style="115" customWidth="1"/>
    <col min="8" max="8" width="17.5703125" style="115" customWidth="1"/>
    <col min="9" max="9" width="8.85546875" style="115" customWidth="1"/>
    <col min="10" max="10" width="4.5703125" style="115" customWidth="1"/>
    <col min="11" max="12" width="21.5703125" style="92" hidden="1" customWidth="1"/>
    <col min="13" max="16384" width="8.85546875" style="92" hidden="1"/>
  </cols>
  <sheetData>
    <row r="1" spans="1:12" ht="15" hidden="1" customHeight="1" x14ac:dyDescent="0.25">
      <c r="A1" s="77"/>
      <c r="B1" s="77"/>
      <c r="C1" s="77"/>
      <c r="D1" s="77"/>
      <c r="E1" s="103"/>
      <c r="F1" s="77"/>
      <c r="G1" s="77"/>
      <c r="H1" s="77"/>
      <c r="I1" s="77"/>
      <c r="J1" s="77"/>
    </row>
    <row r="2" spans="1:12" ht="15" hidden="1" customHeight="1" x14ac:dyDescent="0.25">
      <c r="A2" s="77"/>
      <c r="B2" s="77"/>
      <c r="C2" s="77"/>
      <c r="D2" s="77"/>
      <c r="E2" s="103"/>
      <c r="F2" s="77"/>
      <c r="G2" s="77"/>
      <c r="H2" s="77"/>
      <c r="I2" s="77"/>
      <c r="J2" s="77"/>
    </row>
    <row r="3" spans="1:12" ht="22.35" customHeight="1" x14ac:dyDescent="0.25">
      <c r="A3" s="77"/>
      <c r="B3" s="51"/>
      <c r="C3" s="77"/>
      <c r="D3" s="77"/>
      <c r="E3" s="103"/>
      <c r="F3" s="77"/>
      <c r="G3" s="77"/>
      <c r="H3" s="77"/>
      <c r="I3" s="77"/>
      <c r="J3" s="77"/>
    </row>
    <row r="4" spans="1:12" ht="21.6" customHeight="1" x14ac:dyDescent="0.25">
      <c r="A4" s="239" t="s">
        <v>815</v>
      </c>
      <c r="B4" s="769" t="str">
        <f>A4&amp;". "&amp;INDEX(VL_TDM!$E$11:$E$41,MATCH($A$4,VL_TDM!$B$11:$B$41,0),1)</f>
        <v>2C. Integrate Affordable and Below Market Rate Housing</v>
      </c>
      <c r="C4" s="722"/>
      <c r="D4" s="722"/>
      <c r="E4" s="722"/>
      <c r="F4" s="722"/>
      <c r="G4" s="722"/>
      <c r="H4" s="722"/>
      <c r="I4" s="723"/>
      <c r="J4" s="77"/>
    </row>
    <row r="5" spans="1:12" ht="15" customHeight="1" x14ac:dyDescent="0.25">
      <c r="A5" s="77"/>
      <c r="B5" s="85"/>
      <c r="C5" s="98"/>
      <c r="D5" s="98"/>
      <c r="E5" s="98"/>
      <c r="F5" s="98"/>
      <c r="G5" s="100"/>
      <c r="H5" s="98"/>
      <c r="I5" s="83"/>
      <c r="J5" s="77"/>
    </row>
    <row r="6" spans="1:12" ht="15" customHeight="1" x14ac:dyDescent="0.25">
      <c r="A6" s="77"/>
      <c r="B6" s="85"/>
      <c r="C6" s="109" t="s">
        <v>1</v>
      </c>
      <c r="D6" s="110" t="str">
        <f>INDEX(VL_TDM!$AC$11:$AC$41,MATCH($A$4,VL_TDM!$B$11:$B$41,0),1)</f>
        <v>Neighborhood/City</v>
      </c>
      <c r="E6" s="100"/>
      <c r="F6" s="462"/>
      <c r="G6" s="462"/>
      <c r="H6" s="617" t="s">
        <v>89</v>
      </c>
      <c r="I6" s="83"/>
      <c r="J6" s="77"/>
    </row>
    <row r="7" spans="1:12" ht="15" customHeight="1" x14ac:dyDescent="0.25">
      <c r="A7" s="77"/>
      <c r="B7" s="85"/>
      <c r="C7" s="109" t="s">
        <v>2</v>
      </c>
      <c r="D7" s="113" t="str">
        <f>INDEX(VL_TDM!$AD$11:$AD$41,MATCH($A$4,VL_TDM!$B$11:$B$41,0),1)</f>
        <v>All neighborhood/city trips</v>
      </c>
      <c r="E7" s="109"/>
      <c r="F7" s="462"/>
      <c r="G7" s="462"/>
      <c r="H7" s="617" t="s">
        <v>105</v>
      </c>
      <c r="I7" s="83"/>
      <c r="J7" s="77"/>
    </row>
    <row r="8" spans="1:12" ht="15" customHeight="1" x14ac:dyDescent="0.25">
      <c r="A8" s="77"/>
      <c r="B8" s="85"/>
      <c r="C8" s="109" t="s">
        <v>149</v>
      </c>
      <c r="D8" s="114">
        <f>INDEX(VL_TDM!$AE$11:$AE$41,MATCH($A$4,VL_TDM!$B$11:$B$41,0),1)</f>
        <v>1.2E-2</v>
      </c>
      <c r="E8" s="98"/>
      <c r="F8" s="98"/>
      <c r="G8" s="100"/>
      <c r="H8" s="98"/>
      <c r="I8" s="83"/>
      <c r="J8" s="77"/>
    </row>
    <row r="9" spans="1:12" ht="15" customHeight="1" x14ac:dyDescent="0.25">
      <c r="A9" s="77"/>
      <c r="B9" s="85"/>
      <c r="C9" s="509"/>
      <c r="D9" s="100"/>
      <c r="E9" s="100"/>
      <c r="F9" s="100"/>
      <c r="G9" s="100"/>
      <c r="H9" s="100"/>
      <c r="I9" s="83"/>
      <c r="J9" s="77"/>
    </row>
    <row r="10" spans="1:12" ht="120" customHeight="1" x14ac:dyDescent="0.25">
      <c r="A10" s="77"/>
      <c r="B10" s="85"/>
      <c r="C10" s="724" t="str">
        <f>INDEX(VL_TDM!$AF$11:$AF$41,MATCH($A$4,VL_TDM!$B$11:$B$41,0),1)</f>
        <v>Income has a statistically significant effect on the probability that a commuter will take transit or walk to work (1). Below market rate (BMR) housing provides greater opportunity for lower-income families to live closer to jobs centers and achieve jobs/housing match near transit. It also addresses to some degree the risk that new transit oriented development would displace lower-income families. This strategy potentially encourages building a greater percentage of smaller units that allow a greater number of families to be accommodated on infill and transit oriented development sites within a given building footprint and height limit. Lower-income families tend to have lower levels of auto ownership, allowing buildings to be designed with less parking which, in some cases, represents the difference between a project being economically viable or not. Residential development projects of five or more dwelling units will provide a deed-restricted low-income housing component on-site.</v>
      </c>
      <c r="D10" s="719"/>
      <c r="E10" s="719"/>
      <c r="F10" s="719"/>
      <c r="G10" s="719"/>
      <c r="H10" s="719"/>
      <c r="I10" s="83"/>
      <c r="J10" s="77"/>
    </row>
    <row r="11" spans="1:12" ht="15" customHeight="1" x14ac:dyDescent="0.25">
      <c r="A11" s="77"/>
      <c r="B11" s="85"/>
      <c r="C11" s="98"/>
      <c r="D11" s="98"/>
      <c r="E11" s="100"/>
      <c r="F11" s="98"/>
      <c r="G11" s="98"/>
      <c r="H11" s="98"/>
      <c r="I11" s="83"/>
      <c r="J11" s="77"/>
    </row>
    <row r="12" spans="1:12" ht="15" customHeight="1" x14ac:dyDescent="0.25">
      <c r="A12" s="77"/>
      <c r="B12" s="85"/>
      <c r="C12" s="510" t="s">
        <v>692</v>
      </c>
      <c r="D12" s="109"/>
      <c r="E12" s="70"/>
      <c r="F12" s="443"/>
      <c r="G12" s="453" t="s">
        <v>0</v>
      </c>
      <c r="H12" s="98"/>
      <c r="I12" s="83"/>
      <c r="J12" s="78"/>
    </row>
    <row r="13" spans="1:12" ht="7.35" customHeight="1" x14ac:dyDescent="0.25">
      <c r="A13" s="77"/>
      <c r="B13" s="85"/>
      <c r="C13" s="105"/>
      <c r="D13" s="109"/>
      <c r="E13" s="511"/>
      <c r="F13" s="98"/>
      <c r="G13" s="263"/>
      <c r="H13" s="98"/>
      <c r="I13" s="83"/>
      <c r="J13" s="77"/>
    </row>
    <row r="14" spans="1:12" ht="15" customHeight="1" x14ac:dyDescent="0.25">
      <c r="A14" s="77"/>
      <c r="B14" s="85"/>
      <c r="C14" s="510" t="s">
        <v>8</v>
      </c>
      <c r="D14" s="109"/>
      <c r="E14" s="469">
        <v>-0.04</v>
      </c>
      <c r="F14" s="100"/>
      <c r="G14" s="521" t="s">
        <v>885</v>
      </c>
      <c r="H14" s="98"/>
      <c r="I14" s="83"/>
      <c r="J14" s="78"/>
      <c r="K14" s="117"/>
      <c r="L14" s="117"/>
    </row>
    <row r="15" spans="1:12" ht="7.35" customHeight="1" x14ac:dyDescent="0.25">
      <c r="A15" s="77"/>
      <c r="B15" s="85"/>
      <c r="C15" s="105"/>
      <c r="D15" s="109"/>
      <c r="E15" s="98"/>
      <c r="F15" s="98"/>
      <c r="G15" s="263"/>
      <c r="H15" s="98"/>
      <c r="I15" s="83"/>
      <c r="J15" s="77"/>
    </row>
    <row r="16" spans="1:12" ht="15" customHeight="1" x14ac:dyDescent="0.25">
      <c r="A16" s="77"/>
      <c r="B16" s="85"/>
      <c r="C16" s="104"/>
      <c r="D16" s="104"/>
      <c r="E16" s="104"/>
      <c r="F16" s="104"/>
      <c r="G16" s="104"/>
      <c r="H16" s="98"/>
      <c r="I16" s="83"/>
      <c r="J16" s="77"/>
    </row>
    <row r="17" spans="1:11" ht="7.35" customHeight="1" x14ac:dyDescent="0.25">
      <c r="A17" s="77"/>
      <c r="B17" s="85"/>
      <c r="C17" s="105"/>
      <c r="D17" s="109"/>
      <c r="E17" s="98"/>
      <c r="F17" s="98"/>
      <c r="G17" s="98"/>
      <c r="H17" s="98"/>
      <c r="I17" s="83"/>
      <c r="J17" s="77"/>
    </row>
    <row r="18" spans="1:11" ht="15" customHeight="1" x14ac:dyDescent="0.25">
      <c r="A18" s="77"/>
      <c r="B18" s="85"/>
      <c r="C18" s="104" t="s">
        <v>159</v>
      </c>
      <c r="D18" s="100"/>
      <c r="E18" s="129" t="str">
        <f>IF(E12="","",IFERROR(MAX(-D8,E12*E14), ""))</f>
        <v/>
      </c>
      <c r="F18" s="470"/>
      <c r="G18" s="55" t="b">
        <v>0</v>
      </c>
      <c r="H18" s="207" t="str">
        <f>IF(OR(G18=TRUE,E18=""),"Not Active","Active")</f>
        <v>Not Active</v>
      </c>
      <c r="I18" s="83"/>
      <c r="J18" s="77"/>
    </row>
    <row r="19" spans="1:11" ht="15" customHeight="1" x14ac:dyDescent="0.25">
      <c r="A19" s="77"/>
      <c r="B19" s="85"/>
      <c r="C19" s="98"/>
      <c r="D19" s="98"/>
      <c r="E19" s="100"/>
      <c r="F19" s="98"/>
      <c r="G19" s="98"/>
      <c r="H19" s="98"/>
      <c r="I19" s="83"/>
      <c r="J19" s="77"/>
    </row>
    <row r="20" spans="1:11" ht="17.850000000000001" customHeight="1" x14ac:dyDescent="0.25">
      <c r="A20" s="77"/>
      <c r="B20" s="85"/>
      <c r="C20" s="771" t="str">
        <f>"Formula:  % Change in VMT = " &amp; SUBSTITUTE(" " &amp; C12 &amp; " * " &amp; C14 &amp; " "," used for calculation","")</f>
        <v xml:space="preserve">Formula:  % Change in VMT =  % of units in project that are deed-restricted BMR housing * Elasticity </v>
      </c>
      <c r="D20" s="772"/>
      <c r="E20" s="772"/>
      <c r="F20" s="772"/>
      <c r="G20" s="772"/>
      <c r="H20" s="773"/>
      <c r="I20" s="83"/>
      <c r="J20" s="77"/>
    </row>
    <row r="21" spans="1:11" ht="17.850000000000001" customHeight="1" x14ac:dyDescent="0.25">
      <c r="A21" s="77"/>
      <c r="B21" s="85"/>
      <c r="C21" s="778" t="s">
        <v>846</v>
      </c>
      <c r="D21" s="779"/>
      <c r="E21" s="779"/>
      <c r="F21" s="779"/>
      <c r="G21" s="779"/>
      <c r="H21" s="780"/>
      <c r="I21" s="83"/>
      <c r="J21" s="77"/>
    </row>
    <row r="22" spans="1:11" ht="15" customHeight="1" x14ac:dyDescent="0.25">
      <c r="A22" s="77"/>
      <c r="B22" s="85"/>
      <c r="C22" s="329"/>
      <c r="D22" s="517"/>
      <c r="E22" s="518"/>
      <c r="F22" s="518"/>
      <c r="G22" s="518"/>
      <c r="H22" s="518"/>
      <c r="I22" s="83"/>
      <c r="J22" s="77"/>
      <c r="K22" s="118"/>
    </row>
    <row r="23" spans="1:11" ht="15" customHeight="1" x14ac:dyDescent="0.25">
      <c r="A23" s="77"/>
      <c r="B23" s="85"/>
      <c r="C23" s="98" t="s">
        <v>6</v>
      </c>
      <c r="D23" s="98"/>
      <c r="E23" s="100"/>
      <c r="F23" s="98"/>
      <c r="G23" s="98"/>
      <c r="H23" s="98"/>
      <c r="I23" s="83"/>
      <c r="J23" s="77"/>
    </row>
    <row r="24" spans="1:11" ht="196.5" customHeight="1" x14ac:dyDescent="0.25">
      <c r="A24" s="77"/>
      <c r="B24" s="85"/>
      <c r="C24" s="747" t="str">
        <f>INDEX(VL_TDM!$AG$11:$AG$41,MATCH($A$4,VL_TDM!$B$11:$B$41,0),1)</f>
        <v>(1)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v>
      </c>
      <c r="D24" s="719"/>
      <c r="E24" s="719"/>
      <c r="F24" s="719"/>
      <c r="G24" s="719"/>
      <c r="H24" s="719"/>
      <c r="I24" s="83"/>
      <c r="J24" s="77"/>
    </row>
    <row r="25" spans="1:11" ht="15" customHeight="1" x14ac:dyDescent="0.25">
      <c r="A25" s="77"/>
      <c r="B25" s="101"/>
      <c r="C25" s="226"/>
      <c r="D25" s="226"/>
      <c r="E25" s="471"/>
      <c r="F25" s="226"/>
      <c r="G25" s="226"/>
      <c r="H25" s="226"/>
      <c r="I25" s="472"/>
      <c r="J25" s="77"/>
    </row>
    <row r="26" spans="1:11" ht="22.35" customHeight="1" x14ac:dyDescent="0.25">
      <c r="A26" s="77"/>
      <c r="B26" s="78"/>
      <c r="C26" s="78"/>
      <c r="D26" s="78"/>
      <c r="E26" s="103"/>
      <c r="F26" s="77"/>
      <c r="G26" s="77"/>
      <c r="H26" s="77"/>
      <c r="I26" s="77"/>
      <c r="J26" s="77"/>
    </row>
    <row r="33" spans="5:12" s="115" customFormat="1" hidden="1" x14ac:dyDescent="0.25">
      <c r="E33" s="116"/>
      <c r="K33" s="92"/>
      <c r="L33" s="92"/>
    </row>
    <row r="34" spans="5:12" s="115" customFormat="1" hidden="1" x14ac:dyDescent="0.25">
      <c r="E34" s="116"/>
      <c r="K34" s="92"/>
      <c r="L34" s="92"/>
    </row>
  </sheetData>
  <sheetProtection algorithmName="SHA-512" hashValue="D6W4hWZMuSjefPj57VDYqHQS/rixZLNC1PVnhCrGzZFvMBgzqVT+4QXeJ5MOiu5M1pAqZFerG0/uxDvTDgXL3w==" saltValue="keURFBFT2uo1kHixU/8Cjw==" spinCount="100000" sheet="1" objects="1" scenarios="1" selectLockedCells="1"/>
  <mergeCells count="5">
    <mergeCell ref="B4:I4"/>
    <mergeCell ref="C10:H10"/>
    <mergeCell ref="C20:H20"/>
    <mergeCell ref="C24:H24"/>
    <mergeCell ref="C21:H21"/>
  </mergeCells>
  <conditionalFormatting sqref="E18">
    <cfRule type="expression" dxfId="37" priority="12">
      <formula>-ROUND($D$8,3)=ROUND($E$18,3)</formula>
    </cfRule>
    <cfRule type="expression" dxfId="36" priority="13">
      <formula>AND(E18&lt;&gt;"",E18&gt;0)</formula>
    </cfRule>
  </conditionalFormatting>
  <dataValidations count="1">
    <dataValidation type="decimal" allowBlank="1" showErrorMessage="1" errorTitle="Restriction" error="Value must be between 0% and 100%_x000a_" promptTitle="Restriction" prompt="Value must be between 0% and 100%_x000a_" sqref="E12" xr:uid="{5DC81179-5F34-40C2-A470-99F97299546A}">
      <formula1>0</formula1>
      <formula2>1</formula2>
    </dataValidation>
  </dataValidations>
  <hyperlinks>
    <hyperlink ref="H7" location="Results!A1" display="Results Summary" xr:uid="{F92E3E43-8FF0-4EDA-A0B5-EF061BCA494A}"/>
    <hyperlink ref="H6" location="Main!E65" display="Return to Main É" xr:uid="{A898FC75-1B00-46A9-9186-6D790FA158B6}"/>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6545" r:id="rId4" name="Check Box 1">
              <controlPr defaultSize="0" autoFill="0" autoLine="0" autoPict="0" altText="Exclude From Results Summary">
                <anchor moveWithCells="1">
                  <from>
                    <xdr:col>6</xdr:col>
                    <xdr:colOff>28575</xdr:colOff>
                    <xdr:row>16</xdr:row>
                    <xdr:rowOff>85725</xdr:rowOff>
                  </from>
                  <to>
                    <xdr:col>7</xdr:col>
                    <xdr:colOff>0</xdr:colOff>
                    <xdr:row>18</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sheetPr>
  <dimension ref="A1:L34"/>
  <sheetViews>
    <sheetView showGridLines="0" showRowColHeaders="0" topLeftCell="A3" zoomScaleNormal="100" workbookViewId="0">
      <selection activeCell="E12" sqref="E12"/>
    </sheetView>
  </sheetViews>
  <sheetFormatPr defaultColWidth="0" defaultRowHeight="15" zeroHeight="1" x14ac:dyDescent="0.25"/>
  <cols>
    <col min="1" max="1" width="4.42578125" style="115" customWidth="1"/>
    <col min="2" max="2" width="8.85546875" style="115" customWidth="1"/>
    <col min="3" max="3" width="20" style="115" customWidth="1"/>
    <col min="4" max="4" width="44.140625" style="115" customWidth="1"/>
    <col min="5" max="5" width="10.5703125" style="116" customWidth="1"/>
    <col min="6" max="6" width="5.5703125" style="116" customWidth="1"/>
    <col min="7" max="7" width="18.42578125" style="115" customWidth="1"/>
    <col min="8" max="8" width="17.5703125" style="115" customWidth="1"/>
    <col min="9" max="9" width="8.85546875" style="115" customWidth="1"/>
    <col min="10" max="10" width="4.5703125" style="115" customWidth="1"/>
    <col min="11" max="12" width="54.5703125" style="115" hidden="1" customWidth="1"/>
    <col min="13" max="16384" width="8.85546875" style="115" hidden="1"/>
  </cols>
  <sheetData>
    <row r="1" spans="1:11" hidden="1" x14ac:dyDescent="0.25">
      <c r="A1" s="77"/>
      <c r="B1" s="77"/>
      <c r="C1" s="77"/>
      <c r="D1" s="77"/>
      <c r="E1" s="103"/>
      <c r="F1" s="103"/>
      <c r="G1" s="77"/>
      <c r="H1" s="77"/>
      <c r="I1" s="77"/>
      <c r="J1" s="77"/>
    </row>
    <row r="2" spans="1:11" hidden="1" x14ac:dyDescent="0.25">
      <c r="A2" s="77"/>
      <c r="B2" s="77"/>
      <c r="C2" s="77"/>
      <c r="D2" s="77"/>
      <c r="E2" s="103"/>
      <c r="F2" s="103"/>
      <c r="G2" s="77"/>
      <c r="H2" s="77"/>
      <c r="I2" s="77"/>
      <c r="J2" s="77"/>
    </row>
    <row r="3" spans="1:11" ht="22.35" customHeight="1" x14ac:dyDescent="0.25">
      <c r="A3" s="77"/>
      <c r="B3" s="51"/>
      <c r="C3" s="77"/>
      <c r="D3" s="77"/>
      <c r="E3" s="103"/>
      <c r="F3" s="103"/>
      <c r="G3" s="119"/>
      <c r="H3" s="119"/>
      <c r="I3" s="77"/>
      <c r="J3" s="77"/>
    </row>
    <row r="4" spans="1:11" ht="21.6" customHeight="1" x14ac:dyDescent="0.25">
      <c r="A4" s="239" t="s">
        <v>933</v>
      </c>
      <c r="B4" s="781" t="str">
        <f>A4&amp;". "&amp;INDEX(VL_TDM!$E$11:$E$41,MATCH($A$4,VL_TDM!$B$11:$B$41,0),1)</f>
        <v>3A1. Price Workplace Parking</v>
      </c>
      <c r="C4" s="722"/>
      <c r="D4" s="722"/>
      <c r="E4" s="722"/>
      <c r="F4" s="722"/>
      <c r="G4" s="722"/>
      <c r="H4" s="722"/>
      <c r="I4" s="723"/>
      <c r="J4" s="77"/>
    </row>
    <row r="5" spans="1:11" ht="15" customHeight="1" x14ac:dyDescent="0.25">
      <c r="A5" s="77"/>
      <c r="B5" s="85"/>
      <c r="C5" s="98"/>
      <c r="D5" s="98"/>
      <c r="E5" s="98"/>
      <c r="F5" s="98"/>
      <c r="G5" s="100"/>
      <c r="H5" s="100"/>
      <c r="I5" s="83"/>
      <c r="J5" s="77"/>
      <c r="K5" s="77"/>
    </row>
    <row r="6" spans="1:11" ht="15" customHeight="1" x14ac:dyDescent="0.25">
      <c r="A6" s="77"/>
      <c r="B6" s="85"/>
      <c r="C6" s="98" t="s">
        <v>1</v>
      </c>
      <c r="D6" s="110" t="str">
        <f>INDEX(VL_TDM!$AC$11:$AC$41,MATCH($A$4,VL_TDM!$B$11:$B$41,0),1)</f>
        <v>Project/Site</v>
      </c>
      <c r="E6" s="100"/>
      <c r="F6" s="100"/>
      <c r="G6" s="100"/>
      <c r="H6" s="617" t="s">
        <v>89</v>
      </c>
      <c r="I6" s="83"/>
      <c r="J6" s="77"/>
    </row>
    <row r="7" spans="1:11" ht="15" customHeight="1" x14ac:dyDescent="0.25">
      <c r="A7" s="77"/>
      <c r="B7" s="85"/>
      <c r="C7" s="109" t="s">
        <v>2</v>
      </c>
      <c r="D7" s="113" t="str">
        <f>INDEX(VL_TDM!$AD$11:$AD$41,MATCH($A$4,VL_TDM!$B$11:$B$41,0),1)</f>
        <v>Employee commute trips</v>
      </c>
      <c r="E7" s="98"/>
      <c r="F7" s="462"/>
      <c r="G7" s="100"/>
      <c r="H7" s="617" t="s">
        <v>105</v>
      </c>
      <c r="I7" s="83"/>
      <c r="J7" s="77"/>
    </row>
    <row r="8" spans="1:11" ht="15" customHeight="1" x14ac:dyDescent="0.25">
      <c r="A8" s="77"/>
      <c r="B8" s="85"/>
      <c r="C8" s="109" t="s">
        <v>149</v>
      </c>
      <c r="D8" s="114">
        <f>INDEX(VL_TDM!$AE$11:$AE$41,MATCH($A$4,VL_TDM!$B$11:$B$41,0),1)</f>
        <v>0.2</v>
      </c>
      <c r="E8" s="98"/>
      <c r="F8" s="98"/>
      <c r="G8" s="100"/>
      <c r="H8" s="100"/>
      <c r="I8" s="83"/>
      <c r="J8" s="77"/>
      <c r="K8" s="77"/>
    </row>
    <row r="9" spans="1:11" ht="15" customHeight="1" x14ac:dyDescent="0.25">
      <c r="A9" s="77"/>
      <c r="B9" s="85"/>
      <c r="C9" s="98"/>
      <c r="D9" s="98"/>
      <c r="E9" s="100"/>
      <c r="F9" s="100"/>
      <c r="G9" s="98"/>
      <c r="H9" s="98"/>
      <c r="I9" s="83"/>
      <c r="J9" s="77"/>
    </row>
    <row r="10" spans="1:11" ht="196.5" customHeight="1" x14ac:dyDescent="0.25">
      <c r="A10" s="77"/>
      <c r="B10" s="85"/>
      <c r="C10" s="724" t="str">
        <f>INDEX(VL_TDM!$AF$11:$AF$41,MATCH($A$4,VL_TDM!$B$11:$B$41,0),1)</f>
        <v>This strategy will price on-site parking at workplaces. This may include the following: explicitly charging for parking for its employees, implementing above market rate pricing, validating parking only for invited guests, not providing employee parking and transportation allowances, and/or educating employees about available alternatives to driving. Because free employee parking is a common benefit, charging employees to park on-site increases the cost of choosing to drive to work. This is expected to reduce single-occupant vehicle commute trips, resulting in decreased VMT, thereby reducing associated GHG emissions. 
When implementing workplace parking, best practice is to ensure that other transportation options are available, convenient, and have competitive travel times (i.e., transit service near the project site, shuttle service, or a complete active transportation network serving the site and surrounding community), and that there is no alternative free parking available nearby (such as on-street). This strategy is ineffective in environments that do not have other modes available. Though like Strategy 3B, Parking “Cash-Out,” this strategy focuses on implementing market rate and above market rate pricing to provide a price signal for employees to consider other modes for their work commute. Strategy 3B requires employers to offer employee parking “cash-out.”</v>
      </c>
      <c r="D10" s="710"/>
      <c r="E10" s="710"/>
      <c r="F10" s="710"/>
      <c r="G10" s="710"/>
      <c r="H10" s="710"/>
      <c r="I10" s="83"/>
      <c r="J10" s="77"/>
    </row>
    <row r="11" spans="1:11" ht="15" customHeight="1" x14ac:dyDescent="0.25">
      <c r="A11" s="77"/>
      <c r="B11" s="85"/>
      <c r="C11" s="98"/>
      <c r="D11" s="98"/>
      <c r="E11" s="100"/>
      <c r="F11" s="100"/>
      <c r="G11" s="98"/>
      <c r="H11" s="98"/>
      <c r="I11" s="83"/>
      <c r="J11" s="77"/>
    </row>
    <row r="12" spans="1:11" ht="15" customHeight="1" x14ac:dyDescent="0.25">
      <c r="A12" s="77"/>
      <c r="B12" s="85"/>
      <c r="C12" s="105" t="s">
        <v>56</v>
      </c>
      <c r="D12" s="98"/>
      <c r="E12" s="56"/>
      <c r="F12" s="100"/>
      <c r="G12" s="98" t="s">
        <v>0</v>
      </c>
      <c r="H12" s="98"/>
      <c r="I12" s="83"/>
      <c r="J12" s="77"/>
    </row>
    <row r="13" spans="1:11" ht="7.35" customHeight="1" x14ac:dyDescent="0.25">
      <c r="A13" s="77"/>
      <c r="B13" s="85"/>
      <c r="C13" s="105"/>
      <c r="D13" s="98"/>
      <c r="E13" s="268"/>
      <c r="F13" s="100"/>
      <c r="G13" s="98"/>
      <c r="H13" s="98"/>
      <c r="I13" s="83"/>
      <c r="J13" s="77"/>
    </row>
    <row r="14" spans="1:11" ht="15" customHeight="1" x14ac:dyDescent="0.25">
      <c r="A14" s="77"/>
      <c r="B14" s="85"/>
      <c r="C14" s="105" t="s">
        <v>693</v>
      </c>
      <c r="D14" s="98"/>
      <c r="E14" s="56"/>
      <c r="F14" s="100"/>
      <c r="G14" s="98" t="s">
        <v>0</v>
      </c>
      <c r="H14" s="98"/>
      <c r="I14" s="83"/>
      <c r="J14" s="78"/>
    </row>
    <row r="15" spans="1:11" ht="7.35" customHeight="1" x14ac:dyDescent="0.25">
      <c r="A15" s="77"/>
      <c r="B15" s="85"/>
      <c r="C15" s="105"/>
      <c r="D15" s="98"/>
      <c r="E15" s="470">
        <f>IF(E14=0,0.001,"")</f>
        <v>1E-3</v>
      </c>
      <c r="F15" s="100"/>
      <c r="G15" s="98"/>
      <c r="H15" s="98"/>
      <c r="I15" s="83"/>
      <c r="J15" s="77"/>
    </row>
    <row r="16" spans="1:11" ht="15" customHeight="1" x14ac:dyDescent="0.25">
      <c r="A16" s="77"/>
      <c r="B16" s="85"/>
      <c r="C16" s="105" t="s">
        <v>694</v>
      </c>
      <c r="D16" s="98"/>
      <c r="E16" s="56"/>
      <c r="F16" s="100"/>
      <c r="G16" s="98" t="s">
        <v>0</v>
      </c>
      <c r="H16" s="98"/>
      <c r="I16" s="83"/>
      <c r="J16" s="78"/>
    </row>
    <row r="17" spans="1:10" ht="7.35" customHeight="1" x14ac:dyDescent="0.25">
      <c r="A17" s="77"/>
      <c r="B17" s="85"/>
      <c r="C17" s="105"/>
      <c r="D17" s="98"/>
      <c r="E17" s="470"/>
      <c r="F17" s="100"/>
      <c r="G17" s="98"/>
      <c r="H17" s="98"/>
      <c r="I17" s="83"/>
      <c r="J17" s="77"/>
    </row>
    <row r="18" spans="1:10" ht="15.6" customHeight="1" x14ac:dyDescent="0.25">
      <c r="A18" s="77"/>
      <c r="B18" s="85"/>
      <c r="C18" s="105" t="s">
        <v>70</v>
      </c>
      <c r="D18" s="98"/>
      <c r="E18" s="522" t="str">
        <f>IF(OR(ISBLANK(E14),ISBLANK(E16)),"",IF(E14=0,0.5,MIN(0.5,(E16-E14)/E14)))</f>
        <v/>
      </c>
      <c r="F18" s="100"/>
      <c r="G18" s="109" t="s">
        <v>10</v>
      </c>
      <c r="H18" s="109"/>
      <c r="I18" s="83"/>
      <c r="J18" s="77"/>
    </row>
    <row r="19" spans="1:10" ht="7.35" customHeight="1" x14ac:dyDescent="0.25">
      <c r="A19" s="77"/>
      <c r="B19" s="85"/>
      <c r="C19" s="105"/>
      <c r="D19" s="98"/>
      <c r="E19" s="98"/>
      <c r="F19" s="100"/>
      <c r="G19" s="98"/>
      <c r="H19" s="98"/>
      <c r="I19" s="83"/>
      <c r="J19" s="77"/>
    </row>
    <row r="20" spans="1:10" ht="15" customHeight="1" x14ac:dyDescent="0.25">
      <c r="A20" s="77"/>
      <c r="B20" s="85"/>
      <c r="C20" s="105" t="s">
        <v>930</v>
      </c>
      <c r="D20" s="98"/>
      <c r="E20" s="72"/>
      <c r="F20" s="100"/>
      <c r="G20" s="98" t="s">
        <v>0</v>
      </c>
      <c r="H20" s="98"/>
      <c r="I20" s="83"/>
      <c r="J20" s="78"/>
    </row>
    <row r="21" spans="1:10" ht="7.35" customHeight="1" x14ac:dyDescent="0.25">
      <c r="A21" s="77"/>
      <c r="B21" s="85"/>
      <c r="C21" s="105"/>
      <c r="D21" s="98"/>
      <c r="E21" s="98"/>
      <c r="F21" s="100"/>
      <c r="G21" s="98"/>
      <c r="H21" s="98"/>
      <c r="I21" s="83"/>
      <c r="J21" s="77"/>
    </row>
    <row r="22" spans="1:10" ht="15" customHeight="1" x14ac:dyDescent="0.25">
      <c r="A22" s="77"/>
      <c r="B22" s="85"/>
      <c r="C22" s="105" t="s">
        <v>545</v>
      </c>
      <c r="D22" s="98"/>
      <c r="E22" s="468">
        <v>-0.4</v>
      </c>
      <c r="F22" s="100"/>
      <c r="G22" s="521" t="s">
        <v>7</v>
      </c>
      <c r="H22" s="521"/>
      <c r="I22" s="83"/>
      <c r="J22" s="78"/>
    </row>
    <row r="23" spans="1:10" ht="7.35" customHeight="1" x14ac:dyDescent="0.25">
      <c r="A23" s="77"/>
      <c r="B23" s="85"/>
      <c r="C23" s="105"/>
      <c r="D23" s="98"/>
      <c r="E23" s="98"/>
      <c r="F23" s="100"/>
      <c r="G23" s="98"/>
      <c r="H23" s="98"/>
      <c r="I23" s="83"/>
      <c r="J23" s="77"/>
    </row>
    <row r="24" spans="1:10" ht="15" customHeight="1" x14ac:dyDescent="0.25">
      <c r="A24" s="77"/>
      <c r="B24" s="85"/>
      <c r="C24" s="105" t="s">
        <v>546</v>
      </c>
      <c r="D24" s="98"/>
      <c r="E24" s="468">
        <v>1</v>
      </c>
      <c r="F24" s="100"/>
      <c r="G24" s="108" t="s">
        <v>911</v>
      </c>
      <c r="H24" s="98"/>
      <c r="I24" s="83"/>
      <c r="J24" s="78"/>
    </row>
    <row r="25" spans="1:10" ht="7.35" customHeight="1" x14ac:dyDescent="0.25">
      <c r="A25" s="77"/>
      <c r="B25" s="85"/>
      <c r="C25" s="105"/>
      <c r="D25" s="98"/>
      <c r="E25" s="98"/>
      <c r="F25" s="100"/>
      <c r="G25" s="98"/>
      <c r="H25" s="98"/>
      <c r="I25" s="83"/>
      <c r="J25" s="77"/>
    </row>
    <row r="26" spans="1:10" ht="15" customHeight="1" x14ac:dyDescent="0.25">
      <c r="A26" s="77"/>
      <c r="B26" s="85"/>
      <c r="C26" s="105" t="s">
        <v>5</v>
      </c>
      <c r="D26" s="98"/>
      <c r="E26" s="129" t="str">
        <f>IF(AND(E14="",E16=""),"",IFERROR(MAX(-D8,E18*E22*E20*E24),""))</f>
        <v/>
      </c>
      <c r="F26" s="470"/>
      <c r="G26" s="55" t="b">
        <v>0</v>
      </c>
      <c r="H26" s="207" t="str">
        <f>IF(OR(G26=TRUE,E26=""),"Not Active","Active")</f>
        <v>Not Active</v>
      </c>
      <c r="I26" s="83"/>
      <c r="J26" s="77"/>
    </row>
    <row r="27" spans="1:10" ht="15" customHeight="1" x14ac:dyDescent="0.25">
      <c r="A27" s="77"/>
      <c r="B27" s="85"/>
      <c r="C27" s="98"/>
      <c r="D27" s="98"/>
      <c r="E27" s="100"/>
      <c r="F27" s="100"/>
      <c r="G27" s="98"/>
      <c r="H27" s="98"/>
      <c r="I27" s="83"/>
      <c r="J27" s="77"/>
    </row>
    <row r="28" spans="1:10" ht="51.95" customHeight="1" x14ac:dyDescent="0.25">
      <c r="A28" s="77"/>
      <c r="B28" s="85"/>
      <c r="C28" s="771" t="str">
        <f>"Formula:  % Change in VMT =  " &amp; SUBSTITUTE("(( " &amp; C16 &amp; " - " &amp; C14 &amp; " )/ " &amp; C14 &amp; " )* " &amp; C22 &amp; " * " &amp; C20 &amp; " * " &amp; C24 &amp; " "," used for calculation","")</f>
        <v xml:space="preserve">Formula:  % Change in VMT =  (( Proposed parking price - Baseline parking price )/ Baseline parking price )* Elasticity of parking demand with respect to parking price * Share of project users paying for parking * Ratio of vehicle trip reduction to VMT </v>
      </c>
      <c r="D28" s="772"/>
      <c r="E28" s="772"/>
      <c r="F28" s="772"/>
      <c r="G28" s="772"/>
      <c r="H28" s="773"/>
      <c r="I28" s="83"/>
      <c r="J28" s="77"/>
    </row>
    <row r="29" spans="1:10" ht="23.25" customHeight="1" x14ac:dyDescent="0.25">
      <c r="A29" s="77"/>
      <c r="B29" s="85"/>
      <c r="C29" s="783" t="s">
        <v>847</v>
      </c>
      <c r="D29" s="784"/>
      <c r="E29" s="784"/>
      <c r="F29" s="784"/>
      <c r="G29" s="784"/>
      <c r="H29" s="785"/>
      <c r="I29" s="83"/>
      <c r="J29" s="77"/>
    </row>
    <row r="30" spans="1:10" ht="15" customHeight="1" x14ac:dyDescent="0.25">
      <c r="A30" s="77"/>
      <c r="B30" s="85"/>
      <c r="C30" s="329"/>
      <c r="D30" s="329"/>
      <c r="E30" s="344"/>
      <c r="F30" s="344"/>
      <c r="G30" s="329"/>
      <c r="H30" s="329"/>
      <c r="I30" s="83"/>
      <c r="J30" s="77"/>
    </row>
    <row r="31" spans="1:10" ht="15" customHeight="1" x14ac:dyDescent="0.25">
      <c r="A31" s="77"/>
      <c r="B31" s="85"/>
      <c r="C31" s="98" t="s">
        <v>6</v>
      </c>
      <c r="D31" s="98"/>
      <c r="E31" s="100"/>
      <c r="F31" s="100"/>
      <c r="G31" s="98"/>
      <c r="H31" s="98"/>
      <c r="I31" s="83"/>
      <c r="J31" s="77"/>
    </row>
    <row r="32" spans="1:10" ht="35.25" customHeight="1" x14ac:dyDescent="0.25">
      <c r="A32" s="77"/>
      <c r="B32" s="85"/>
      <c r="C32" s="782" t="str">
        <f>INDEX(VL_TDM!$AG$11:$AG$41,MATCH($A$4,VL_TDM!$B$11:$B$41,0),1)</f>
        <v xml:space="preserve">(1) Lehner, S., Stefanie, P. 2019. The Price Elasticity of Parking: A Meta-analysis. Transportation Research Part A: Policy and Practice 121 2019. Available: http://sustainabletransportationsc.org/garage/pdf/parking_elasticity.pdf. Accessed: January 2021. </v>
      </c>
      <c r="D32" s="710"/>
      <c r="E32" s="710"/>
      <c r="F32" s="710"/>
      <c r="G32" s="710"/>
      <c r="H32" s="710"/>
      <c r="I32" s="83"/>
      <c r="J32" s="77"/>
    </row>
    <row r="33" spans="1:10" ht="15" customHeight="1" x14ac:dyDescent="0.25">
      <c r="A33" s="77"/>
      <c r="B33" s="101"/>
      <c r="C33" s="226"/>
      <c r="D33" s="226"/>
      <c r="E33" s="471"/>
      <c r="F33" s="471"/>
      <c r="G33" s="226"/>
      <c r="H33" s="226"/>
      <c r="I33" s="472"/>
      <c r="J33" s="77"/>
    </row>
    <row r="34" spans="1:10" ht="22.35" customHeight="1" x14ac:dyDescent="0.25">
      <c r="A34" s="77"/>
      <c r="B34" s="77"/>
      <c r="C34" s="77"/>
      <c r="D34" s="77"/>
      <c r="E34" s="103"/>
      <c r="F34" s="103"/>
      <c r="G34" s="77"/>
      <c r="H34" s="77"/>
      <c r="I34" s="77"/>
      <c r="J34" s="77"/>
    </row>
  </sheetData>
  <sheetProtection algorithmName="SHA-512" hashValue="IqMWmIwJC2WhANJTS9Q0T61TjU3YANbbw7Zs2xMBRJHhkTRRzhiLeW2JLHYLiKh+w/9O8BzmRl65CEGDjPa3Vw==" saltValue="OLgy5qrRaEGahkrOYZMB8A==" spinCount="100000" sheet="1" objects="1" scenarios="1" selectLockedCells="1"/>
  <mergeCells count="5">
    <mergeCell ref="B4:I4"/>
    <mergeCell ref="C28:H28"/>
    <mergeCell ref="C10:H10"/>
    <mergeCell ref="C32:H32"/>
    <mergeCell ref="C29:H29"/>
  </mergeCells>
  <conditionalFormatting sqref="E26">
    <cfRule type="expression" dxfId="35" priority="13">
      <formula>-ROUND($D$8,3)=ROUND($E$26,3)</formula>
    </cfRule>
    <cfRule type="expression" dxfId="34" priority="14">
      <formula>AND(E26&lt;&gt;"",E26&gt;0)</formula>
    </cfRule>
  </conditionalFormatting>
  <dataValidations count="1">
    <dataValidation type="decimal" operator="greaterThanOrEqual" allowBlank="1" showInputMessage="1" showErrorMessage="1" error="Value must not be negative" sqref="E16 E14 E20" xr:uid="{00000000-0002-0000-0C00-000000000000}">
      <formula1>0</formula1>
    </dataValidation>
  </dataValidations>
  <hyperlinks>
    <hyperlink ref="H7" location="Results!A1" display="Results Summary" xr:uid="{00000000-0004-0000-0C00-000000000000}"/>
    <hyperlink ref="H6" location="Main!E65" display="Return to Main É" xr:uid="{00000000-0004-0000-0C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7" r:id="rId4" name="Check Box 5">
              <controlPr defaultSize="0" autoFill="0" autoLine="0" autoPict="0" altText="Exclude From Results Summary">
                <anchor moveWithCells="1">
                  <from>
                    <xdr:col>6</xdr:col>
                    <xdr:colOff>0</xdr:colOff>
                    <xdr:row>25</xdr:row>
                    <xdr:rowOff>0</xdr:rowOff>
                  </from>
                  <to>
                    <xdr:col>7</xdr:col>
                    <xdr:colOff>0</xdr:colOff>
                    <xdr:row>26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00000000-0002-0000-0C00-000001000000}">
          <x14:formula1>
            <xm:f>VL_REF!$CE$12:$CE$16</xm:f>
          </x14:formula1>
          <xm:sqref>E12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23B2-9064-442A-B528-DC9A532D5571}">
  <sheetPr codeName="Sheet7">
    <tabColor theme="4"/>
  </sheetPr>
  <dimension ref="A1:L36"/>
  <sheetViews>
    <sheetView showGridLines="0" showRowColHeaders="0" topLeftCell="A3" zoomScaleNormal="100" workbookViewId="0">
      <selection activeCell="E12" sqref="E12"/>
    </sheetView>
  </sheetViews>
  <sheetFormatPr defaultColWidth="0" defaultRowHeight="15" customHeight="1" zeroHeight="1" x14ac:dyDescent="0.25"/>
  <cols>
    <col min="1" max="1" width="4.42578125" style="115" customWidth="1"/>
    <col min="2" max="2" width="8.85546875" style="115" customWidth="1"/>
    <col min="3" max="3" width="20" style="115" customWidth="1"/>
    <col min="4" max="4" width="45.5703125" style="115" customWidth="1"/>
    <col min="5" max="5" width="10.5703125" style="116" customWidth="1"/>
    <col min="6" max="6" width="5.5703125" style="116" customWidth="1"/>
    <col min="7" max="7" width="18.42578125" style="115" customWidth="1"/>
    <col min="8" max="8" width="17.5703125" style="115" customWidth="1"/>
    <col min="9" max="9" width="8.85546875" style="115" customWidth="1"/>
    <col min="10" max="10" width="4.5703125" style="115" customWidth="1"/>
    <col min="11" max="12" width="54.5703125" style="115" hidden="1" customWidth="1"/>
    <col min="13" max="16384" width="8.85546875" style="115" hidden="1"/>
  </cols>
  <sheetData>
    <row r="1" spans="1:11" hidden="1" x14ac:dyDescent="0.25">
      <c r="A1" s="77"/>
      <c r="B1" s="77"/>
      <c r="C1" s="77"/>
      <c r="D1" s="77"/>
      <c r="E1" s="103"/>
      <c r="F1" s="103"/>
      <c r="G1" s="77"/>
      <c r="H1" s="77"/>
      <c r="I1" s="77"/>
      <c r="J1" s="77"/>
    </row>
    <row r="2" spans="1:11" hidden="1" x14ac:dyDescent="0.25">
      <c r="A2" s="77"/>
      <c r="B2" s="77"/>
      <c r="C2" s="77"/>
      <c r="D2" s="77"/>
      <c r="E2" s="103"/>
      <c r="F2" s="103"/>
      <c r="G2" s="77"/>
      <c r="H2" s="77"/>
      <c r="I2" s="77"/>
      <c r="J2" s="77"/>
    </row>
    <row r="3" spans="1:11" ht="22.35" customHeight="1" x14ac:dyDescent="0.25">
      <c r="A3" s="77"/>
      <c r="B3" s="51"/>
      <c r="C3" s="77"/>
      <c r="D3" s="77"/>
      <c r="E3" s="103"/>
      <c r="F3" s="103"/>
      <c r="G3" s="119"/>
      <c r="H3" s="119"/>
      <c r="I3" s="77"/>
      <c r="J3" s="77"/>
    </row>
    <row r="4" spans="1:11" ht="21.6" customHeight="1" x14ac:dyDescent="0.25">
      <c r="A4" s="239" t="s">
        <v>931</v>
      </c>
      <c r="B4" s="781" t="str">
        <f>A4&amp;". "&amp;INDEX(VL_TDM!$E$11:$E$41,MATCH($A$4,VL_TDM!$B$11:$B$41,0),1)</f>
        <v>3A2. Unbundle Parking Costs from Property Cost</v>
      </c>
      <c r="C4" s="722"/>
      <c r="D4" s="722"/>
      <c r="E4" s="722"/>
      <c r="F4" s="722"/>
      <c r="G4" s="722"/>
      <c r="H4" s="722"/>
      <c r="I4" s="723"/>
      <c r="J4" s="77"/>
    </row>
    <row r="5" spans="1:11" ht="15" customHeight="1" x14ac:dyDescent="0.25">
      <c r="A5" s="77"/>
      <c r="B5" s="85"/>
      <c r="C5" s="98"/>
      <c r="D5" s="98"/>
      <c r="E5" s="98"/>
      <c r="F5" s="98"/>
      <c r="G5" s="100"/>
      <c r="H5" s="100"/>
      <c r="I5" s="83"/>
      <c r="J5" s="77"/>
      <c r="K5" s="77"/>
    </row>
    <row r="6" spans="1:11" ht="15" customHeight="1" x14ac:dyDescent="0.25">
      <c r="A6" s="77"/>
      <c r="B6" s="85"/>
      <c r="C6" s="98" t="s">
        <v>1</v>
      </c>
      <c r="D6" s="110" t="str">
        <f>INDEX(VL_TDM!$AC$11:$AC$41,MATCH($A$4,VL_TDM!$B$11:$B$41,0),1)</f>
        <v>Project/Site</v>
      </c>
      <c r="E6" s="100"/>
      <c r="F6" s="100"/>
      <c r="G6" s="100"/>
      <c r="H6" s="617" t="s">
        <v>89</v>
      </c>
      <c r="I6" s="83"/>
      <c r="J6" s="77"/>
    </row>
    <row r="7" spans="1:11" ht="15" customHeight="1" x14ac:dyDescent="0.25">
      <c r="A7" s="77"/>
      <c r="B7" s="85"/>
      <c r="C7" s="109" t="s">
        <v>2</v>
      </c>
      <c r="D7" s="113" t="str">
        <f>INDEX(VL_TDM!$AD$11:$AD$41,MATCH($A$4,VL_TDM!$B$11:$B$41,0),1)</f>
        <v>Project-generated trips</v>
      </c>
      <c r="E7" s="98"/>
      <c r="F7" s="462"/>
      <c r="G7" s="100"/>
      <c r="H7" s="617" t="s">
        <v>105</v>
      </c>
      <c r="I7" s="83"/>
      <c r="J7" s="77"/>
    </row>
    <row r="8" spans="1:11" ht="15" customHeight="1" x14ac:dyDescent="0.25">
      <c r="A8" s="77"/>
      <c r="B8" s="85"/>
      <c r="C8" s="109" t="s">
        <v>149</v>
      </c>
      <c r="D8" s="114">
        <f>INDEX(VL_TDM!$AE$11:$AE$41,MATCH($A$4,VL_TDM!$B$11:$B$41,0),1)</f>
        <v>0.13300000000000001</v>
      </c>
      <c r="E8" s="98"/>
      <c r="F8" s="98"/>
      <c r="G8" s="100"/>
      <c r="H8" s="100"/>
      <c r="I8" s="83"/>
      <c r="J8" s="77"/>
      <c r="K8" s="77"/>
    </row>
    <row r="9" spans="1:11" ht="15" customHeight="1" x14ac:dyDescent="0.25">
      <c r="A9" s="77"/>
      <c r="B9" s="85"/>
      <c r="C9" s="98"/>
      <c r="D9" s="98"/>
      <c r="E9" s="100"/>
      <c r="F9" s="100"/>
      <c r="G9" s="98"/>
      <c r="H9" s="98"/>
      <c r="I9" s="83"/>
      <c r="J9" s="77"/>
    </row>
    <row r="10" spans="1:11" ht="153.75" customHeight="1" x14ac:dyDescent="0.25">
      <c r="A10" s="77"/>
      <c r="B10" s="85"/>
      <c r="C10" s="724" t="str">
        <f>INDEX(VL_TDM!$AF$11:$AF$41,MATCH($A$4,VL_TDM!$B$11:$B$41,0),1)</f>
        <v>This strategy will unbundle, or separate, a residential project’s parking costs from property costs, requiring those who wish to purchase parking spaces to do so at an additional cost from the property cost. On the assumption that parking costs are passed through to the vehicle owners/drivers utilizing the parking spaces, this strategy results in decreased vehicle ownership and, therefore, a reduction in VMT and GHG emissions. Unbundling may not be available to all residential developments, depending on funding sources.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v>
      </c>
      <c r="D10" s="710"/>
      <c r="E10" s="710"/>
      <c r="F10" s="710"/>
      <c r="G10" s="710"/>
      <c r="H10" s="710"/>
      <c r="I10" s="83"/>
      <c r="J10" s="77"/>
    </row>
    <row r="11" spans="1:11" ht="15" customHeight="1" x14ac:dyDescent="0.25">
      <c r="A11" s="77"/>
      <c r="B11" s="85"/>
      <c r="C11" s="98"/>
      <c r="D11" s="98"/>
      <c r="E11" s="100"/>
      <c r="F11" s="100"/>
      <c r="G11" s="98"/>
      <c r="H11" s="98"/>
      <c r="I11" s="83"/>
      <c r="J11" s="77"/>
    </row>
    <row r="12" spans="1:11" ht="15" customHeight="1" x14ac:dyDescent="0.25">
      <c r="A12" s="77"/>
      <c r="B12" s="85"/>
      <c r="C12" s="105" t="s">
        <v>942</v>
      </c>
      <c r="D12" s="98"/>
      <c r="E12" s="253"/>
      <c r="F12" s="100"/>
      <c r="G12" s="98" t="s">
        <v>0</v>
      </c>
      <c r="H12" s="98"/>
      <c r="I12" s="83"/>
      <c r="J12" s="77"/>
    </row>
    <row r="13" spans="1:11" ht="7.35" customHeight="1" x14ac:dyDescent="0.25">
      <c r="A13" s="77"/>
      <c r="B13" s="85"/>
      <c r="C13" s="105"/>
      <c r="D13" s="98"/>
      <c r="E13" s="268"/>
      <c r="F13" s="100"/>
      <c r="G13" s="98"/>
      <c r="H13" s="98"/>
      <c r="I13" s="83"/>
      <c r="J13" s="77"/>
    </row>
    <row r="14" spans="1:11" ht="15" customHeight="1" x14ac:dyDescent="0.25">
      <c r="A14" s="77"/>
      <c r="B14" s="85"/>
      <c r="C14" s="105" t="s">
        <v>943</v>
      </c>
      <c r="D14" s="98"/>
      <c r="E14" s="523">
        <v>9282</v>
      </c>
      <c r="F14" s="100"/>
      <c r="G14" s="98" t="str">
        <f>"constant, source (1)"&amp;IF(ISBLANK(E16),"",", overridden")</f>
        <v>constant, source (1)</v>
      </c>
      <c r="H14" s="98"/>
      <c r="I14" s="83"/>
      <c r="J14" s="78"/>
    </row>
    <row r="15" spans="1:11" ht="7.35" customHeight="1" x14ac:dyDescent="0.25">
      <c r="A15" s="77"/>
      <c r="B15" s="85"/>
      <c r="C15" s="105"/>
      <c r="D15" s="98"/>
      <c r="E15" s="470" t="str">
        <f>IF(E14=0,0.001,"")</f>
        <v/>
      </c>
      <c r="F15" s="100"/>
      <c r="G15" s="98"/>
      <c r="H15" s="98"/>
      <c r="I15" s="83"/>
      <c r="J15" s="77"/>
    </row>
    <row r="16" spans="1:11" ht="15" customHeight="1" x14ac:dyDescent="0.25">
      <c r="A16" s="77"/>
      <c r="B16" s="85"/>
      <c r="C16" s="105" t="s">
        <v>944</v>
      </c>
      <c r="D16" s="98"/>
      <c r="E16" s="526"/>
      <c r="F16" s="100"/>
      <c r="G16" s="265" t="s">
        <v>11</v>
      </c>
      <c r="H16" s="98"/>
      <c r="I16" s="83"/>
      <c r="J16" s="78"/>
    </row>
    <row r="17" spans="1:10" ht="7.35" customHeight="1" x14ac:dyDescent="0.25">
      <c r="A17" s="77"/>
      <c r="B17" s="85"/>
      <c r="C17" s="105"/>
      <c r="D17" s="98"/>
      <c r="E17" s="470"/>
      <c r="F17" s="100"/>
      <c r="G17" s="98"/>
      <c r="H17" s="98"/>
      <c r="I17" s="83"/>
      <c r="J17" s="77"/>
    </row>
    <row r="18" spans="1:10" ht="15.6" customHeight="1" x14ac:dyDescent="0.25">
      <c r="A18" s="77"/>
      <c r="B18" s="85"/>
      <c r="C18" s="105" t="s">
        <v>945</v>
      </c>
      <c r="D18" s="98"/>
      <c r="E18" s="524">
        <f>IF(ISBLANK(E16),E14,E16)</f>
        <v>9282</v>
      </c>
      <c r="F18" s="100"/>
      <c r="G18" s="109" t="s">
        <v>10</v>
      </c>
      <c r="H18" s="109"/>
      <c r="I18" s="83"/>
      <c r="J18" s="77"/>
    </row>
    <row r="19" spans="1:10" ht="7.35" customHeight="1" x14ac:dyDescent="0.25">
      <c r="A19" s="77"/>
      <c r="B19" s="85"/>
      <c r="C19" s="105"/>
      <c r="D19" s="98"/>
      <c r="E19" s="98"/>
      <c r="F19" s="100"/>
      <c r="G19" s="98"/>
      <c r="H19" s="98"/>
      <c r="I19" s="83"/>
      <c r="J19" s="77"/>
    </row>
    <row r="20" spans="1:10" ht="15" customHeight="1" x14ac:dyDescent="0.25">
      <c r="A20" s="77"/>
      <c r="B20" s="85"/>
      <c r="C20" s="105" t="s">
        <v>946</v>
      </c>
      <c r="D20" s="98"/>
      <c r="E20" s="525">
        <v>-0.4</v>
      </c>
      <c r="F20" s="100"/>
      <c r="G20" s="98" t="s">
        <v>12</v>
      </c>
      <c r="H20" s="98"/>
      <c r="I20" s="83"/>
      <c r="J20" s="78"/>
    </row>
    <row r="21" spans="1:10" ht="7.35" customHeight="1" x14ac:dyDescent="0.25">
      <c r="A21" s="77"/>
      <c r="B21" s="85"/>
      <c r="C21" s="105"/>
      <c r="D21" s="98"/>
      <c r="E21" s="98"/>
      <c r="F21" s="100"/>
      <c r="G21" s="98"/>
      <c r="H21" s="98"/>
      <c r="I21" s="83"/>
      <c r="J21" s="77"/>
    </row>
    <row r="22" spans="1:10" ht="15" customHeight="1" x14ac:dyDescent="0.25">
      <c r="A22" s="77"/>
      <c r="B22" s="85"/>
      <c r="C22" s="105" t="s">
        <v>947</v>
      </c>
      <c r="D22" s="98"/>
      <c r="E22" s="468">
        <v>0.86</v>
      </c>
      <c r="F22" s="100"/>
      <c r="G22" s="521" t="s">
        <v>9</v>
      </c>
      <c r="H22" s="521"/>
      <c r="I22" s="83"/>
      <c r="J22" s="78"/>
    </row>
    <row r="23" spans="1:10" ht="7.35" customHeight="1" x14ac:dyDescent="0.25">
      <c r="A23" s="77"/>
      <c r="B23" s="85"/>
      <c r="C23" s="105"/>
      <c r="D23" s="98"/>
      <c r="E23" s="98"/>
      <c r="F23" s="100"/>
      <c r="G23" s="98"/>
      <c r="H23" s="98"/>
      <c r="I23" s="83"/>
      <c r="J23" s="77"/>
    </row>
    <row r="24" spans="1:10" ht="15" customHeight="1" x14ac:dyDescent="0.25">
      <c r="A24" s="77"/>
      <c r="B24" s="85"/>
      <c r="C24" s="105" t="s">
        <v>563</v>
      </c>
      <c r="D24" s="98"/>
      <c r="E24" s="468">
        <v>1</v>
      </c>
      <c r="F24" s="100"/>
      <c r="G24" s="108" t="s">
        <v>911</v>
      </c>
      <c r="H24" s="98"/>
      <c r="I24" s="83"/>
      <c r="J24" s="78"/>
    </row>
    <row r="25" spans="1:10" ht="7.35" customHeight="1" x14ac:dyDescent="0.25">
      <c r="A25" s="77"/>
      <c r="B25" s="85"/>
      <c r="C25" s="105"/>
      <c r="D25" s="98"/>
      <c r="E25" s="98"/>
      <c r="F25" s="100"/>
      <c r="G25" s="98"/>
      <c r="H25" s="98"/>
      <c r="I25" s="83"/>
      <c r="J25" s="77"/>
    </row>
    <row r="26" spans="1:10" ht="15" customHeight="1" x14ac:dyDescent="0.25">
      <c r="A26" s="77"/>
      <c r="B26" s="85"/>
      <c r="C26" s="104" t="s">
        <v>779</v>
      </c>
      <c r="D26" s="98"/>
      <c r="E26" s="72"/>
      <c r="F26" s="100"/>
      <c r="G26" s="262" t="s">
        <v>0</v>
      </c>
      <c r="H26" s="98"/>
      <c r="I26" s="83"/>
      <c r="J26" s="78"/>
    </row>
    <row r="27" spans="1:10" ht="7.35" customHeight="1" x14ac:dyDescent="0.25">
      <c r="A27" s="77"/>
      <c r="B27" s="85"/>
      <c r="C27" s="105"/>
      <c r="D27" s="98"/>
      <c r="E27" s="98"/>
      <c r="F27" s="100"/>
      <c r="G27" s="98"/>
      <c r="H27" s="98"/>
      <c r="I27" s="83"/>
      <c r="J27" s="77"/>
    </row>
    <row r="28" spans="1:10" ht="15" customHeight="1" x14ac:dyDescent="0.25">
      <c r="A28" s="77"/>
      <c r="B28" s="85"/>
      <c r="C28" s="105" t="s">
        <v>5</v>
      </c>
      <c r="D28" s="98"/>
      <c r="E28" s="129" t="str">
        <f>IF(OR(E12="",E26=""),"",IFERROR(MAX(-D8,(E12/E18)*E20*E22*E24*E26),""))</f>
        <v/>
      </c>
      <c r="F28" s="470"/>
      <c r="G28" s="55" t="b">
        <v>0</v>
      </c>
      <c r="H28" s="207" t="str">
        <f>IF(OR(G28=TRUE,E28=""),"Not Active","Active")</f>
        <v>Not Active</v>
      </c>
      <c r="I28" s="83"/>
      <c r="J28" s="77"/>
    </row>
    <row r="29" spans="1:10" ht="15" customHeight="1" x14ac:dyDescent="0.25">
      <c r="A29" s="77"/>
      <c r="B29" s="85"/>
      <c r="C29" s="98"/>
      <c r="D29" s="98"/>
      <c r="E29" s="100"/>
      <c r="F29" s="100"/>
      <c r="G29" s="98"/>
      <c r="H29" s="98"/>
      <c r="I29" s="83"/>
      <c r="J29" s="77"/>
    </row>
    <row r="30" spans="1:10" ht="51.95" customHeight="1" x14ac:dyDescent="0.25">
      <c r="A30" s="77"/>
      <c r="B30" s="85"/>
      <c r="C30" s="771" t="str">
        <f>"Formula:  % Change in VMT =  " &amp; SUBSTITUTE("( " &amp; C12 &amp; " / " &amp; C18 &amp; " ) * " &amp; C20 &amp; " * " &amp; C22 &amp; " * " &amp; C24 &amp; " * " &amp; C26," used for calculation","")</f>
        <v>Formula:  % Change in VMT =  ( Annual parking cost per space / Average annual vehicle cost ) * Elasticity of vehicle ownership with respect to total vehicle cost * Adjustment factor from vehicle ownership to vehicle trips * Adjustment factor from vehicle trips to VMT * Percent of project-generated VMT from residents</v>
      </c>
      <c r="D30" s="772"/>
      <c r="E30" s="772"/>
      <c r="F30" s="772"/>
      <c r="G30" s="772"/>
      <c r="H30" s="773"/>
      <c r="I30" s="83"/>
      <c r="J30" s="77"/>
    </row>
    <row r="31" spans="1:10" ht="23.25" customHeight="1" x14ac:dyDescent="0.25">
      <c r="A31" s="77"/>
      <c r="B31" s="85"/>
      <c r="C31" s="783" t="s">
        <v>948</v>
      </c>
      <c r="D31" s="784"/>
      <c r="E31" s="784"/>
      <c r="F31" s="784"/>
      <c r="G31" s="784"/>
      <c r="H31" s="785"/>
      <c r="I31" s="83"/>
      <c r="J31" s="77"/>
    </row>
    <row r="32" spans="1:10" ht="15" customHeight="1" x14ac:dyDescent="0.25">
      <c r="A32" s="77"/>
      <c r="B32" s="85"/>
      <c r="C32" s="329"/>
      <c r="D32" s="329"/>
      <c r="E32" s="344"/>
      <c r="F32" s="344"/>
      <c r="G32" s="329"/>
      <c r="H32" s="329"/>
      <c r="I32" s="83"/>
      <c r="J32" s="77"/>
    </row>
    <row r="33" spans="1:10" ht="15" customHeight="1" x14ac:dyDescent="0.25">
      <c r="A33" s="77"/>
      <c r="B33" s="85"/>
      <c r="C33" s="98" t="s">
        <v>6</v>
      </c>
      <c r="D33" s="98"/>
      <c r="E33" s="100"/>
      <c r="F33" s="100"/>
      <c r="G33" s="98"/>
      <c r="H33" s="98"/>
      <c r="I33" s="83"/>
      <c r="J33" s="77"/>
    </row>
    <row r="34" spans="1:10" ht="123.75" customHeight="1" x14ac:dyDescent="0.25">
      <c r="A34" s="77"/>
      <c r="B34" s="85"/>
      <c r="C34" s="782" t="str">
        <f>INDEX(VL_TDM!$AG$11:$AG$41,MATCH($A$4,VL_TDM!$B$11:$B$41,0),1)</f>
        <v>(1)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v>
      </c>
      <c r="D34" s="710"/>
      <c r="E34" s="710"/>
      <c r="F34" s="710"/>
      <c r="G34" s="710"/>
      <c r="H34" s="710"/>
      <c r="I34" s="83"/>
      <c r="J34" s="77"/>
    </row>
    <row r="35" spans="1:10" ht="15" customHeight="1" x14ac:dyDescent="0.25">
      <c r="A35" s="77"/>
      <c r="B35" s="101"/>
      <c r="C35" s="226"/>
      <c r="D35" s="226"/>
      <c r="E35" s="471"/>
      <c r="F35" s="471"/>
      <c r="G35" s="226"/>
      <c r="H35" s="226"/>
      <c r="I35" s="472"/>
      <c r="J35" s="77"/>
    </row>
    <row r="36" spans="1:10" ht="22.35" customHeight="1" x14ac:dyDescent="0.25">
      <c r="A36" s="77"/>
      <c r="B36" s="77"/>
      <c r="C36" s="77"/>
      <c r="D36" s="77"/>
      <c r="E36" s="103"/>
      <c r="F36" s="103"/>
      <c r="G36" s="77"/>
      <c r="H36" s="77"/>
      <c r="I36" s="77"/>
      <c r="J36" s="77"/>
    </row>
  </sheetData>
  <sheetProtection algorithmName="SHA-512" hashValue="JuOj1qaKZnVQCDjq//21/AqWHlcxHzQkX1c8Qu8+ZgzCKc5WhIV7lzOBqm2CMrGalkFoTmQsLxmDfCCFXH4KRQ==" saltValue="yUycGbVl5ENbOb/HNTn78g==" spinCount="100000" sheet="1" objects="1" scenarios="1" selectLockedCells="1"/>
  <mergeCells count="5">
    <mergeCell ref="B4:I4"/>
    <mergeCell ref="C10:H10"/>
    <mergeCell ref="C30:H30"/>
    <mergeCell ref="C31:H31"/>
    <mergeCell ref="C34:H34"/>
  </mergeCells>
  <conditionalFormatting sqref="E28">
    <cfRule type="expression" dxfId="33" priority="1">
      <formula>-ROUND($D$8,3)=ROUND($E$28,3)</formula>
    </cfRule>
    <cfRule type="expression" dxfId="32" priority="2">
      <formula>AND(E28&lt;&gt;"",E28&gt;0)</formula>
    </cfRule>
  </conditionalFormatting>
  <dataValidations count="3">
    <dataValidation type="decimal" allowBlank="1" showErrorMessage="1" error="Please enter a numeric value between $0 and $3,600." sqref="E12" xr:uid="{4433A66A-BC31-45B5-877D-1EAB5B9814B1}">
      <formula1>0</formula1>
      <formula2>3600</formula2>
    </dataValidation>
    <dataValidation type="decimal" operator="greaterThanOrEqual" allowBlank="1" showInputMessage="1" showErrorMessage="1" error="Value must not be negative" sqref="E16" xr:uid="{C9859D53-E561-49C8-999D-52B2B0C72617}">
      <formula1>0</formula1>
    </dataValidation>
    <dataValidation type="decimal" allowBlank="1" showErrorMessage="1" error="Please enter a value between 0% and 100%." sqref="E26" xr:uid="{5316C5EE-45B1-41FC-9460-72BF36B0058F}">
      <formula1>0</formula1>
      <formula2>1</formula2>
    </dataValidation>
  </dataValidations>
  <hyperlinks>
    <hyperlink ref="H7" location="Results!A1" display="Results Summary" xr:uid="{9F8C7565-53D3-4DB2-B7CC-9BCF07F55E0E}"/>
    <hyperlink ref="H6" location="Main!E65" display="Return to Main É" xr:uid="{286AB19A-22A4-4002-8349-098D31C23248}"/>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3825" r:id="rId4" name="Check Box 1">
              <controlPr defaultSize="0" autoFill="0" autoLine="0" autoPict="0" altText="Exclude From Results Summary">
                <anchor moveWithCells="1">
                  <from>
                    <xdr:col>6</xdr:col>
                    <xdr:colOff>0</xdr:colOff>
                    <xdr:row>27</xdr:row>
                    <xdr:rowOff>0</xdr:rowOff>
                  </from>
                  <to>
                    <xdr:col>7</xdr:col>
                    <xdr:colOff>0</xdr:colOff>
                    <xdr:row>28</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sheetPr>
  <dimension ref="A1:K26"/>
  <sheetViews>
    <sheetView showGridLines="0" showRowColHeaders="0" zoomScaleNormal="100" workbookViewId="0">
      <selection activeCell="E10" sqref="E10"/>
    </sheetView>
  </sheetViews>
  <sheetFormatPr defaultColWidth="0" defaultRowHeight="15" zeroHeight="1" x14ac:dyDescent="0.25"/>
  <cols>
    <col min="1" max="1" width="4.42578125" style="115" customWidth="1"/>
    <col min="2" max="2" width="8.85546875" style="115" customWidth="1"/>
    <col min="3" max="3" width="20" style="115" customWidth="1"/>
    <col min="4" max="4" width="47.5703125" style="115" customWidth="1"/>
    <col min="5" max="5" width="10.5703125" style="116" customWidth="1"/>
    <col min="6" max="6" width="5.5703125" style="115" customWidth="1"/>
    <col min="7" max="7" width="18.42578125" style="115" customWidth="1"/>
    <col min="8" max="8" width="17.5703125" style="115" customWidth="1"/>
    <col min="9" max="9" width="8.85546875" style="115" customWidth="1"/>
    <col min="10" max="10" width="4.42578125" style="115" customWidth="1"/>
    <col min="11" max="12" width="8.85546875" style="92" hidden="1" customWidth="1"/>
    <col min="13" max="16384" width="8.85546875" style="92" hidden="1"/>
  </cols>
  <sheetData>
    <row r="1" spans="1:11" ht="22.35" customHeight="1" x14ac:dyDescent="0.25">
      <c r="A1" s="77"/>
      <c r="B1" s="51"/>
      <c r="C1" s="77"/>
      <c r="D1" s="77"/>
      <c r="E1" s="103"/>
      <c r="F1" s="77"/>
      <c r="G1" s="77"/>
      <c r="H1" s="77"/>
      <c r="I1" s="77"/>
      <c r="J1" s="77"/>
    </row>
    <row r="2" spans="1:11" ht="21.6" customHeight="1" x14ac:dyDescent="0.25">
      <c r="A2" s="239" t="s">
        <v>28</v>
      </c>
      <c r="B2" s="781" t="s">
        <v>138</v>
      </c>
      <c r="C2" s="786"/>
      <c r="D2" s="786"/>
      <c r="E2" s="786"/>
      <c r="F2" s="786"/>
      <c r="G2" s="786"/>
      <c r="H2" s="786"/>
      <c r="I2" s="787"/>
      <c r="J2" s="77"/>
    </row>
    <row r="3" spans="1:11" ht="15" customHeight="1" x14ac:dyDescent="0.25">
      <c r="A3" s="77"/>
      <c r="B3" s="85"/>
      <c r="C3" s="98"/>
      <c r="D3" s="98"/>
      <c r="E3" s="98"/>
      <c r="F3" s="98"/>
      <c r="G3" s="100"/>
      <c r="H3" s="100"/>
      <c r="I3" s="83"/>
      <c r="J3" s="77"/>
      <c r="K3" s="78"/>
    </row>
    <row r="4" spans="1:11" ht="15" customHeight="1" x14ac:dyDescent="0.25">
      <c r="A4" s="77"/>
      <c r="B4" s="85"/>
      <c r="C4" s="98" t="s">
        <v>1</v>
      </c>
      <c r="D4" s="110" t="s">
        <v>39</v>
      </c>
      <c r="E4" s="100"/>
      <c r="F4" s="100"/>
      <c r="G4" s="112"/>
      <c r="H4" s="617" t="s">
        <v>89</v>
      </c>
      <c r="I4" s="83"/>
      <c r="J4" s="77"/>
    </row>
    <row r="5" spans="1:11" ht="15" customHeight="1" x14ac:dyDescent="0.25">
      <c r="A5" s="77"/>
      <c r="B5" s="85"/>
      <c r="C5" s="109" t="s">
        <v>2</v>
      </c>
      <c r="D5" s="113" t="s">
        <v>3</v>
      </c>
      <c r="E5" s="98"/>
      <c r="F5" s="462"/>
      <c r="G5" s="112"/>
      <c r="H5" s="617" t="s">
        <v>105</v>
      </c>
      <c r="I5" s="83"/>
      <c r="J5" s="77"/>
    </row>
    <row r="6" spans="1:11" ht="15" customHeight="1" x14ac:dyDescent="0.25">
      <c r="A6" s="77"/>
      <c r="B6" s="85"/>
      <c r="C6" s="109" t="s">
        <v>149</v>
      </c>
      <c r="D6" s="114">
        <v>0.12</v>
      </c>
      <c r="E6" s="98"/>
      <c r="F6" s="98"/>
      <c r="G6" s="100"/>
      <c r="H6" s="100"/>
      <c r="I6" s="83"/>
      <c r="J6" s="77"/>
      <c r="K6" s="78"/>
    </row>
    <row r="7" spans="1:11" ht="15" customHeight="1" x14ac:dyDescent="0.25">
      <c r="A7" s="77"/>
      <c r="B7" s="85"/>
      <c r="C7" s="111"/>
      <c r="D7" s="462"/>
      <c r="E7" s="100"/>
      <c r="F7" s="100"/>
      <c r="G7" s="98"/>
      <c r="H7" s="98"/>
      <c r="I7" s="83"/>
      <c r="J7" s="77"/>
    </row>
    <row r="8" spans="1:11" ht="61.5" customHeight="1" x14ac:dyDescent="0.25">
      <c r="A8" s="77"/>
      <c r="B8" s="85"/>
      <c r="C8" s="724" t="str">
        <f>INDEX(VL_TDM!$AF$11:$AF$41,MATCH($A$2,VL_TDM!$B$11:$B$41,0),1)</f>
        <v>This strategy will require project employers to offer employee parking cash-out. Cash-out is when employers provide employees with a choice of forgoing their current subsidized/free parking for a cash payment equivalent that is equal to or greater than the cost of the parking space. This encourages employees to use other modes of travel instead of single occupancy vehicles. This mode shift results in people driving less and thereby reduces VMT and GHG emissions.</v>
      </c>
      <c r="D8" s="724"/>
      <c r="E8" s="724"/>
      <c r="F8" s="724"/>
      <c r="G8" s="724"/>
      <c r="H8" s="724"/>
      <c r="I8" s="83"/>
      <c r="J8" s="77"/>
    </row>
    <row r="9" spans="1:11" ht="15" customHeight="1" x14ac:dyDescent="0.25">
      <c r="A9" s="77"/>
      <c r="B9" s="85"/>
      <c r="C9" s="98"/>
      <c r="D9" s="98"/>
      <c r="E9" s="100"/>
      <c r="F9" s="98"/>
      <c r="G9" s="98"/>
      <c r="H9" s="98"/>
      <c r="I9" s="83"/>
      <c r="J9" s="77"/>
    </row>
    <row r="10" spans="1:11" ht="15" customHeight="1" x14ac:dyDescent="0.25">
      <c r="A10" s="77"/>
      <c r="B10" s="85"/>
      <c r="C10" s="104" t="s">
        <v>4</v>
      </c>
      <c r="D10" s="105"/>
      <c r="E10" s="65"/>
      <c r="F10" s="98"/>
      <c r="G10" s="265" t="s">
        <v>0</v>
      </c>
      <c r="H10" s="262"/>
      <c r="I10" s="83"/>
      <c r="J10" s="77"/>
    </row>
    <row r="11" spans="1:11" ht="7.35" customHeight="1" x14ac:dyDescent="0.25">
      <c r="A11" s="77"/>
      <c r="B11" s="85"/>
      <c r="C11" s="105"/>
      <c r="D11" s="105"/>
      <c r="E11" s="98"/>
      <c r="F11" s="98"/>
      <c r="G11" s="263"/>
      <c r="H11" s="263"/>
      <c r="I11" s="83"/>
      <c r="J11" s="77"/>
    </row>
    <row r="12" spans="1:11" ht="15" customHeight="1" x14ac:dyDescent="0.25">
      <c r="A12" s="77"/>
      <c r="B12" s="85"/>
      <c r="C12" s="104" t="s">
        <v>695</v>
      </c>
      <c r="D12" s="527"/>
      <c r="E12" s="469">
        <v>-0.12</v>
      </c>
      <c r="F12" s="98"/>
      <c r="G12" s="262" t="s">
        <v>7</v>
      </c>
      <c r="H12" s="262"/>
      <c r="I12" s="83"/>
      <c r="J12" s="77"/>
    </row>
    <row r="13" spans="1:11" ht="7.35" customHeight="1" x14ac:dyDescent="0.25">
      <c r="A13" s="77"/>
      <c r="B13" s="85"/>
      <c r="C13" s="105"/>
      <c r="D13" s="105"/>
      <c r="E13" s="98"/>
      <c r="F13" s="263"/>
      <c r="G13" s="98"/>
      <c r="H13" s="98"/>
      <c r="I13" s="83"/>
      <c r="J13" s="77"/>
    </row>
    <row r="14" spans="1:11" ht="15" customHeight="1" x14ac:dyDescent="0.25">
      <c r="A14" s="77"/>
      <c r="B14" s="85"/>
      <c r="C14" s="104" t="s">
        <v>5</v>
      </c>
      <c r="D14" s="105"/>
      <c r="E14" s="129" t="str">
        <f>IFERROR(IF(E10&lt;&gt;"",MAX(-D6,E12*E10),""),"")</f>
        <v/>
      </c>
      <c r="F14" s="470"/>
      <c r="G14" s="57" t="b">
        <v>0</v>
      </c>
      <c r="H14" s="207" t="str">
        <f>IF(OR(G14=TRUE,E14=""),"Not Active","Active")</f>
        <v>Not Active</v>
      </c>
      <c r="I14" s="83"/>
      <c r="J14" s="77"/>
    </row>
    <row r="15" spans="1:11" ht="15" customHeight="1" x14ac:dyDescent="0.25">
      <c r="A15" s="77"/>
      <c r="B15" s="85"/>
      <c r="C15" s="98"/>
      <c r="D15" s="98"/>
      <c r="E15" s="100"/>
      <c r="F15" s="98"/>
      <c r="G15" s="98"/>
      <c r="H15" s="98"/>
      <c r="I15" s="83"/>
      <c r="J15" s="77"/>
    </row>
    <row r="16" spans="1:11" ht="17.850000000000001" customHeight="1" x14ac:dyDescent="0.25">
      <c r="A16" s="77"/>
      <c r="B16" s="85"/>
      <c r="C16" s="763" t="str">
        <f>CONCATENATE("Formula:  % Change in VMT = ",C10," * ",C12)</f>
        <v>Formula:  % Change in VMT = % of employees eligible * % reduction in commute VMT from implementation of strategy</v>
      </c>
      <c r="D16" s="764"/>
      <c r="E16" s="764"/>
      <c r="F16" s="764"/>
      <c r="G16" s="764"/>
      <c r="H16" s="765"/>
      <c r="I16" s="83"/>
      <c r="J16" s="77"/>
    </row>
    <row r="17" spans="1:10" ht="15" customHeight="1" x14ac:dyDescent="0.25">
      <c r="A17" s="77"/>
      <c r="B17" s="85"/>
      <c r="C17" s="98"/>
      <c r="D17" s="98"/>
      <c r="E17" s="100"/>
      <c r="F17" s="98"/>
      <c r="G17" s="98"/>
      <c r="H17" s="98"/>
      <c r="I17" s="83"/>
      <c r="J17" s="77"/>
    </row>
    <row r="18" spans="1:10" ht="15" customHeight="1" x14ac:dyDescent="0.25">
      <c r="A18" s="77"/>
      <c r="B18" s="85"/>
      <c r="C18" s="98" t="s">
        <v>113</v>
      </c>
      <c r="D18" s="98"/>
      <c r="E18" s="100"/>
      <c r="F18" s="98"/>
      <c r="G18" s="98"/>
      <c r="H18" s="98"/>
      <c r="I18" s="83"/>
      <c r="J18" s="77"/>
    </row>
    <row r="19" spans="1:10" ht="31.5" customHeight="1" x14ac:dyDescent="0.25">
      <c r="A19" s="77"/>
      <c r="B19" s="85"/>
      <c r="C19" s="782" t="str">
        <f>INDEX(VL_TDM!$AG$11:$AG$41,MATCH($A$2,VL_TDM!$B$11:$B$41,0),1)</f>
        <v>(1) Shoup, D. 2005. Parking Cash Out. Planners Advisory Service, American Planning Association. Available: http://shoup.bol.ucla.edu/ParkingCashOut.pdf. Accessed: January 2021.</v>
      </c>
      <c r="D19" s="782"/>
      <c r="E19" s="782"/>
      <c r="F19" s="782"/>
      <c r="G19" s="782"/>
      <c r="H19" s="782"/>
      <c r="I19" s="83"/>
      <c r="J19" s="77"/>
    </row>
    <row r="20" spans="1:10" ht="15" customHeight="1" x14ac:dyDescent="0.25">
      <c r="A20" s="77"/>
      <c r="B20" s="101"/>
      <c r="C20" s="226"/>
      <c r="D20" s="226"/>
      <c r="E20" s="471"/>
      <c r="F20" s="226"/>
      <c r="G20" s="226"/>
      <c r="H20" s="226"/>
      <c r="I20" s="472"/>
      <c r="J20" s="77"/>
    </row>
    <row r="21" spans="1:10" ht="22.35" customHeight="1" x14ac:dyDescent="0.25">
      <c r="A21" s="77"/>
      <c r="B21" s="78"/>
      <c r="C21" s="78"/>
      <c r="D21" s="78"/>
      <c r="E21" s="103"/>
      <c r="F21" s="77"/>
      <c r="G21" s="77"/>
      <c r="H21" s="77"/>
      <c r="I21" s="77"/>
      <c r="J21" s="77"/>
    </row>
    <row r="26" spans="1:10" hidden="1" x14ac:dyDescent="0.25">
      <c r="G26" s="115" t="b">
        <v>1</v>
      </c>
    </row>
  </sheetData>
  <sheetProtection algorithmName="SHA-512" hashValue="SsBcu/DfE5Oc/0FRQjkpruKFMua48P/8EyqCA1KjcsC0BlFy9AsQ/oRvFGY6onEvzG1wINiqkB+4/Ik7loFwQA==" saltValue="gT7Nz4tjQI8kr8ZHjvfS5A==" spinCount="100000" sheet="1" objects="1" scenarios="1" selectLockedCells="1"/>
  <mergeCells count="4">
    <mergeCell ref="B2:I2"/>
    <mergeCell ref="C16:H16"/>
    <mergeCell ref="C8:H8"/>
    <mergeCell ref="C19:H19"/>
  </mergeCells>
  <conditionalFormatting sqref="E14">
    <cfRule type="expression" dxfId="31" priority="12">
      <formula>-ROUND($D$6,3)=ROUND($E$14,3)</formula>
    </cfRule>
    <cfRule type="expression" dxfId="30" priority="13">
      <formula>AND(E14&lt;&gt;"",E14&gt;0)</formula>
    </cfRule>
  </conditionalFormatting>
  <dataValidations count="2">
    <dataValidation type="decimal" allowBlank="1" showErrorMessage="1" errorTitle="Restriction" error="Value must be between 0% and 100%_x000a_" promptTitle="Restriction" prompt="Value must be between 0% and 100%_x000a_" sqref="E10" xr:uid="{00000000-0002-0000-0D00-000000000000}">
      <formula1>0</formula1>
      <formula2>1</formula2>
    </dataValidation>
    <dataValidation allowBlank="1" showErrorMessage="1" errorTitle="Restriction" error="Value must be between 0% and 100%_x000a_" promptTitle="Restriction" prompt="Value must be between 0% and 100%_x000a_" sqref="E12" xr:uid="{00000000-0002-0000-0D00-000001000000}"/>
  </dataValidations>
  <hyperlinks>
    <hyperlink ref="H5" location="Results!A1" display="Results Summary" xr:uid="{00000000-0004-0000-0D00-000000000000}"/>
    <hyperlink ref="H4" location="Main!E65" display="Return to Main É" xr:uid="{00000000-0004-0000-0D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9" r:id="rId4" name="Check Box 3">
              <controlPr defaultSize="0" autoFill="0" autoLine="0" autoPict="0" altText="Exclude From Results Summary">
                <anchor moveWithCells="1">
                  <from>
                    <xdr:col>6</xdr:col>
                    <xdr:colOff>28575</xdr:colOff>
                    <xdr:row>12</xdr:row>
                    <xdr:rowOff>76200</xdr:rowOff>
                  </from>
                  <to>
                    <xdr:col>7</xdr:col>
                    <xdr:colOff>0</xdr:colOff>
                    <xdr:row>14</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A4152-A021-482C-BF2C-B332CFFC9B10}">
  <sheetPr codeName="Sheet35">
    <tabColor theme="4"/>
  </sheetPr>
  <dimension ref="A1:L30"/>
  <sheetViews>
    <sheetView showGridLines="0" showRowColHeaders="0" topLeftCell="A3" zoomScaleNormal="100" workbookViewId="0">
      <selection activeCell="E12" sqref="E12"/>
    </sheetView>
  </sheetViews>
  <sheetFormatPr defaultColWidth="0" defaultRowHeight="15" customHeight="1" zeroHeight="1" x14ac:dyDescent="0.25"/>
  <cols>
    <col min="1" max="1" width="4.42578125" style="115" customWidth="1"/>
    <col min="2" max="2" width="8.85546875" style="115" customWidth="1"/>
    <col min="3" max="3" width="20" style="115" customWidth="1"/>
    <col min="4" max="4" width="50.42578125" style="115" customWidth="1"/>
    <col min="5" max="5" width="10.5703125" style="116" customWidth="1"/>
    <col min="6" max="6" width="5.5703125" style="116" customWidth="1"/>
    <col min="7" max="7" width="18.42578125" style="115" customWidth="1"/>
    <col min="8" max="8" width="17.5703125" style="115" customWidth="1"/>
    <col min="9" max="9" width="8.85546875" style="115" customWidth="1"/>
    <col min="10" max="10" width="4.5703125" style="115" customWidth="1"/>
    <col min="11" max="12" width="54.5703125" style="115" hidden="1" customWidth="1"/>
    <col min="13" max="16384" width="8.85546875" style="115" hidden="1"/>
  </cols>
  <sheetData>
    <row r="1" spans="1:11" hidden="1" x14ac:dyDescent="0.25">
      <c r="A1" s="77"/>
      <c r="B1" s="77"/>
      <c r="C1" s="77"/>
      <c r="D1" s="77"/>
      <c r="E1" s="103"/>
      <c r="F1" s="103"/>
      <c r="G1" s="77"/>
      <c r="H1" s="77"/>
      <c r="I1" s="77"/>
      <c r="J1" s="77"/>
    </row>
    <row r="2" spans="1:11" hidden="1" x14ac:dyDescent="0.25">
      <c r="A2" s="77"/>
      <c r="B2" s="77"/>
      <c r="C2" s="77"/>
      <c r="D2" s="77"/>
      <c r="E2" s="103"/>
      <c r="F2" s="103"/>
      <c r="G2" s="77"/>
      <c r="H2" s="77"/>
      <c r="I2" s="77"/>
      <c r="J2" s="77"/>
    </row>
    <row r="3" spans="1:11" ht="22.35" customHeight="1" x14ac:dyDescent="0.25">
      <c r="A3" s="77"/>
      <c r="B3" s="51"/>
      <c r="C3" s="77"/>
      <c r="D3" s="77"/>
      <c r="E3" s="103"/>
      <c r="F3" s="103"/>
      <c r="G3" s="119"/>
      <c r="H3" s="119"/>
      <c r="I3" s="77"/>
      <c r="J3" s="77"/>
    </row>
    <row r="4" spans="1:11" ht="21.6" customHeight="1" x14ac:dyDescent="0.25">
      <c r="A4" s="239" t="s">
        <v>572</v>
      </c>
      <c r="B4" s="781" t="str">
        <f>A4&amp;". "&amp;INDEX(VL_TDM!$E$11:$E$41,MATCH($A$4,VL_TDM!$B$11:$B$41,0),1)</f>
        <v>3C. Limit Parking Supply</v>
      </c>
      <c r="C4" s="722"/>
      <c r="D4" s="722"/>
      <c r="E4" s="722"/>
      <c r="F4" s="722"/>
      <c r="G4" s="722"/>
      <c r="H4" s="722"/>
      <c r="I4" s="723"/>
      <c r="J4" s="77"/>
    </row>
    <row r="5" spans="1:11" ht="15" customHeight="1" x14ac:dyDescent="0.25">
      <c r="A5" s="77"/>
      <c r="B5" s="85"/>
      <c r="C5" s="98"/>
      <c r="D5" s="98"/>
      <c r="E5" s="98"/>
      <c r="F5" s="98"/>
      <c r="G5" s="100"/>
      <c r="H5" s="100"/>
      <c r="I5" s="83"/>
      <c r="J5" s="77"/>
      <c r="K5" s="77"/>
    </row>
    <row r="6" spans="1:11" ht="15" customHeight="1" x14ac:dyDescent="0.25">
      <c r="A6" s="77"/>
      <c r="B6" s="85"/>
      <c r="C6" s="98" t="s">
        <v>1</v>
      </c>
      <c r="D6" s="110" t="str">
        <f>INDEX(VL_TDM!$AC$11:$AC$41,MATCH($A$4,VL_TDM!$B$11:$B$41,0),1)</f>
        <v>Project/Site</v>
      </c>
      <c r="E6" s="100"/>
      <c r="F6" s="100"/>
      <c r="G6" s="100"/>
      <c r="H6" s="617" t="s">
        <v>89</v>
      </c>
      <c r="I6" s="83"/>
      <c r="J6" s="77"/>
    </row>
    <row r="7" spans="1:11" ht="15" customHeight="1" x14ac:dyDescent="0.25">
      <c r="A7" s="77"/>
      <c r="B7" s="85"/>
      <c r="C7" s="109" t="s">
        <v>2</v>
      </c>
      <c r="D7" s="113" t="str">
        <f>INDEX(VL_TDM!$AD$11:$AD$41,MATCH($A$4,VL_TDM!$B$11:$B$41,0),1)</f>
        <v>Project-generated trips</v>
      </c>
      <c r="E7" s="98"/>
      <c r="F7" s="462"/>
      <c r="G7" s="100"/>
      <c r="H7" s="617" t="s">
        <v>105</v>
      </c>
      <c r="I7" s="83"/>
      <c r="J7" s="77"/>
    </row>
    <row r="8" spans="1:11" ht="15" customHeight="1" x14ac:dyDescent="0.25">
      <c r="A8" s="77"/>
      <c r="B8" s="85"/>
      <c r="C8" s="109" t="s">
        <v>149</v>
      </c>
      <c r="D8" s="114">
        <f>INDEX(VL_TDM!$AE$11:$AE$41,MATCH($A$4,VL_TDM!$B$11:$B$41,0),1)</f>
        <v>0.13700000000000001</v>
      </c>
      <c r="E8" s="98"/>
      <c r="F8" s="98"/>
      <c r="G8" s="100"/>
      <c r="H8" s="100"/>
      <c r="I8" s="83"/>
      <c r="J8" s="77"/>
      <c r="K8" s="77"/>
    </row>
    <row r="9" spans="1:11" ht="15" customHeight="1" x14ac:dyDescent="0.25">
      <c r="A9" s="77"/>
      <c r="B9" s="85"/>
      <c r="C9" s="98"/>
      <c r="D9" s="98"/>
      <c r="E9" s="100"/>
      <c r="F9" s="100"/>
      <c r="G9" s="98"/>
      <c r="H9" s="98"/>
      <c r="I9" s="83"/>
      <c r="J9" s="77"/>
    </row>
    <row r="10" spans="1:11" ht="159.94999999999999" customHeight="1" x14ac:dyDescent="0.25">
      <c r="A10" s="77"/>
      <c r="B10" s="85"/>
      <c r="C10" s="724" t="str">
        <f>INDEX(VL_TDM!$AF$11:$AF$41,MATCH($A$4,VL_TDM!$B$11:$B$41,0),1)</f>
        <v>This strategy will reduce the total parking supply available at a residential project or site. Limiting the amount of parking available creates scarcity and adds additional time and inconvenience to trips made by private auto, thus disincentivizing driving as a mode of travel. Reducing the convenience of driving results in a shift to other modes and decreased VMT and thus a reduction in GHG emissions. When limiting parking supply, a best practice is to do so at sites that are located near high-quality alternative modes of travel (such as a rail station, frequent bus line, or in a higher density area with multiple walkable locations nearby). Limiting parking supply may also allow for more active uses on any given lot, which may support Strategies 2B1 and 2B2 by allowing for higher density construction. 
This strategy is ineffective in locations where unrestricted street parking or other off-site parking is available nearby and has adequate capacity to accommodate project-related vehicle parking demand. Evidence of the effects of reduced parking supply is strongest for residential developments.</v>
      </c>
      <c r="D10" s="710"/>
      <c r="E10" s="710"/>
      <c r="F10" s="710"/>
      <c r="G10" s="710"/>
      <c r="H10" s="710"/>
      <c r="I10" s="83"/>
      <c r="J10" s="77"/>
    </row>
    <row r="11" spans="1:11" ht="15" customHeight="1" x14ac:dyDescent="0.25">
      <c r="A11" s="77"/>
      <c r="B11" s="85"/>
      <c r="C11" s="98"/>
      <c r="D11" s="98"/>
      <c r="E11" s="100"/>
      <c r="F11" s="100"/>
      <c r="G11" s="98"/>
      <c r="H11" s="98"/>
      <c r="I11" s="83"/>
      <c r="J11" s="77"/>
    </row>
    <row r="12" spans="1:11" ht="15" customHeight="1" x14ac:dyDescent="0.25">
      <c r="A12" s="77"/>
      <c r="B12" s="85"/>
      <c r="C12" s="105" t="s">
        <v>849</v>
      </c>
      <c r="D12" s="98"/>
      <c r="E12" s="59"/>
      <c r="F12" s="100"/>
      <c r="G12" s="98" t="s">
        <v>0</v>
      </c>
      <c r="H12" s="98"/>
      <c r="I12" s="83"/>
      <c r="J12" s="78"/>
    </row>
    <row r="13" spans="1:11" ht="7.35" customHeight="1" x14ac:dyDescent="0.25">
      <c r="A13" s="77"/>
      <c r="B13" s="85"/>
      <c r="C13" s="105"/>
      <c r="D13" s="98"/>
      <c r="E13" s="268"/>
      <c r="F13" s="100"/>
      <c r="G13" s="98"/>
      <c r="H13" s="98"/>
      <c r="I13" s="83"/>
      <c r="J13" s="77"/>
    </row>
    <row r="14" spans="1:11" ht="15" customHeight="1" x14ac:dyDescent="0.25">
      <c r="A14" s="77"/>
      <c r="B14" s="85"/>
      <c r="C14" s="105" t="s">
        <v>573</v>
      </c>
      <c r="D14" s="98"/>
      <c r="E14" s="59"/>
      <c r="F14" s="100"/>
      <c r="G14" s="98" t="s">
        <v>0</v>
      </c>
      <c r="H14" s="98"/>
      <c r="I14" s="83"/>
      <c r="J14" s="78"/>
    </row>
    <row r="15" spans="1:11" ht="7.35" customHeight="1" x14ac:dyDescent="0.25">
      <c r="A15" s="77"/>
      <c r="B15" s="85"/>
      <c r="C15" s="105"/>
      <c r="D15" s="98"/>
      <c r="E15" s="470">
        <f>IF(E14=0,0.001,"")</f>
        <v>1E-3</v>
      </c>
      <c r="F15" s="100"/>
      <c r="G15" s="98"/>
      <c r="H15" s="98"/>
      <c r="I15" s="83"/>
      <c r="J15" s="77"/>
    </row>
    <row r="16" spans="1:11" ht="15" customHeight="1" x14ac:dyDescent="0.25">
      <c r="A16" s="77"/>
      <c r="B16" s="85"/>
      <c r="C16" s="105" t="s">
        <v>696</v>
      </c>
      <c r="D16" s="98"/>
      <c r="E16" s="72"/>
      <c r="F16" s="100"/>
      <c r="G16" s="98" t="s">
        <v>0</v>
      </c>
      <c r="H16" s="98"/>
      <c r="I16" s="83"/>
      <c r="J16" s="78"/>
    </row>
    <row r="17" spans="1:10" ht="7.35" customHeight="1" x14ac:dyDescent="0.25">
      <c r="A17" s="77"/>
      <c r="B17" s="85"/>
      <c r="C17" s="105"/>
      <c r="D17" s="98"/>
      <c r="E17" s="470"/>
      <c r="F17" s="100"/>
      <c r="G17" s="98"/>
      <c r="H17" s="98"/>
      <c r="I17" s="83"/>
      <c r="J17" s="77"/>
    </row>
    <row r="18" spans="1:10" ht="15.6" customHeight="1" x14ac:dyDescent="0.25">
      <c r="A18" s="77"/>
      <c r="B18" s="85"/>
      <c r="C18" s="105" t="s">
        <v>697</v>
      </c>
      <c r="D18" s="98"/>
      <c r="E18" s="469">
        <v>0.37</v>
      </c>
      <c r="F18" s="100"/>
      <c r="G18" s="521" t="s">
        <v>7</v>
      </c>
      <c r="H18" s="109"/>
      <c r="I18" s="83"/>
      <c r="J18" s="78"/>
    </row>
    <row r="19" spans="1:10" ht="7.35" customHeight="1" x14ac:dyDescent="0.25">
      <c r="A19" s="77"/>
      <c r="B19" s="85"/>
      <c r="C19" s="105"/>
      <c r="D19" s="98"/>
      <c r="E19" s="98"/>
      <c r="F19" s="100"/>
      <c r="G19" s="98"/>
      <c r="H19" s="98"/>
      <c r="I19" s="83"/>
      <c r="J19" s="77"/>
    </row>
    <row r="20" spans="1:10" ht="15" customHeight="1" x14ac:dyDescent="0.25">
      <c r="A20" s="77"/>
      <c r="B20" s="85"/>
      <c r="C20" s="105" t="s">
        <v>698</v>
      </c>
      <c r="D20" s="98"/>
      <c r="E20" s="469">
        <v>0.37</v>
      </c>
      <c r="F20" s="100"/>
      <c r="G20" s="521" t="s">
        <v>9</v>
      </c>
      <c r="H20" s="98"/>
      <c r="I20" s="83"/>
      <c r="J20" s="78"/>
    </row>
    <row r="21" spans="1:10" ht="15" customHeight="1" x14ac:dyDescent="0.25">
      <c r="A21" s="77"/>
      <c r="B21" s="85"/>
      <c r="C21" s="105" t="s">
        <v>574</v>
      </c>
      <c r="D21" s="98"/>
      <c r="E21" s="98"/>
      <c r="F21" s="100"/>
      <c r="G21" s="98"/>
      <c r="H21" s="98"/>
      <c r="I21" s="83"/>
      <c r="J21" s="77"/>
    </row>
    <row r="22" spans="1:10" ht="7.35" customHeight="1" x14ac:dyDescent="0.25">
      <c r="A22" s="77"/>
      <c r="B22" s="85"/>
      <c r="C22" s="105"/>
      <c r="D22" s="98"/>
      <c r="E22" s="98"/>
      <c r="F22" s="100"/>
      <c r="G22" s="98"/>
      <c r="H22" s="98"/>
      <c r="I22" s="83"/>
      <c r="J22" s="77"/>
    </row>
    <row r="23" spans="1:10" ht="15" customHeight="1" x14ac:dyDescent="0.25">
      <c r="A23" s="77"/>
      <c r="B23" s="85"/>
      <c r="C23" s="105" t="s">
        <v>5</v>
      </c>
      <c r="D23" s="98"/>
      <c r="E23" s="129" t="str">
        <f>IF(AND(E12="",E14=""),"",IFERROR(MAX(-D8,-((E12-E14)/E12)*E16*E18*E20),""))</f>
        <v/>
      </c>
      <c r="F23" s="470"/>
      <c r="G23" s="55" t="b">
        <v>0</v>
      </c>
      <c r="H23" s="207" t="str">
        <f>IF(OR(G23=TRUE,E23=""),"Not Active","Active")</f>
        <v>Not Active</v>
      </c>
      <c r="I23" s="83"/>
      <c r="J23" s="77"/>
    </row>
    <row r="24" spans="1:10" ht="15" customHeight="1" x14ac:dyDescent="0.25">
      <c r="A24" s="77"/>
      <c r="B24" s="85"/>
      <c r="C24" s="98"/>
      <c r="D24" s="98"/>
      <c r="E24" s="100"/>
      <c r="F24" s="100"/>
      <c r="G24" s="98"/>
      <c r="H24" s="98"/>
      <c r="I24" s="83"/>
      <c r="J24" s="77"/>
    </row>
    <row r="25" spans="1:10" ht="51.95" customHeight="1" x14ac:dyDescent="0.25">
      <c r="A25" s="77"/>
      <c r="B25" s="85"/>
      <c r="C25" s="725" t="str">
        <f>"Formula:  % Change in VMT =  " &amp; SUBSTITUTE("-(( " &amp; C12 &amp; " - " &amp; C14 &amp; " )/ " &amp; C12 &amp; " )* " &amp; C16 &amp; " * " &amp; C18 &amp; " * " &amp; C20 &amp;"  " &amp;C21&amp; " )"," used for calculation","")</f>
        <v>Formula:  % Change in VMT =  -(( Residential parking demand (# of spaces) - Project residential parking supply )/ Residential parking demand (# of spaces) )* % of project VMT generated by residents * % of household VMT that is commute based * % reduction in commute mode share by driving among   households in areas with scarce parking )</v>
      </c>
      <c r="D25" s="726"/>
      <c r="E25" s="726"/>
      <c r="F25" s="726"/>
      <c r="G25" s="726"/>
      <c r="H25" s="777"/>
      <c r="I25" s="83"/>
      <c r="J25" s="77"/>
    </row>
    <row r="26" spans="1:10" ht="15" customHeight="1" x14ac:dyDescent="0.25">
      <c r="A26" s="77"/>
      <c r="B26" s="85"/>
      <c r="C26" s="329"/>
      <c r="D26" s="329"/>
      <c r="E26" s="344"/>
      <c r="F26" s="344"/>
      <c r="G26" s="329"/>
      <c r="H26" s="329"/>
      <c r="I26" s="83"/>
      <c r="J26" s="77"/>
    </row>
    <row r="27" spans="1:10" ht="15" customHeight="1" x14ac:dyDescent="0.25">
      <c r="A27" s="77"/>
      <c r="B27" s="85"/>
      <c r="C27" s="98" t="s">
        <v>6</v>
      </c>
      <c r="D27" s="98"/>
      <c r="E27" s="100"/>
      <c r="F27" s="100"/>
      <c r="G27" s="98"/>
      <c r="H27" s="98"/>
      <c r="I27" s="83"/>
      <c r="J27" s="77"/>
    </row>
    <row r="28" spans="1:10" ht="80.099999999999994" customHeight="1" x14ac:dyDescent="0.25">
      <c r="A28" s="77"/>
      <c r="B28" s="85"/>
      <c r="C28" s="782" t="str">
        <f>INDEX(VL_TDM!$AG$11:$AG$41,MATCH($A$4,VL_TDM!$B$11:$B$41,0),1)</f>
        <v>(1)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v>
      </c>
      <c r="D28" s="710"/>
      <c r="E28" s="710"/>
      <c r="F28" s="710"/>
      <c r="G28" s="710"/>
      <c r="H28" s="710"/>
      <c r="I28" s="83"/>
      <c r="J28" s="77"/>
    </row>
    <row r="29" spans="1:10" ht="15" customHeight="1" x14ac:dyDescent="0.25">
      <c r="A29" s="77"/>
      <c r="B29" s="101"/>
      <c r="C29" s="226"/>
      <c r="D29" s="226"/>
      <c r="E29" s="471"/>
      <c r="F29" s="471"/>
      <c r="G29" s="226"/>
      <c r="H29" s="226"/>
      <c r="I29" s="472"/>
      <c r="J29" s="77"/>
    </row>
    <row r="30" spans="1:10" ht="22.35" customHeight="1" x14ac:dyDescent="0.25">
      <c r="A30" s="77"/>
      <c r="B30" s="78"/>
      <c r="C30" s="78"/>
      <c r="D30" s="77"/>
      <c r="E30" s="103"/>
      <c r="F30" s="103"/>
      <c r="G30" s="77"/>
      <c r="H30" s="77"/>
      <c r="I30" s="77"/>
      <c r="J30" s="77"/>
    </row>
  </sheetData>
  <sheetProtection algorithmName="SHA-512" hashValue="Zvvoq+Ok/are2Vr3ug6olRK3/KTuBrRTVlwPU7zh8z9/VxtCE2Ycff7lVaiXaYZLR9r83Jl2zkZjUkoFM3o4Jg==" saltValue="dsQ5UW1JLkEy2pQ1sV/qng==" spinCount="100000" sheet="1" objects="1" scenarios="1" selectLockedCells="1"/>
  <mergeCells count="4">
    <mergeCell ref="B4:I4"/>
    <mergeCell ref="C10:H10"/>
    <mergeCell ref="C25:H25"/>
    <mergeCell ref="C28:H28"/>
  </mergeCells>
  <conditionalFormatting sqref="E23">
    <cfRule type="expression" dxfId="29" priority="5">
      <formula>-ROUND($D$8,3)=ROUND($E$23,3)</formula>
    </cfRule>
    <cfRule type="expression" dxfId="28" priority="6">
      <formula>AND(E23&lt;&gt;"",E23&gt;0)</formula>
    </cfRule>
  </conditionalFormatting>
  <dataValidations count="1">
    <dataValidation type="decimal" operator="greaterThanOrEqual" allowBlank="1" showInputMessage="1" showErrorMessage="1" error="Value must not be negative" sqref="E16 E14 E12" xr:uid="{12804A0C-61EF-44B2-B05A-ECDCB7AD560D}">
      <formula1>0</formula1>
    </dataValidation>
  </dataValidations>
  <hyperlinks>
    <hyperlink ref="H7" location="Results!A1" display="Results Summary" xr:uid="{9380AA42-854A-4481-BEA7-71109BB18456}"/>
    <hyperlink ref="H6" location="Main!E65" display="Return to Main É" xr:uid="{96384D8D-E475-4453-9D0C-2EC68507B0CB}"/>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ltText="Exclude From Results Summary">
                <anchor moveWithCells="1">
                  <from>
                    <xdr:col>6</xdr:col>
                    <xdr:colOff>0</xdr:colOff>
                    <xdr:row>22</xdr:row>
                    <xdr:rowOff>0</xdr:rowOff>
                  </from>
                  <to>
                    <xdr:col>7</xdr:col>
                    <xdr:colOff>0</xdr:colOff>
                    <xdr:row>23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45F77-9BA4-4C48-A997-006C4AF85260}">
  <sheetPr codeName="Sheet36">
    <tabColor theme="4"/>
  </sheetPr>
  <dimension ref="A1:M90"/>
  <sheetViews>
    <sheetView showGridLines="0" showRowColHeaders="0" topLeftCell="A3" zoomScaleNormal="100" workbookViewId="0">
      <selection activeCell="F11" sqref="F11"/>
    </sheetView>
  </sheetViews>
  <sheetFormatPr defaultColWidth="0" defaultRowHeight="15" customHeight="1" zeroHeight="1" x14ac:dyDescent="0.25"/>
  <cols>
    <col min="1" max="1" width="4.42578125" style="115" customWidth="1"/>
    <col min="2" max="2" width="8.85546875" style="115" customWidth="1"/>
    <col min="3" max="3" width="20" style="115" customWidth="1"/>
    <col min="4" max="4" width="25" style="115" customWidth="1"/>
    <col min="5" max="5" width="39.140625" style="115" customWidth="1"/>
    <col min="6" max="6" width="11.5703125" style="115" customWidth="1"/>
    <col min="7" max="7" width="5.5703125" style="115" customWidth="1"/>
    <col min="8" max="8" width="19.140625" style="116" customWidth="1"/>
    <col min="9" max="9" width="17.5703125" style="115" customWidth="1"/>
    <col min="10" max="10" width="8.85546875" style="115" customWidth="1"/>
    <col min="11" max="11" width="4.5703125" style="115" customWidth="1"/>
    <col min="12" max="13" width="19.85546875" style="92" hidden="1" customWidth="1"/>
    <col min="14" max="16384" width="8.85546875" style="92" hidden="1"/>
  </cols>
  <sheetData>
    <row r="1" spans="1:11" hidden="1" x14ac:dyDescent="0.25">
      <c r="A1" s="77"/>
      <c r="B1" s="77"/>
      <c r="C1" s="77"/>
      <c r="D1" s="77"/>
      <c r="E1" s="77"/>
      <c r="F1" s="77"/>
      <c r="G1" s="77"/>
      <c r="H1" s="103"/>
      <c r="I1" s="77"/>
      <c r="J1" s="77"/>
      <c r="K1" s="77"/>
    </row>
    <row r="2" spans="1:11" ht="22.35" hidden="1" customHeight="1" x14ac:dyDescent="0.25">
      <c r="A2" s="77"/>
      <c r="B2" s="121"/>
      <c r="C2" s="77"/>
      <c r="D2" s="77"/>
      <c r="E2" s="77"/>
      <c r="F2" s="77"/>
      <c r="G2" s="77"/>
      <c r="H2" s="103"/>
      <c r="I2" s="77"/>
      <c r="J2" s="77"/>
      <c r="K2" s="77"/>
    </row>
    <row r="3" spans="1:11" ht="22.35" customHeight="1" x14ac:dyDescent="0.25">
      <c r="A3" s="77"/>
      <c r="B3" s="51"/>
      <c r="C3" s="77"/>
      <c r="D3" s="77"/>
      <c r="E3" s="77"/>
      <c r="F3" s="77"/>
      <c r="G3" s="77"/>
      <c r="H3" s="103"/>
      <c r="I3" s="77"/>
      <c r="J3" s="77"/>
      <c r="K3" s="77"/>
    </row>
    <row r="4" spans="1:11" ht="18.75" x14ac:dyDescent="0.25">
      <c r="A4" s="239" t="s">
        <v>886</v>
      </c>
      <c r="B4" s="788" t="str">
        <f>A4&amp;". "&amp;INDEX(VL_TDM!$E$11:$E$41,MATCH($A$4,VL_TDM!$B$11:$B$41,0),1)</f>
        <v>3D. Provide Bike Parking</v>
      </c>
      <c r="C4" s="722"/>
      <c r="D4" s="722"/>
      <c r="E4" s="722"/>
      <c r="F4" s="722"/>
      <c r="G4" s="722"/>
      <c r="H4" s="722"/>
      <c r="I4" s="722"/>
      <c r="J4" s="723"/>
      <c r="K4" s="77"/>
    </row>
    <row r="5" spans="1:11" ht="15" customHeight="1" x14ac:dyDescent="0.25">
      <c r="A5" s="77"/>
      <c r="B5" s="85"/>
      <c r="C5" s="110"/>
      <c r="D5" s="110"/>
      <c r="E5" s="110"/>
      <c r="F5" s="110"/>
      <c r="G5" s="98"/>
      <c r="H5" s="100"/>
      <c r="I5" s="98"/>
      <c r="J5" s="83"/>
      <c r="K5" s="77"/>
    </row>
    <row r="6" spans="1:11" ht="15" customHeight="1" x14ac:dyDescent="0.25">
      <c r="A6" s="77"/>
      <c r="B6" s="85"/>
      <c r="C6" s="98" t="s">
        <v>1</v>
      </c>
      <c r="D6" s="462" t="str">
        <f>INDEX(VL_TDM!$AC$11:$AC$41,MATCH($A$4,VL_TDM!$B$11:$B$41,0),1)</f>
        <v>Project/Site</v>
      </c>
      <c r="E6" s="462"/>
      <c r="F6" s="100"/>
      <c r="G6" s="100"/>
      <c r="H6" s="100"/>
      <c r="I6" s="617" t="s">
        <v>89</v>
      </c>
      <c r="J6" s="83"/>
      <c r="K6" s="77"/>
    </row>
    <row r="7" spans="1:11" ht="15" customHeight="1" x14ac:dyDescent="0.25">
      <c r="A7" s="77"/>
      <c r="B7" s="85"/>
      <c r="C7" s="109" t="s">
        <v>2</v>
      </c>
      <c r="D7" s="113" t="str">
        <f>INDEX(VL_TDM!$AD$11:$AD$41,MATCH($A$4,VL_TDM!$B$11:$B$41,0),1)</f>
        <v>Project-generated trips</v>
      </c>
      <c r="E7" s="113"/>
      <c r="F7" s="100"/>
      <c r="G7" s="100"/>
      <c r="H7" s="98"/>
      <c r="I7" s="617" t="s">
        <v>105</v>
      </c>
      <c r="J7" s="83"/>
      <c r="K7" s="77"/>
    </row>
    <row r="8" spans="1:11" ht="15" customHeight="1" x14ac:dyDescent="0.25">
      <c r="A8" s="77"/>
      <c r="B8" s="85"/>
      <c r="C8" s="109" t="s">
        <v>149</v>
      </c>
      <c r="D8" s="114">
        <f>INDEX(VL_TDM!$AE$11:$AE$41,MATCH($A$4,VL_TDM!$B$11:$B$41,0),1)</f>
        <v>4.3999999999999997E-2</v>
      </c>
      <c r="E8" s="110"/>
      <c r="F8" s="110"/>
      <c r="G8" s="98"/>
      <c r="H8" s="100"/>
      <c r="I8" s="98"/>
      <c r="J8" s="83"/>
      <c r="K8" s="77"/>
    </row>
    <row r="9" spans="1:11" ht="15" customHeight="1" x14ac:dyDescent="0.25">
      <c r="A9" s="77"/>
      <c r="B9" s="85"/>
      <c r="C9" s="98"/>
      <c r="D9" s="98"/>
      <c r="E9" s="98"/>
      <c r="F9" s="98"/>
      <c r="G9" s="98"/>
      <c r="H9" s="100"/>
      <c r="I9" s="98"/>
      <c r="J9" s="83"/>
      <c r="K9" s="77"/>
    </row>
    <row r="10" spans="1:11" ht="60" customHeight="1" x14ac:dyDescent="0.25">
      <c r="A10" s="77"/>
      <c r="B10" s="85"/>
      <c r="C10" s="724" t="str">
        <f>INDEX(VL_TDM!$AF$11:$AF$41,MATCH($A$4,VL_TDM!$B$11:$B$41,0),1)</f>
        <v>This strategy will install and maintain end-of-trip facilities for employee use. End-of-trip facilities include bike parking, bike lockers, showers, and personal lockers. The provision of secure bike parking and related facilities encourages commuting by bicycle, thereby reducing VMT and GHG emissions.</v>
      </c>
      <c r="D10" s="710"/>
      <c r="E10" s="710"/>
      <c r="F10" s="710"/>
      <c r="G10" s="710"/>
      <c r="H10" s="710"/>
      <c r="I10" s="710"/>
      <c r="J10" s="83"/>
      <c r="K10" s="77"/>
    </row>
    <row r="11" spans="1:11" ht="15" customHeight="1" x14ac:dyDescent="0.25">
      <c r="A11" s="77"/>
      <c r="B11" s="85"/>
      <c r="C11" s="104" t="s">
        <v>582</v>
      </c>
      <c r="D11" s="105"/>
      <c r="E11" s="98"/>
      <c r="F11" s="533"/>
      <c r="G11" s="98"/>
      <c r="H11" s="109" t="s">
        <v>0</v>
      </c>
      <c r="I11" s="98"/>
      <c r="J11" s="83"/>
      <c r="K11" s="77"/>
    </row>
    <row r="12" spans="1:11" ht="15" customHeight="1" x14ac:dyDescent="0.25">
      <c r="A12" s="77"/>
      <c r="B12" s="85"/>
      <c r="C12" s="104"/>
      <c r="D12" s="105"/>
      <c r="E12" s="98"/>
      <c r="F12" s="98"/>
      <c r="G12" s="100"/>
      <c r="H12" s="473"/>
      <c r="I12" s="98"/>
      <c r="J12" s="83"/>
      <c r="K12" s="77"/>
    </row>
    <row r="13" spans="1:11" ht="15" customHeight="1" x14ac:dyDescent="0.25">
      <c r="A13" s="77"/>
      <c r="B13" s="85"/>
      <c r="C13" s="104" t="s">
        <v>712</v>
      </c>
      <c r="D13" s="104"/>
      <c r="E13" s="262"/>
      <c r="F13" s="502" t="e">
        <f>IF(K13="Use Capcoa 2021",VL_REF!$T$3,INDEX(VL_TAZ!$O$9:$AD$9,1,MATCH($C13,VL_TAZ!$O$10:$AD$10,0)))</f>
        <v>#N/A</v>
      </c>
      <c r="G13" s="100"/>
      <c r="H13" s="98" t="str">
        <f>CONCATENATE("Alameda CTC model",IF(NOT(ISBLANK(F15)),", overridden",""))</f>
        <v>Alameda CTC model</v>
      </c>
      <c r="I13" s="98"/>
      <c r="J13" s="83"/>
      <c r="K13" s="239" t="s">
        <v>683</v>
      </c>
    </row>
    <row r="14" spans="1:11" ht="7.35" customHeight="1" x14ac:dyDescent="0.25">
      <c r="A14" s="77"/>
      <c r="B14" s="85"/>
      <c r="C14" s="104"/>
      <c r="D14" s="105"/>
      <c r="E14" s="98"/>
      <c r="F14" s="98"/>
      <c r="G14" s="100"/>
      <c r="H14" s="263"/>
      <c r="I14" s="98"/>
      <c r="J14" s="83"/>
      <c r="K14" s="239"/>
    </row>
    <row r="15" spans="1:11" ht="15" customHeight="1" x14ac:dyDescent="0.25">
      <c r="A15" s="77"/>
      <c r="B15" s="85"/>
      <c r="C15" s="104" t="s">
        <v>711</v>
      </c>
      <c r="D15" s="105"/>
      <c r="E15" s="528"/>
      <c r="F15" s="63"/>
      <c r="G15" s="100"/>
      <c r="H15" s="265" t="s">
        <v>11</v>
      </c>
      <c r="I15" s="98"/>
      <c r="J15" s="83"/>
      <c r="K15" s="239"/>
    </row>
    <row r="16" spans="1:11" ht="7.35" customHeight="1" x14ac:dyDescent="0.25">
      <c r="A16" s="77"/>
      <c r="B16" s="85"/>
      <c r="C16" s="104"/>
      <c r="D16" s="105"/>
      <c r="E16" s="98"/>
      <c r="F16" s="98"/>
      <c r="G16" s="100"/>
      <c r="H16" s="98"/>
      <c r="I16" s="98"/>
      <c r="J16" s="83"/>
      <c r="K16" s="239"/>
    </row>
    <row r="17" spans="1:11" x14ac:dyDescent="0.25">
      <c r="A17" s="77"/>
      <c r="B17" s="85"/>
      <c r="C17" s="104" t="s">
        <v>713</v>
      </c>
      <c r="D17" s="105"/>
      <c r="E17" s="98"/>
      <c r="F17" s="529" t="e">
        <f>IF(ISBLANK(F15),F13,F15)</f>
        <v>#N/A</v>
      </c>
      <c r="G17" s="98"/>
      <c r="H17" s="109" t="s">
        <v>10</v>
      </c>
      <c r="I17" s="98"/>
      <c r="J17" s="83"/>
      <c r="K17" s="240"/>
    </row>
    <row r="18" spans="1:11" ht="7.35" customHeight="1" x14ac:dyDescent="0.25">
      <c r="A18" s="77"/>
      <c r="B18" s="85"/>
      <c r="C18" s="104"/>
      <c r="D18" s="105"/>
      <c r="E18" s="98"/>
      <c r="F18" s="98"/>
      <c r="G18" s="100"/>
      <c r="H18" s="109"/>
      <c r="I18" s="98"/>
      <c r="J18" s="83"/>
      <c r="K18" s="239"/>
    </row>
    <row r="19" spans="1:11" ht="15" customHeight="1" x14ac:dyDescent="0.25">
      <c r="A19" s="77"/>
      <c r="B19" s="85"/>
      <c r="C19" s="104" t="s">
        <v>714</v>
      </c>
      <c r="D19" s="105"/>
      <c r="E19" s="98"/>
      <c r="F19" s="502" t="e">
        <f>IF(K19="Use Capcoa 2021",VL_REF!$U$3,INDEX(VL_TAZ!$O$9:$AD$9,1,MATCH($C19,VL_TAZ!$O$10:$AD$10,0)))</f>
        <v>#N/A</v>
      </c>
      <c r="G19" s="100"/>
      <c r="H19" s="98" t="str">
        <f>CONCATENATE("Alameda CTC model",IF(NOT(ISBLANK(F21)),", overridden",""))</f>
        <v>Alameda CTC model</v>
      </c>
      <c r="I19" s="98"/>
      <c r="J19" s="83"/>
      <c r="K19" s="239" t="s">
        <v>683</v>
      </c>
    </row>
    <row r="20" spans="1:11" ht="7.35" customHeight="1" x14ac:dyDescent="0.25">
      <c r="A20" s="77"/>
      <c r="B20" s="85"/>
      <c r="C20" s="104"/>
      <c r="D20" s="105"/>
      <c r="E20" s="98"/>
      <c r="F20" s="98"/>
      <c r="G20" s="100"/>
      <c r="H20" s="263"/>
      <c r="I20" s="98"/>
      <c r="J20" s="83"/>
      <c r="K20" s="239"/>
    </row>
    <row r="21" spans="1:11" ht="15" customHeight="1" x14ac:dyDescent="0.25">
      <c r="A21" s="77"/>
      <c r="B21" s="85"/>
      <c r="C21" s="104" t="s">
        <v>715</v>
      </c>
      <c r="D21" s="105"/>
      <c r="E21" s="528"/>
      <c r="F21" s="63"/>
      <c r="G21" s="100"/>
      <c r="H21" s="265" t="s">
        <v>11</v>
      </c>
      <c r="I21" s="98"/>
      <c r="J21" s="83"/>
      <c r="K21" s="239"/>
    </row>
    <row r="22" spans="1:11" ht="7.35" customHeight="1" x14ac:dyDescent="0.25">
      <c r="A22" s="77"/>
      <c r="B22" s="85"/>
      <c r="C22" s="104"/>
      <c r="D22" s="105"/>
      <c r="E22" s="98"/>
      <c r="F22" s="98"/>
      <c r="G22" s="100"/>
      <c r="H22" s="98"/>
      <c r="I22" s="98"/>
      <c r="J22" s="83"/>
      <c r="K22" s="239"/>
    </row>
    <row r="23" spans="1:11" x14ac:dyDescent="0.25">
      <c r="A23" s="77"/>
      <c r="B23" s="85"/>
      <c r="C23" s="104" t="s">
        <v>717</v>
      </c>
      <c r="D23" s="105"/>
      <c r="E23" s="465"/>
      <c r="F23" s="529" t="e">
        <f>IF(ISBLANK(F21),F19,F21)</f>
        <v>#N/A</v>
      </c>
      <c r="G23" s="98"/>
      <c r="H23" s="109" t="s">
        <v>10</v>
      </c>
      <c r="I23" s="98"/>
      <c r="J23" s="83"/>
      <c r="K23" s="240"/>
    </row>
    <row r="24" spans="1:11" ht="7.35" customHeight="1" x14ac:dyDescent="0.25">
      <c r="A24" s="77"/>
      <c r="B24" s="85"/>
      <c r="C24" s="104"/>
      <c r="D24" s="105"/>
      <c r="E24" s="465"/>
      <c r="F24" s="98"/>
      <c r="G24" s="100"/>
      <c r="H24" s="109"/>
      <c r="I24" s="98"/>
      <c r="J24" s="83"/>
      <c r="K24" s="239"/>
    </row>
    <row r="25" spans="1:11" ht="15" customHeight="1" x14ac:dyDescent="0.25">
      <c r="A25" s="77"/>
      <c r="B25" s="85"/>
      <c r="C25" s="104" t="s">
        <v>729</v>
      </c>
      <c r="D25" s="104"/>
      <c r="E25" s="262"/>
      <c r="F25" s="530" t="e">
        <f>IF(K25="Use Capcoa 2021",VL_REF!$BQ$3,INDEX(VL_TAZ!$O$9:$AD$9,1,MATCH($C25,VL_TAZ!$O$10:$AD$10,0)))</f>
        <v>#N/A</v>
      </c>
      <c r="G25" s="100"/>
      <c r="H25" s="98" t="str">
        <f>CONCATENATE("Alameda CTC model",IF(NOT(ISBLANK(F27)),", overridden",""))</f>
        <v>Alameda CTC model</v>
      </c>
      <c r="I25" s="109"/>
      <c r="J25" s="83"/>
      <c r="K25" s="239" t="s">
        <v>683</v>
      </c>
    </row>
    <row r="26" spans="1:11" ht="7.35" customHeight="1" x14ac:dyDescent="0.25">
      <c r="A26" s="77"/>
      <c r="B26" s="85"/>
      <c r="C26" s="104"/>
      <c r="D26" s="105"/>
      <c r="E26" s="98"/>
      <c r="F26" s="98"/>
      <c r="G26" s="100"/>
      <c r="H26" s="263"/>
      <c r="I26" s="109"/>
      <c r="J26" s="83"/>
      <c r="K26" s="239"/>
    </row>
    <row r="27" spans="1:11" ht="15" customHeight="1" x14ac:dyDescent="0.25">
      <c r="A27" s="77"/>
      <c r="B27" s="85"/>
      <c r="C27" s="104" t="s">
        <v>730</v>
      </c>
      <c r="D27" s="105"/>
      <c r="E27" s="528"/>
      <c r="F27" s="166"/>
      <c r="G27" s="100"/>
      <c r="H27" s="265" t="s">
        <v>11</v>
      </c>
      <c r="I27" s="109"/>
      <c r="J27" s="83"/>
      <c r="K27" s="239"/>
    </row>
    <row r="28" spans="1:11" ht="7.35" customHeight="1" x14ac:dyDescent="0.25">
      <c r="A28" s="77"/>
      <c r="B28" s="85"/>
      <c r="C28" s="104"/>
      <c r="D28" s="105"/>
      <c r="E28" s="98"/>
      <c r="F28" s="98"/>
      <c r="G28" s="100"/>
      <c r="H28" s="98"/>
      <c r="I28" s="109"/>
      <c r="J28" s="83"/>
      <c r="K28" s="239"/>
    </row>
    <row r="29" spans="1:11" ht="15" customHeight="1" x14ac:dyDescent="0.25">
      <c r="A29" s="77"/>
      <c r="B29" s="85"/>
      <c r="C29" s="104" t="s">
        <v>731</v>
      </c>
      <c r="D29" s="105"/>
      <c r="E29" s="98"/>
      <c r="F29" s="531" t="e">
        <f>IF(ISBLANK(F27),F25,F27)</f>
        <v>#N/A</v>
      </c>
      <c r="G29" s="98"/>
      <c r="H29" s="109" t="s">
        <v>10</v>
      </c>
      <c r="I29" s="109"/>
      <c r="J29" s="83"/>
      <c r="K29" s="240"/>
    </row>
    <row r="30" spans="1:11" ht="7.35" customHeight="1" x14ac:dyDescent="0.25">
      <c r="A30" s="77"/>
      <c r="B30" s="85"/>
      <c r="C30" s="104"/>
      <c r="D30" s="105"/>
      <c r="E30" s="98"/>
      <c r="F30" s="98"/>
      <c r="G30" s="100"/>
      <c r="H30" s="109"/>
      <c r="I30" s="109"/>
      <c r="J30" s="83"/>
      <c r="K30" s="239"/>
    </row>
    <row r="31" spans="1:11" ht="15" customHeight="1" x14ac:dyDescent="0.25">
      <c r="A31" s="77"/>
      <c r="B31" s="85"/>
      <c r="C31" s="104" t="s">
        <v>732</v>
      </c>
      <c r="D31" s="105"/>
      <c r="E31" s="98"/>
      <c r="F31" s="530" t="e">
        <f>IF(K31="Use Capcoa 2021",VL_REF!$BR$3,INDEX(VL_TAZ!$O$9:$AD$9,1,MATCH($C31,VL_TAZ!$O$10:$AD$10,0)))</f>
        <v>#N/A</v>
      </c>
      <c r="G31" s="100"/>
      <c r="H31" s="98" t="str">
        <f>CONCATENATE("Alameda CTC model",IF(NOT(ISBLANK(F33)),", overridden",""))</f>
        <v>Alameda CTC model</v>
      </c>
      <c r="I31" s="109"/>
      <c r="J31" s="83"/>
      <c r="K31" s="239" t="s">
        <v>683</v>
      </c>
    </row>
    <row r="32" spans="1:11" ht="7.35" customHeight="1" x14ac:dyDescent="0.25">
      <c r="A32" s="77"/>
      <c r="B32" s="85"/>
      <c r="C32" s="104"/>
      <c r="D32" s="105"/>
      <c r="E32" s="98"/>
      <c r="F32" s="98"/>
      <c r="G32" s="100"/>
      <c r="H32" s="263"/>
      <c r="I32" s="109"/>
      <c r="J32" s="83"/>
      <c r="K32" s="77"/>
    </row>
    <row r="33" spans="1:11" ht="15" customHeight="1" x14ac:dyDescent="0.25">
      <c r="A33" s="77"/>
      <c r="B33" s="85"/>
      <c r="C33" s="104" t="s">
        <v>733</v>
      </c>
      <c r="D33" s="105"/>
      <c r="E33" s="528"/>
      <c r="F33" s="166"/>
      <c r="G33" s="100"/>
      <c r="H33" s="265" t="s">
        <v>11</v>
      </c>
      <c r="I33" s="109"/>
      <c r="J33" s="83"/>
      <c r="K33" s="77"/>
    </row>
    <row r="34" spans="1:11" ht="7.35" customHeight="1" x14ac:dyDescent="0.25">
      <c r="A34" s="77"/>
      <c r="B34" s="85"/>
      <c r="C34" s="104"/>
      <c r="D34" s="105"/>
      <c r="E34" s="98"/>
      <c r="F34" s="98"/>
      <c r="G34" s="100"/>
      <c r="H34" s="98"/>
      <c r="I34" s="109"/>
      <c r="J34" s="83"/>
      <c r="K34" s="77"/>
    </row>
    <row r="35" spans="1:11" ht="15" customHeight="1" x14ac:dyDescent="0.25">
      <c r="A35" s="77"/>
      <c r="B35" s="85"/>
      <c r="C35" s="104" t="s">
        <v>734</v>
      </c>
      <c r="D35" s="105"/>
      <c r="E35" s="465"/>
      <c r="F35" s="531" t="e">
        <f>IF(ISBLANK(F33),F31,F33)</f>
        <v>#N/A</v>
      </c>
      <c r="G35" s="98"/>
      <c r="H35" s="109" t="s">
        <v>10</v>
      </c>
      <c r="I35" s="109"/>
      <c r="J35" s="83"/>
      <c r="K35" s="78"/>
    </row>
    <row r="36" spans="1:11" ht="7.35" customHeight="1" x14ac:dyDescent="0.25">
      <c r="A36" s="77"/>
      <c r="B36" s="85"/>
      <c r="C36" s="104"/>
      <c r="D36" s="105"/>
      <c r="E36" s="465"/>
      <c r="F36" s="98"/>
      <c r="G36" s="100"/>
      <c r="H36" s="263"/>
      <c r="I36" s="98"/>
      <c r="J36" s="83"/>
      <c r="K36" s="77"/>
    </row>
    <row r="37" spans="1:11" ht="15" customHeight="1" x14ac:dyDescent="0.25">
      <c r="A37" s="77"/>
      <c r="B37" s="85"/>
      <c r="C37" s="104" t="s">
        <v>657</v>
      </c>
      <c r="D37" s="105"/>
      <c r="E37" s="794"/>
      <c r="F37" s="795"/>
      <c r="G37" s="100"/>
      <c r="H37" s="263"/>
      <c r="I37" s="98"/>
      <c r="J37" s="83"/>
      <c r="K37" s="77"/>
    </row>
    <row r="38" spans="1:11" ht="7.35" customHeight="1" x14ac:dyDescent="0.25">
      <c r="A38" s="77"/>
      <c r="B38" s="85"/>
      <c r="C38" s="104"/>
      <c r="D38" s="105"/>
      <c r="E38" s="465"/>
      <c r="F38" s="98"/>
      <c r="G38" s="100"/>
      <c r="H38" s="263"/>
      <c r="I38" s="98"/>
      <c r="J38" s="83"/>
      <c r="K38" s="77"/>
    </row>
    <row r="39" spans="1:11" ht="15" customHeight="1" x14ac:dyDescent="0.25">
      <c r="A39" s="77"/>
      <c r="B39" s="85"/>
      <c r="C39" s="790" t="s">
        <v>578</v>
      </c>
      <c r="D39" s="791"/>
      <c r="E39" s="465"/>
      <c r="F39" s="468" t="e">
        <f>VL_REF!$BM$3</f>
        <v>#N/A</v>
      </c>
      <c r="G39" s="100"/>
      <c r="H39" s="109" t="s">
        <v>863</v>
      </c>
      <c r="I39" s="98"/>
      <c r="J39" s="83"/>
      <c r="K39" s="78"/>
    </row>
    <row r="40" spans="1:11" ht="7.35" customHeight="1" x14ac:dyDescent="0.25">
      <c r="A40" s="77"/>
      <c r="B40" s="85"/>
      <c r="C40" s="104"/>
      <c r="D40" s="105"/>
      <c r="E40" s="98"/>
      <c r="F40" s="98"/>
      <c r="G40" s="100"/>
      <c r="H40" s="98"/>
      <c r="I40" s="98"/>
      <c r="J40" s="83"/>
      <c r="K40" s="77"/>
    </row>
    <row r="41" spans="1:11" ht="15" customHeight="1" x14ac:dyDescent="0.25">
      <c r="A41" s="77"/>
      <c r="B41" s="85"/>
      <c r="C41" s="104" t="s">
        <v>5</v>
      </c>
      <c r="D41" s="104"/>
      <c r="E41" s="262"/>
      <c r="F41" s="129" t="str">
        <f>IF(OR(F11="",F11="no"),"",IFERROR(MAX(-D8,(F17*(F29-(F39*F29)))/(F23*F35)),""))</f>
        <v/>
      </c>
      <c r="G41" s="470"/>
      <c r="H41" s="53" t="b">
        <v>0</v>
      </c>
      <c r="I41" s="207" t="str">
        <f>IF(OR(H41=TRUE,F41=""),"Not Active","Active")</f>
        <v>Not Active</v>
      </c>
      <c r="J41" s="83"/>
      <c r="K41" s="124"/>
    </row>
    <row r="42" spans="1:11" ht="15" customHeight="1" x14ac:dyDescent="0.25">
      <c r="A42" s="77"/>
      <c r="B42" s="85"/>
      <c r="C42" s="98"/>
      <c r="D42" s="98"/>
      <c r="E42" s="98"/>
      <c r="F42" s="98"/>
      <c r="G42" s="98"/>
      <c r="H42" s="100"/>
      <c r="I42" s="98"/>
      <c r="J42" s="83"/>
      <c r="K42" s="125"/>
    </row>
    <row r="43" spans="1:11" ht="51.95" customHeight="1" x14ac:dyDescent="0.25">
      <c r="A43" s="77"/>
      <c r="B43" s="85"/>
      <c r="C43" s="763" t="str">
        <f>"Formula:  % Change in VMT =  " &amp; SUBSTITUTE("( " &amp; C17 &amp; " *( " &amp; C29 &amp; " -( " &amp; C39 &amp; " * " &amp; C29 &amp; " )))/( " &amp; C23 &amp; " * " &amp; C35 &amp; " )"," used for calculation","")</f>
        <v>Formula:  % Change in VMT =  ( One-way bicycle trip length (miles) *( Bicycle mode share for work trips -( Bike mode adjustment factor * Bicycle mode share for work trips )))/( One-way vehicle trip length in neighborhood/city (miles) * Vehicle mode share for work trips )</v>
      </c>
      <c r="D43" s="792"/>
      <c r="E43" s="792"/>
      <c r="F43" s="792"/>
      <c r="G43" s="792"/>
      <c r="H43" s="792"/>
      <c r="I43" s="793"/>
      <c r="J43" s="83"/>
      <c r="K43" s="125"/>
    </row>
    <row r="44" spans="1:11" ht="15" customHeight="1" x14ac:dyDescent="0.25">
      <c r="A44" s="77"/>
      <c r="B44" s="85"/>
      <c r="C44" s="532"/>
      <c r="D44" s="518"/>
      <c r="E44" s="518"/>
      <c r="F44" s="518"/>
      <c r="G44" s="518"/>
      <c r="H44" s="518"/>
      <c r="I44" s="518"/>
      <c r="J44" s="83"/>
      <c r="K44" s="125"/>
    </row>
    <row r="45" spans="1:11" ht="15" customHeight="1" x14ac:dyDescent="0.25">
      <c r="A45" s="77"/>
      <c r="B45" s="85"/>
      <c r="C45" s="98" t="s">
        <v>6</v>
      </c>
      <c r="D45" s="98"/>
      <c r="E45" s="98"/>
      <c r="F45" s="98"/>
      <c r="G45" s="98"/>
      <c r="H45" s="100"/>
      <c r="I45" s="98"/>
      <c r="J45" s="83"/>
      <c r="K45" s="77"/>
    </row>
    <row r="46" spans="1:11" ht="150" customHeight="1" x14ac:dyDescent="0.25">
      <c r="A46" s="77"/>
      <c r="B46" s="85"/>
      <c r="C46" s="718" t="str">
        <f>INDEX(VL_TDM!$AG$11:$AG$41,MATCH($A$4,VL_TDM!$B$11:$B$41,0),1)</f>
        <v>(1)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v>
      </c>
      <c r="D46" s="789"/>
      <c r="E46" s="789"/>
      <c r="F46" s="789"/>
      <c r="G46" s="789"/>
      <c r="H46" s="789"/>
      <c r="I46" s="789"/>
      <c r="J46" s="83"/>
      <c r="K46" s="77"/>
    </row>
    <row r="47" spans="1:11" ht="15" customHeight="1" x14ac:dyDescent="0.25">
      <c r="A47" s="77"/>
      <c r="B47" s="101"/>
      <c r="C47" s="226"/>
      <c r="D47" s="226"/>
      <c r="E47" s="226"/>
      <c r="F47" s="226"/>
      <c r="G47" s="226"/>
      <c r="H47" s="471"/>
      <c r="I47" s="226"/>
      <c r="J47" s="472"/>
      <c r="K47" s="77"/>
    </row>
    <row r="48" spans="1:11" ht="22.35" customHeight="1" x14ac:dyDescent="0.25">
      <c r="A48" s="77"/>
      <c r="B48" s="78"/>
      <c r="C48" s="78"/>
      <c r="D48" s="77"/>
      <c r="E48" s="77"/>
      <c r="F48" s="78"/>
      <c r="G48" s="78"/>
      <c r="H48" s="78"/>
      <c r="I48" s="78"/>
      <c r="J48" s="77"/>
      <c r="K48" s="77"/>
    </row>
    <row r="54" spans="8:13" s="115" customFormat="1" hidden="1" x14ac:dyDescent="0.25">
      <c r="H54" s="116"/>
      <c r="L54" s="92"/>
      <c r="M54" s="92"/>
    </row>
    <row r="55" spans="8:13" s="115" customFormat="1" hidden="1" x14ac:dyDescent="0.25">
      <c r="H55" s="116"/>
      <c r="L55" s="92"/>
      <c r="M55" s="92"/>
    </row>
    <row r="56" spans="8:13" s="115" customFormat="1" hidden="1" x14ac:dyDescent="0.25">
      <c r="H56" s="116"/>
      <c r="L56" s="92"/>
      <c r="M56" s="92"/>
    </row>
    <row r="57" spans="8:13" s="115" customFormat="1" hidden="1" x14ac:dyDescent="0.25">
      <c r="H57" s="116"/>
      <c r="L57" s="92"/>
      <c r="M57" s="92"/>
    </row>
    <row r="58" spans="8:13" s="115" customFormat="1" hidden="1" x14ac:dyDescent="0.25">
      <c r="H58" s="116"/>
      <c r="L58" s="92"/>
      <c r="M58" s="92"/>
    </row>
    <row r="59" spans="8:13" s="115" customFormat="1" hidden="1" x14ac:dyDescent="0.25">
      <c r="H59" s="116"/>
      <c r="L59" s="92"/>
      <c r="M59" s="92"/>
    </row>
    <row r="60" spans="8:13" s="115" customFormat="1" hidden="1" x14ac:dyDescent="0.25">
      <c r="H60" s="116"/>
      <c r="L60" s="92"/>
      <c r="M60" s="92"/>
    </row>
    <row r="61" spans="8:13" s="115" customFormat="1" hidden="1" x14ac:dyDescent="0.25">
      <c r="H61" s="116"/>
      <c r="L61" s="92"/>
      <c r="M61" s="92"/>
    </row>
    <row r="62" spans="8:13" s="115" customFormat="1" hidden="1" x14ac:dyDescent="0.25">
      <c r="H62" s="116"/>
      <c r="L62" s="92"/>
      <c r="M62" s="92"/>
    </row>
    <row r="63" spans="8:13" s="115" customFormat="1" hidden="1" x14ac:dyDescent="0.25">
      <c r="H63" s="116"/>
      <c r="L63" s="92"/>
      <c r="M63" s="92"/>
    </row>
    <row r="64" spans="8:13" s="115" customFormat="1" hidden="1" x14ac:dyDescent="0.25">
      <c r="H64" s="116"/>
      <c r="L64" s="92"/>
      <c r="M64" s="92"/>
    </row>
    <row r="65" spans="8:13" s="115" customFormat="1" hidden="1" x14ac:dyDescent="0.25">
      <c r="H65" s="116"/>
      <c r="L65" s="92"/>
      <c r="M65" s="92"/>
    </row>
    <row r="66" spans="8:13" s="115" customFormat="1" hidden="1" x14ac:dyDescent="0.25">
      <c r="H66" s="116"/>
      <c r="L66" s="92"/>
      <c r="M66" s="92"/>
    </row>
    <row r="67" spans="8:13" s="115" customFormat="1" hidden="1" x14ac:dyDescent="0.25">
      <c r="H67" s="116"/>
      <c r="L67" s="92"/>
      <c r="M67" s="92"/>
    </row>
    <row r="68" spans="8:13" s="115" customFormat="1" hidden="1" x14ac:dyDescent="0.25">
      <c r="H68" s="116"/>
      <c r="L68" s="92"/>
      <c r="M68" s="92"/>
    </row>
    <row r="69" spans="8:13" s="115" customFormat="1" hidden="1" x14ac:dyDescent="0.25">
      <c r="H69" s="116"/>
      <c r="L69" s="92"/>
      <c r="M69" s="92"/>
    </row>
    <row r="70" spans="8:13" s="115" customFormat="1" hidden="1" x14ac:dyDescent="0.25">
      <c r="H70" s="116"/>
      <c r="L70" s="92"/>
      <c r="M70" s="92"/>
    </row>
    <row r="71" spans="8:13" s="115" customFormat="1" hidden="1" x14ac:dyDescent="0.25">
      <c r="H71" s="116"/>
      <c r="L71" s="92"/>
      <c r="M71" s="92"/>
    </row>
    <row r="72" spans="8:13" s="115" customFormat="1" hidden="1" x14ac:dyDescent="0.25">
      <c r="H72" s="116"/>
      <c r="L72" s="92"/>
      <c r="M72" s="92"/>
    </row>
    <row r="73" spans="8:13" s="115" customFormat="1" hidden="1" x14ac:dyDescent="0.25">
      <c r="H73" s="116"/>
      <c r="L73" s="92"/>
      <c r="M73" s="92"/>
    </row>
    <row r="74" spans="8:13" s="115" customFormat="1" hidden="1" x14ac:dyDescent="0.25">
      <c r="H74" s="116"/>
      <c r="L74" s="92"/>
      <c r="M74" s="92"/>
    </row>
    <row r="75" spans="8:13" s="115" customFormat="1" hidden="1" x14ac:dyDescent="0.25">
      <c r="H75" s="116"/>
      <c r="L75" s="92"/>
      <c r="M75" s="92"/>
    </row>
    <row r="76" spans="8:13" s="115" customFormat="1" hidden="1" x14ac:dyDescent="0.25">
      <c r="H76" s="116"/>
      <c r="L76" s="92"/>
      <c r="M76" s="92"/>
    </row>
    <row r="77" spans="8:13" s="115" customFormat="1" hidden="1" x14ac:dyDescent="0.25">
      <c r="H77" s="116"/>
      <c r="L77" s="92"/>
      <c r="M77" s="92"/>
    </row>
    <row r="78" spans="8:13" s="115" customFormat="1" hidden="1" x14ac:dyDescent="0.25">
      <c r="H78" s="116"/>
      <c r="L78" s="92"/>
      <c r="M78" s="92"/>
    </row>
    <row r="79" spans="8:13" s="115" customFormat="1" hidden="1" x14ac:dyDescent="0.25">
      <c r="H79" s="116"/>
      <c r="L79" s="92"/>
      <c r="M79" s="92"/>
    </row>
    <row r="80" spans="8:13" s="115" customFormat="1" hidden="1" x14ac:dyDescent="0.25">
      <c r="H80" s="116"/>
      <c r="L80" s="92"/>
      <c r="M80" s="92"/>
    </row>
    <row r="81" spans="8:13" s="115" customFormat="1" hidden="1" x14ac:dyDescent="0.25">
      <c r="H81" s="116"/>
      <c r="L81" s="92"/>
      <c r="M81" s="92"/>
    </row>
    <row r="82" spans="8:13" s="115" customFormat="1" hidden="1" x14ac:dyDescent="0.25">
      <c r="H82" s="116"/>
      <c r="L82" s="92"/>
      <c r="M82" s="92"/>
    </row>
    <row r="83" spans="8:13" s="115" customFormat="1" hidden="1" x14ac:dyDescent="0.25">
      <c r="H83" s="116"/>
      <c r="L83" s="92"/>
      <c r="M83" s="92"/>
    </row>
    <row r="84" spans="8:13" s="115" customFormat="1" hidden="1" x14ac:dyDescent="0.25">
      <c r="H84" s="116"/>
      <c r="L84" s="92"/>
      <c r="M84" s="92"/>
    </row>
    <row r="85" spans="8:13" s="115" customFormat="1" hidden="1" x14ac:dyDescent="0.25">
      <c r="H85" s="116"/>
      <c r="L85" s="92"/>
      <c r="M85" s="92"/>
    </row>
    <row r="86" spans="8:13" s="115" customFormat="1" hidden="1" x14ac:dyDescent="0.25">
      <c r="H86" s="116"/>
      <c r="L86" s="92"/>
      <c r="M86" s="92"/>
    </row>
    <row r="87" spans="8:13" s="115" customFormat="1" hidden="1" x14ac:dyDescent="0.25">
      <c r="H87" s="116"/>
      <c r="L87" s="92"/>
      <c r="M87" s="92"/>
    </row>
    <row r="88" spans="8:13" s="115" customFormat="1" hidden="1" x14ac:dyDescent="0.25">
      <c r="H88" s="116"/>
      <c r="L88" s="92"/>
      <c r="M88" s="92"/>
    </row>
    <row r="89" spans="8:13" s="115" customFormat="1" hidden="1" x14ac:dyDescent="0.25">
      <c r="H89" s="116"/>
      <c r="L89" s="92"/>
      <c r="M89" s="92"/>
    </row>
    <row r="90" spans="8:13" s="115" customFormat="1" hidden="1" x14ac:dyDescent="0.25">
      <c r="H90" s="116"/>
      <c r="L90" s="92"/>
      <c r="M90" s="92"/>
    </row>
  </sheetData>
  <sheetProtection algorithmName="SHA-512" hashValue="gBX3sFoosb1XyHUd42Fv6NI4T6EAXHB1adoDawpTHD4+Q5wYYjdzqBLDhSOvLb54c06039MAhQGrwGVGRBYJtw==" saltValue="+4YbLeeEn4ena9I9D/FyvA==" spinCount="100000" sheet="1" objects="1" scenarios="1" selectLockedCells="1"/>
  <mergeCells count="6">
    <mergeCell ref="B4:J4"/>
    <mergeCell ref="C10:I10"/>
    <mergeCell ref="C46:I46"/>
    <mergeCell ref="C39:D39"/>
    <mergeCell ref="C43:I43"/>
    <mergeCell ref="E37:F37"/>
  </mergeCells>
  <conditionalFormatting sqref="F41">
    <cfRule type="expression" dxfId="27" priority="14">
      <formula>-ROUND($D$8,3)=ROUND($F$41,3)</formula>
    </cfRule>
    <cfRule type="expression" dxfId="26" priority="15">
      <formula>AND(F41&lt;&gt;"",F41&gt;0)</formula>
    </cfRule>
  </conditionalFormatting>
  <dataValidations count="1">
    <dataValidation type="decimal" operator="greaterThanOrEqual" allowBlank="1" showErrorMessage="1" errorTitle="Restriction" error="Value must not be negative_x000a_" promptTitle="Option" prompt="The user may override the above default community SOV mode share in this cell. Leave blank otherwise." sqref="F21 F15 F33 F27" xr:uid="{E35D4612-C409-43A3-9D31-662D26E5ACE7}">
      <formula1>0</formula1>
    </dataValidation>
  </dataValidations>
  <hyperlinks>
    <hyperlink ref="I7" location="Results!A1" display="Results Summary" xr:uid="{A0BA9F39-80B8-4F6C-95CD-B008EA30A72B}"/>
    <hyperlink ref="I6" location="Main!L65" display="Return to Main É" xr:uid="{F0E6D6AB-B60C-4513-B7D1-62E05AE9B259}"/>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ltText="Exclude From Results Summary">
                <anchor moveWithCells="1">
                  <from>
                    <xdr:col>7</xdr:col>
                    <xdr:colOff>0</xdr:colOff>
                    <xdr:row>40</xdr:row>
                    <xdr:rowOff>0</xdr:rowOff>
                  </from>
                  <to>
                    <xdr:col>8</xdr:col>
                    <xdr:colOff>9525</xdr:colOff>
                    <xdr:row>41</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FDDABA6A-3161-4DCE-8B54-991D74A90BE7}">
          <x14:formula1>
            <xm:f>VL_REF!$CB$11:$CB$13</xm:f>
          </x14:formula1>
          <xm:sqref>F11</xm:sqref>
        </x14:dataValidation>
        <x14:dataValidation type="list" allowBlank="1" showInputMessage="1" showErrorMessage="1" xr:uid="{EA3CB4C4-C8F7-4744-963A-BF62D52EDBC9}">
          <x14:formula1>
            <xm:f>VL_REF!$BN$11:$BN$12</xm:f>
          </x14:formula1>
          <xm:sqref>E37:F37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0099"/>
  </sheetPr>
  <dimension ref="A1:L29"/>
  <sheetViews>
    <sheetView showGridLines="0" showRowColHeaders="0" topLeftCell="A3" zoomScaleNormal="100" workbookViewId="0">
      <selection activeCell="E18" sqref="E18"/>
    </sheetView>
  </sheetViews>
  <sheetFormatPr defaultColWidth="0" defaultRowHeight="15" zeroHeight="1" x14ac:dyDescent="0.25"/>
  <cols>
    <col min="1" max="1" width="4.42578125" style="115" customWidth="1"/>
    <col min="2" max="2" width="8.85546875" style="115" customWidth="1"/>
    <col min="3" max="3" width="22" style="115" customWidth="1"/>
    <col min="4" max="4" width="55" style="115" customWidth="1"/>
    <col min="5" max="5" width="10.5703125" style="115" customWidth="1"/>
    <col min="6" max="6" width="5" style="115" customWidth="1"/>
    <col min="7" max="7" width="33.5703125" style="116" customWidth="1"/>
    <col min="8" max="8" width="17.5703125" style="115" customWidth="1"/>
    <col min="9" max="9" width="8.85546875" style="115" customWidth="1"/>
    <col min="10" max="10" width="4.5703125" style="115" customWidth="1"/>
    <col min="11" max="12" width="32.85546875" style="92" hidden="1" customWidth="1"/>
    <col min="13" max="16384" width="8.85546875" style="92" hidden="1"/>
  </cols>
  <sheetData>
    <row r="1" spans="1:10" hidden="1" x14ac:dyDescent="0.25">
      <c r="A1" s="77"/>
      <c r="B1" s="77"/>
      <c r="C1" s="77"/>
      <c r="D1" s="77"/>
      <c r="E1" s="77"/>
      <c r="F1" s="77"/>
      <c r="G1" s="103"/>
      <c r="H1" s="77"/>
      <c r="I1" s="77"/>
      <c r="J1" s="77"/>
    </row>
    <row r="2" spans="1:10" hidden="1" x14ac:dyDescent="0.25">
      <c r="A2" s="77"/>
      <c r="B2" s="77"/>
      <c r="C2" s="77"/>
      <c r="D2" s="77"/>
      <c r="E2" s="77"/>
      <c r="F2" s="77"/>
      <c r="G2" s="103"/>
      <c r="H2" s="77"/>
      <c r="I2" s="77"/>
      <c r="J2" s="77"/>
    </row>
    <row r="3" spans="1:10" ht="22.35" customHeight="1" x14ac:dyDescent="0.25">
      <c r="A3" s="77"/>
      <c r="B3" s="51"/>
      <c r="C3" s="77"/>
      <c r="D3" s="77"/>
      <c r="E3" s="77"/>
      <c r="F3" s="77"/>
      <c r="G3" s="103"/>
      <c r="H3" s="77"/>
      <c r="I3" s="77"/>
      <c r="J3" s="77"/>
    </row>
    <row r="4" spans="1:10" ht="18.75" x14ac:dyDescent="0.25">
      <c r="A4" s="239" t="s">
        <v>29</v>
      </c>
      <c r="B4" s="788" t="str">
        <f>A4&amp;". "&amp;INDEX(VL_TDM!$E$11:$E$41,MATCH($A$4,VL_TDM!$B$11:$B$41,0),1)</f>
        <v>4A. Street Connectivity Improvement</v>
      </c>
      <c r="C4" s="722"/>
      <c r="D4" s="722"/>
      <c r="E4" s="722"/>
      <c r="F4" s="722"/>
      <c r="G4" s="722"/>
      <c r="H4" s="722"/>
      <c r="I4" s="723"/>
      <c r="J4" s="77"/>
    </row>
    <row r="5" spans="1:10" ht="15" customHeight="1" x14ac:dyDescent="0.25">
      <c r="A5" s="77"/>
      <c r="B5" s="85"/>
      <c r="C5" s="98"/>
      <c r="D5" s="98"/>
      <c r="E5" s="98"/>
      <c r="F5" s="98"/>
      <c r="G5" s="100"/>
      <c r="H5" s="98"/>
      <c r="I5" s="83"/>
      <c r="J5" s="77"/>
    </row>
    <row r="6" spans="1:10" ht="15" customHeight="1" x14ac:dyDescent="0.25">
      <c r="A6" s="77"/>
      <c r="B6" s="85"/>
      <c r="C6" s="98" t="s">
        <v>1</v>
      </c>
      <c r="D6" s="462" t="str">
        <f>INDEX(VL_TDM!$AC$11:$AC$41,MATCH($A$4,VL_TDM!$B$11:$B$41,0),1)</f>
        <v>Neighborhood/City</v>
      </c>
      <c r="E6" s="100"/>
      <c r="F6" s="100"/>
      <c r="G6" s="100"/>
      <c r="H6" s="617" t="s">
        <v>89</v>
      </c>
      <c r="I6" s="83"/>
      <c r="J6" s="77"/>
    </row>
    <row r="7" spans="1:10" ht="15" customHeight="1" x14ac:dyDescent="0.25">
      <c r="A7" s="77"/>
      <c r="B7" s="85"/>
      <c r="C7" s="109" t="s">
        <v>2</v>
      </c>
      <c r="D7" s="113" t="str">
        <f>INDEX(VL_TDM!$AD$11:$AD$41,MATCH($A$4,VL_TDM!$B$11:$B$41,0),1)</f>
        <v>All neighborhood/city trips</v>
      </c>
      <c r="E7" s="100"/>
      <c r="F7" s="100"/>
      <c r="G7" s="98"/>
      <c r="H7" s="617" t="s">
        <v>105</v>
      </c>
      <c r="I7" s="83"/>
      <c r="J7" s="77"/>
    </row>
    <row r="8" spans="1:10" ht="15" customHeight="1" x14ac:dyDescent="0.25">
      <c r="A8" s="77"/>
      <c r="B8" s="85"/>
      <c r="C8" s="109" t="s">
        <v>149</v>
      </c>
      <c r="D8" s="114">
        <f>INDEX(VL_TDM!$AE$11:$AE$41,MATCH($A$4,VL_TDM!$B$11:$B$41,0),1)</f>
        <v>0.3</v>
      </c>
      <c r="E8" s="98"/>
      <c r="F8" s="98"/>
      <c r="G8" s="100"/>
      <c r="H8" s="98"/>
      <c r="I8" s="83"/>
      <c r="J8" s="77"/>
    </row>
    <row r="9" spans="1:10" ht="15" customHeight="1" x14ac:dyDescent="0.25">
      <c r="A9" s="77"/>
      <c r="B9" s="85"/>
      <c r="C9" s="98"/>
      <c r="D9" s="98"/>
      <c r="E9" s="98"/>
      <c r="F9" s="98"/>
      <c r="G9" s="100"/>
      <c r="H9" s="98"/>
      <c r="I9" s="83"/>
      <c r="J9" s="77"/>
    </row>
    <row r="10" spans="1:10" ht="69.95" customHeight="1" x14ac:dyDescent="0.25">
      <c r="A10" s="77"/>
      <c r="B10" s="85"/>
      <c r="C10" s="724" t="str">
        <f>INDEX(VL_TDM!$AF$11:$AF$41,MATCH($A$4,VL_TDM!$B$11:$B$41,0),1)</f>
        <v>This strategy accounts for the VMT reduction achieved by a project that is designed with a higher density of intersections compared to the average intersection density in the United States. Increased intersection density is a proxy for street connectivity improvements, which help to facilitate a greater number of shorter trips and thus a reduction in GHG emissions. Example projects that increase intersection density would be building a new street network in a subdivision or retrofitting an existing street network to improve connectivity (e.g., converting cul-de-sacs to grid streets).</v>
      </c>
      <c r="D10" s="710"/>
      <c r="E10" s="710"/>
      <c r="F10" s="710"/>
      <c r="G10" s="710"/>
      <c r="H10" s="710"/>
      <c r="I10" s="83"/>
      <c r="J10" s="77"/>
    </row>
    <row r="11" spans="1:10" ht="15" customHeight="1" x14ac:dyDescent="0.25">
      <c r="A11" s="77"/>
      <c r="B11" s="85"/>
      <c r="C11" s="98"/>
      <c r="D11" s="98"/>
      <c r="E11" s="98"/>
      <c r="F11" s="98"/>
      <c r="G11" s="100"/>
      <c r="H11" s="98"/>
      <c r="I11" s="83"/>
      <c r="J11" s="77"/>
    </row>
    <row r="12" spans="1:10" ht="15" customHeight="1" x14ac:dyDescent="0.25">
      <c r="A12" s="77"/>
      <c r="B12" s="85"/>
      <c r="C12" s="104" t="s">
        <v>688</v>
      </c>
      <c r="D12" s="98"/>
      <c r="E12" s="534" t="e">
        <f>INDEX(VL_TAZ!$O$9:$AD$9,1,MATCH($C12,VL_TAZ!$O$10:$AD$10,0))</f>
        <v>#N/A</v>
      </c>
      <c r="F12" s="100"/>
      <c r="G12" s="521" t="str">
        <f>"local data, source (3)"&amp;IF(ISBLANK(E14),"",", overridden")</f>
        <v>local data, source (3)</v>
      </c>
      <c r="H12" s="98"/>
      <c r="I12" s="83"/>
      <c r="J12" s="77"/>
    </row>
    <row r="13" spans="1:10" ht="7.35" customHeight="1" x14ac:dyDescent="0.25">
      <c r="A13" s="77"/>
      <c r="B13" s="85"/>
      <c r="C13" s="104"/>
      <c r="D13" s="98"/>
      <c r="E13" s="98"/>
      <c r="F13" s="100"/>
      <c r="G13" s="98"/>
      <c r="H13" s="98"/>
      <c r="I13" s="83"/>
      <c r="J13" s="77"/>
    </row>
    <row r="14" spans="1:10" ht="15" customHeight="1" x14ac:dyDescent="0.25">
      <c r="A14" s="77"/>
      <c r="B14" s="85"/>
      <c r="C14" s="104" t="s">
        <v>689</v>
      </c>
      <c r="D14" s="535"/>
      <c r="E14" s="58"/>
      <c r="F14" s="100"/>
      <c r="G14" s="265" t="s">
        <v>11</v>
      </c>
      <c r="H14" s="107"/>
      <c r="I14" s="83"/>
      <c r="J14" s="77"/>
    </row>
    <row r="15" spans="1:10" ht="7.35" customHeight="1" x14ac:dyDescent="0.25">
      <c r="A15" s="77"/>
      <c r="B15" s="85"/>
      <c r="C15" s="104"/>
      <c r="D15" s="98"/>
      <c r="E15" s="98"/>
      <c r="F15" s="100"/>
      <c r="G15" s="98"/>
      <c r="H15" s="98"/>
      <c r="I15" s="83"/>
      <c r="J15" s="77"/>
    </row>
    <row r="16" spans="1:10" x14ac:dyDescent="0.25">
      <c r="A16" s="77"/>
      <c r="B16" s="85"/>
      <c r="C16" s="104" t="s">
        <v>65</v>
      </c>
      <c r="D16" s="98"/>
      <c r="E16" s="536" t="e">
        <f>IF(ISBLANK(E14),E12,E14)</f>
        <v>#N/A</v>
      </c>
      <c r="F16" s="98"/>
      <c r="G16" s="109" t="s">
        <v>10</v>
      </c>
      <c r="H16" s="98"/>
      <c r="I16" s="83"/>
      <c r="J16" s="78"/>
    </row>
    <row r="17" spans="1:10" ht="7.35" customHeight="1" x14ac:dyDescent="0.25">
      <c r="A17" s="77"/>
      <c r="B17" s="85"/>
      <c r="C17" s="104"/>
      <c r="D17" s="98"/>
      <c r="E17" s="98"/>
      <c r="F17" s="100"/>
      <c r="G17" s="98"/>
      <c r="H17" s="98"/>
      <c r="I17" s="83"/>
      <c r="J17" s="77"/>
    </row>
    <row r="18" spans="1:10" ht="15" customHeight="1" x14ac:dyDescent="0.25">
      <c r="A18" s="77"/>
      <c r="B18" s="85"/>
      <c r="C18" s="104" t="s">
        <v>690</v>
      </c>
      <c r="D18" s="98"/>
      <c r="E18" s="59"/>
      <c r="F18" s="100"/>
      <c r="G18" s="98" t="s">
        <v>0</v>
      </c>
      <c r="H18" s="98"/>
      <c r="I18" s="83"/>
      <c r="J18" s="78"/>
    </row>
    <row r="19" spans="1:10" ht="7.35" customHeight="1" x14ac:dyDescent="0.25">
      <c r="A19" s="77"/>
      <c r="B19" s="85"/>
      <c r="C19" s="104"/>
      <c r="D19" s="98"/>
      <c r="E19" s="98"/>
      <c r="F19" s="100"/>
      <c r="G19" s="98"/>
      <c r="H19" s="98"/>
      <c r="I19" s="83"/>
      <c r="J19" s="77"/>
    </row>
    <row r="20" spans="1:10" ht="15" customHeight="1" x14ac:dyDescent="0.25">
      <c r="A20" s="77"/>
      <c r="B20" s="85"/>
      <c r="C20" s="104" t="s">
        <v>691</v>
      </c>
      <c r="D20" s="98"/>
      <c r="E20" s="468">
        <v>-0.14000000000000001</v>
      </c>
      <c r="F20" s="100"/>
      <c r="G20" s="521" t="s">
        <v>9</v>
      </c>
      <c r="H20" s="98"/>
      <c r="I20" s="83"/>
      <c r="J20" s="78"/>
    </row>
    <row r="21" spans="1:10" ht="7.35" customHeight="1" x14ac:dyDescent="0.25">
      <c r="A21" s="77"/>
      <c r="B21" s="85"/>
      <c r="C21" s="104"/>
      <c r="D21" s="98"/>
      <c r="E21" s="98"/>
      <c r="F21" s="100"/>
      <c r="G21" s="98"/>
      <c r="H21" s="98"/>
      <c r="I21" s="83"/>
      <c r="J21" s="77"/>
    </row>
    <row r="22" spans="1:10" ht="15" customHeight="1" x14ac:dyDescent="0.25">
      <c r="A22" s="77"/>
      <c r="B22" s="85"/>
      <c r="C22" s="104" t="s">
        <v>5</v>
      </c>
      <c r="D22" s="98"/>
      <c r="E22" s="129" t="str">
        <f>IF(ISBLANK(E18),"",IFERROR(MAX(-D8,((E18-E16)/E16)*E20), ""))</f>
        <v/>
      </c>
      <c r="F22" s="470"/>
      <c r="G22" s="53" t="b">
        <v>0</v>
      </c>
      <c r="H22" s="207" t="str">
        <f>IF(OR(G22=TRUE,E22=""),"Not Active","Active")</f>
        <v>Not Active</v>
      </c>
      <c r="I22" s="83"/>
      <c r="J22" s="77"/>
    </row>
    <row r="23" spans="1:10" ht="15" customHeight="1" x14ac:dyDescent="0.25">
      <c r="A23" s="77"/>
      <c r="B23" s="85"/>
      <c r="C23" s="98"/>
      <c r="D23" s="98"/>
      <c r="E23" s="98"/>
      <c r="F23" s="98"/>
      <c r="G23" s="100"/>
      <c r="H23" s="98"/>
      <c r="I23" s="83"/>
      <c r="J23" s="77"/>
    </row>
    <row r="24" spans="1:10" ht="35.1" customHeight="1" x14ac:dyDescent="0.25">
      <c r="A24" s="77"/>
      <c r="B24" s="85"/>
      <c r="C24" s="763" t="str">
        <f>"Formula:  % Change in VMT =  " &amp; SUBSTITUTE("(( " &amp; C18 &amp; " - " &amp; C16 &amp; " )/ " &amp; C16 &amp; " )* " &amp; C20 &amp; " "," used for calculation","")</f>
        <v xml:space="preserve">Formula:  % Change in VMT =  (( Intersection density in project site with strategy (int/sq mi) - Intersection density (int/sq mi) )/ Intersection density (int/sq mi) )* Elasticity of VMT with respect to intersection density </v>
      </c>
      <c r="D24" s="764"/>
      <c r="E24" s="764"/>
      <c r="F24" s="764"/>
      <c r="G24" s="764"/>
      <c r="H24" s="765"/>
      <c r="I24" s="83"/>
      <c r="J24" s="77"/>
    </row>
    <row r="25" spans="1:10" ht="15" customHeight="1" x14ac:dyDescent="0.25">
      <c r="A25" s="77"/>
      <c r="B25" s="85"/>
      <c r="C25" s="518"/>
      <c r="D25" s="518"/>
      <c r="E25" s="518"/>
      <c r="F25" s="518"/>
      <c r="G25" s="518"/>
      <c r="H25" s="518"/>
      <c r="I25" s="83"/>
      <c r="J25" s="77"/>
    </row>
    <row r="26" spans="1:10" ht="15" customHeight="1" x14ac:dyDescent="0.25">
      <c r="A26" s="77"/>
      <c r="B26" s="85"/>
      <c r="C26" s="98" t="s">
        <v>6</v>
      </c>
      <c r="D26" s="98"/>
      <c r="E26" s="98"/>
      <c r="F26" s="98"/>
      <c r="G26" s="100"/>
      <c r="H26" s="98"/>
      <c r="I26" s="83"/>
      <c r="J26" s="77"/>
    </row>
    <row r="27" spans="1:10" ht="123.75" customHeight="1" x14ac:dyDescent="0.25">
      <c r="A27" s="77"/>
      <c r="B27" s="85"/>
      <c r="C27" s="782" t="str">
        <f>INDEX(VL_TDM!$AG$11:$AG$41,MATCH($A$4,VL_TDM!$B$11:$B$41,0),1)</f>
        <v>(1)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v>
      </c>
      <c r="D27" s="710"/>
      <c r="E27" s="710"/>
      <c r="F27" s="710"/>
      <c r="G27" s="710"/>
      <c r="H27" s="710"/>
      <c r="I27" s="83"/>
      <c r="J27" s="77"/>
    </row>
    <row r="28" spans="1:10" x14ac:dyDescent="0.25">
      <c r="A28" s="77"/>
      <c r="B28" s="101"/>
      <c r="C28" s="226"/>
      <c r="D28" s="226"/>
      <c r="E28" s="226"/>
      <c r="F28" s="226"/>
      <c r="G28" s="471"/>
      <c r="H28" s="226"/>
      <c r="I28" s="472"/>
      <c r="J28" s="77"/>
    </row>
    <row r="29" spans="1:10" ht="22.35" customHeight="1" x14ac:dyDescent="0.25">
      <c r="A29" s="77"/>
      <c r="B29" s="77"/>
      <c r="C29" s="77"/>
      <c r="D29" s="77"/>
      <c r="E29" s="77"/>
      <c r="F29" s="77"/>
      <c r="G29" s="103"/>
      <c r="H29" s="77"/>
      <c r="I29" s="77"/>
      <c r="J29" s="77"/>
    </row>
  </sheetData>
  <sheetProtection algorithmName="SHA-512" hashValue="AsE2XjkK1NNFrygJiOEDf0a49bXTJYyazlGHiMTqBF+DjeXix97fhPuMJ6N0noj/Vu0yRgd5pwWDMscVayEtXA==" saltValue="LJnmH1mvDKIzllYOTa74Mg==" spinCount="100000" sheet="1" objects="1" scenarios="1" selectLockedCells="1"/>
  <mergeCells count="4">
    <mergeCell ref="B4:I4"/>
    <mergeCell ref="C24:H24"/>
    <mergeCell ref="C10:H10"/>
    <mergeCell ref="C27:H27"/>
  </mergeCells>
  <conditionalFormatting sqref="E22">
    <cfRule type="expression" dxfId="25" priority="11">
      <formula>-ROUND($D$8,3)=ROUND($E$22,3)</formula>
    </cfRule>
    <cfRule type="expression" dxfId="24" priority="12">
      <formula>AND(E22&lt;&gt;"",E22&gt;0)</formula>
    </cfRule>
  </conditionalFormatting>
  <dataValidations count="2">
    <dataValidation type="decimal" operator="greaterThanOrEqual" allowBlank="1" showInputMessage="1" showErrorMessage="1" errorTitle="Restriction" error="Value must not be negative" sqref="E14" xr:uid="{00000000-0002-0000-0E00-000000000000}">
      <formula1>0</formula1>
    </dataValidation>
    <dataValidation type="decimal" operator="greaterThanOrEqual" allowBlank="1" showInputMessage="1" showErrorMessage="1" error="Value must not be negative" sqref="E18" xr:uid="{00000000-0002-0000-0E00-000001000000}">
      <formula1>0</formula1>
    </dataValidation>
  </dataValidations>
  <hyperlinks>
    <hyperlink ref="H7" location="Results!A1" display="Results Summary" xr:uid="{00000000-0004-0000-0E00-000000000000}"/>
    <hyperlink ref="H6" location="Main!L65" display="Return to Main É" xr:uid="{00000000-0004-0000-0E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ltText="Exclude From Results Summary">
                <anchor moveWithCells="1">
                  <from>
                    <xdr:col>6</xdr:col>
                    <xdr:colOff>28575</xdr:colOff>
                    <xdr:row>20</xdr:row>
                    <xdr:rowOff>47625</xdr:rowOff>
                  </from>
                  <to>
                    <xdr:col>6</xdr:col>
                    <xdr:colOff>2276475</xdr:colOff>
                    <xdr:row>22</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0099"/>
  </sheetPr>
  <dimension ref="A1:M33"/>
  <sheetViews>
    <sheetView showGridLines="0" showRowColHeaders="0" topLeftCell="A3" zoomScaleNormal="100" workbookViewId="0">
      <selection activeCell="E12" sqref="E12"/>
    </sheetView>
  </sheetViews>
  <sheetFormatPr defaultColWidth="0" defaultRowHeight="15" zeroHeight="1" x14ac:dyDescent="0.25"/>
  <cols>
    <col min="1" max="1" width="4.42578125" style="92" customWidth="1"/>
    <col min="2" max="2" width="8.85546875" style="92" customWidth="1"/>
    <col min="3" max="3" width="20" style="92" customWidth="1"/>
    <col min="4" max="4" width="53.42578125" style="92" customWidth="1"/>
    <col min="5" max="5" width="10.5703125" style="92" customWidth="1"/>
    <col min="6" max="6" width="5.5703125" style="92" customWidth="1"/>
    <col min="7" max="7" width="19.42578125" style="271" customWidth="1"/>
    <col min="8" max="8" width="16.5703125" style="92" customWidth="1"/>
    <col min="9" max="9" width="8.85546875" style="92" customWidth="1"/>
    <col min="10" max="10" width="4.5703125" style="92" customWidth="1"/>
    <col min="11" max="12" width="29.5703125" style="92" hidden="1" customWidth="1"/>
    <col min="13" max="13" width="8.5703125" style="92" hidden="1" customWidth="1"/>
    <col min="14" max="16384" width="8.85546875" style="92" hidden="1"/>
  </cols>
  <sheetData>
    <row r="1" spans="1:10" hidden="1" x14ac:dyDescent="0.25">
      <c r="A1" s="78"/>
      <c r="B1" s="78"/>
      <c r="C1" s="78"/>
      <c r="D1" s="78"/>
      <c r="E1" s="78"/>
      <c r="F1" s="78"/>
      <c r="G1" s="80"/>
      <c r="H1" s="78"/>
      <c r="I1" s="78"/>
      <c r="J1" s="78"/>
    </row>
    <row r="2" spans="1:10" hidden="1" x14ac:dyDescent="0.25">
      <c r="A2" s="78"/>
      <c r="B2" s="78"/>
      <c r="C2" s="78"/>
      <c r="D2" s="78"/>
      <c r="E2" s="78"/>
      <c r="F2" s="78"/>
      <c r="G2" s="80"/>
      <c r="H2" s="78"/>
      <c r="I2" s="78"/>
      <c r="J2" s="78"/>
    </row>
    <row r="3" spans="1:10" s="120" customFormat="1" ht="22.35" customHeight="1" x14ac:dyDescent="0.3">
      <c r="A3" s="78"/>
      <c r="B3" s="36"/>
      <c r="C3" s="537"/>
      <c r="D3" s="78"/>
      <c r="E3" s="78"/>
      <c r="F3" s="78"/>
      <c r="G3" s="80"/>
      <c r="H3" s="78"/>
      <c r="I3" s="78"/>
      <c r="J3" s="78"/>
    </row>
    <row r="4" spans="1:10" s="120" customFormat="1" ht="18.75" x14ac:dyDescent="0.25">
      <c r="A4" s="240" t="s">
        <v>30</v>
      </c>
      <c r="B4" s="788" t="str">
        <f>A4&amp;". "&amp;INDEX(VL_TDM!$E$11:$E$41,MATCH($A$4,VL_TDM!$B$11:$B$41,0),1)</f>
        <v>4B. Pedestrian Facility Improvement</v>
      </c>
      <c r="C4" s="722"/>
      <c r="D4" s="722"/>
      <c r="E4" s="722"/>
      <c r="F4" s="722"/>
      <c r="G4" s="722"/>
      <c r="H4" s="722"/>
      <c r="I4" s="723"/>
      <c r="J4" s="78"/>
    </row>
    <row r="5" spans="1:10" s="120" customFormat="1" ht="15" customHeight="1" x14ac:dyDescent="0.25">
      <c r="A5" s="78"/>
      <c r="B5" s="88"/>
      <c r="C5" s="445"/>
      <c r="D5" s="445"/>
      <c r="E5" s="445"/>
      <c r="F5" s="442"/>
      <c r="G5" s="443"/>
      <c r="H5" s="442"/>
      <c r="I5" s="87"/>
      <c r="J5" s="78"/>
    </row>
    <row r="6" spans="1:10" s="120" customFormat="1" ht="15" customHeight="1" x14ac:dyDescent="0.25">
      <c r="A6" s="78"/>
      <c r="B6" s="88"/>
      <c r="C6" s="442" t="s">
        <v>1</v>
      </c>
      <c r="D6" s="492" t="str">
        <f>INDEX(VL_TDM!$AC$11:$AC$41,MATCH($A$4,VL_TDM!$B$11:$B$41,0),1)</f>
        <v>Neighborhood/City</v>
      </c>
      <c r="E6" s="443"/>
      <c r="F6" s="443"/>
      <c r="G6" s="443"/>
      <c r="H6" s="614" t="s">
        <v>89</v>
      </c>
      <c r="I6" s="87"/>
      <c r="J6" s="78"/>
    </row>
    <row r="7" spans="1:10" s="120" customFormat="1" ht="15" customHeight="1" x14ac:dyDescent="0.25">
      <c r="A7" s="78"/>
      <c r="B7" s="88"/>
      <c r="C7" s="444" t="s">
        <v>2</v>
      </c>
      <c r="D7" s="447" t="str">
        <f>INDEX(VL_TDM!$AD$11:$AD$41,MATCH($A$4,VL_TDM!$B$11:$B$41,0),1)</f>
        <v>All neighborhood/city trips</v>
      </c>
      <c r="E7" s="443"/>
      <c r="F7" s="443"/>
      <c r="G7" s="442"/>
      <c r="H7" s="614" t="s">
        <v>105</v>
      </c>
      <c r="I7" s="87"/>
      <c r="J7" s="78"/>
    </row>
    <row r="8" spans="1:10" s="120" customFormat="1" ht="15" customHeight="1" x14ac:dyDescent="0.25">
      <c r="A8" s="78"/>
      <c r="B8" s="88"/>
      <c r="C8" s="444" t="s">
        <v>149</v>
      </c>
      <c r="D8" s="448">
        <f>INDEX(VL_TDM!$AE$11:$AE$41,MATCH($A$4,VL_TDM!$B$11:$B$41,0),1)</f>
        <v>3.4000000000000002E-2</v>
      </c>
      <c r="E8" s="445"/>
      <c r="F8" s="442"/>
      <c r="G8" s="443"/>
      <c r="H8" s="442"/>
      <c r="I8" s="87"/>
      <c r="J8" s="78"/>
    </row>
    <row r="9" spans="1:10" s="120" customFormat="1" ht="15" customHeight="1" x14ac:dyDescent="0.25">
      <c r="A9" s="78"/>
      <c r="B9" s="88"/>
      <c r="C9" s="442"/>
      <c r="D9" s="442"/>
      <c r="E9" s="442"/>
      <c r="F9" s="442"/>
      <c r="G9" s="443"/>
      <c r="H9" s="442"/>
      <c r="I9" s="87"/>
      <c r="J9" s="78"/>
    </row>
    <row r="10" spans="1:10" s="120" customFormat="1" ht="78" customHeight="1" x14ac:dyDescent="0.25">
      <c r="A10" s="78"/>
      <c r="B10" s="88"/>
      <c r="C10" s="724" t="str">
        <f>INDEX(VL_TDM!$AF$11:$AF$41,MATCH($A$4,VL_TDM!$B$11:$B$41,0),1)</f>
        <v>This strategy will increase the sidewalk coverage to improve pedestrian access. Providing sidewalks and an enhanced pedestrian network encourages people to walk instead of drive. This mode shift results in a reduction in VMT and GHG emissions. When improving sidewalks, a best practice is to ensure they are contiguous and link externally with existing and planned pedestrian facilities. Barriers to pedestrian access and interconnectivity, such as walls, landscaping buffers, and slopes, should be minimized. The strategy is based on the share of vehicle trips which could easily shift to walking - on average, approximately 21.4 percent of vehicle trips are 1 mile or less (3).</v>
      </c>
      <c r="D10" s="710"/>
      <c r="E10" s="710"/>
      <c r="F10" s="710"/>
      <c r="G10" s="710"/>
      <c r="H10" s="710"/>
      <c r="I10" s="87"/>
      <c r="J10" s="78"/>
    </row>
    <row r="11" spans="1:10" s="120" customFormat="1" ht="15" customHeight="1" x14ac:dyDescent="0.25">
      <c r="A11" s="78"/>
      <c r="B11" s="88"/>
      <c r="C11" s="442"/>
      <c r="D11" s="442"/>
      <c r="E11" s="442"/>
      <c r="F11" s="442"/>
      <c r="G11" s="443"/>
      <c r="H11" s="442"/>
      <c r="I11" s="87"/>
      <c r="J11" s="78"/>
    </row>
    <row r="12" spans="1:10" s="120" customFormat="1" ht="15" customHeight="1" x14ac:dyDescent="0.25">
      <c r="A12" s="78"/>
      <c r="B12" s="88"/>
      <c r="C12" s="449" t="s">
        <v>700</v>
      </c>
      <c r="D12" s="538"/>
      <c r="E12" s="75"/>
      <c r="F12" s="443"/>
      <c r="G12" s="452" t="s">
        <v>0</v>
      </c>
      <c r="H12" s="442"/>
      <c r="I12" s="87"/>
      <c r="J12" s="78"/>
    </row>
    <row r="13" spans="1:10" s="120" customFormat="1" ht="7.35" customHeight="1" x14ac:dyDescent="0.25">
      <c r="A13" s="78"/>
      <c r="B13" s="88"/>
      <c r="C13" s="449"/>
      <c r="D13" s="442"/>
      <c r="E13" s="539">
        <f>IF(E12=0, 0.01, "")</f>
        <v>0.01</v>
      </c>
      <c r="F13" s="443"/>
      <c r="G13" s="540"/>
      <c r="H13" s="442"/>
      <c r="I13" s="87"/>
      <c r="J13" s="78"/>
    </row>
    <row r="14" spans="1:10" s="120" customFormat="1" ht="15" customHeight="1" x14ac:dyDescent="0.25">
      <c r="A14" s="78"/>
      <c r="B14" s="88"/>
      <c r="C14" s="449" t="s">
        <v>699</v>
      </c>
      <c r="D14" s="538"/>
      <c r="E14" s="75"/>
      <c r="F14" s="443"/>
      <c r="G14" s="541" t="s">
        <v>0</v>
      </c>
      <c r="H14" s="442"/>
      <c r="I14" s="87"/>
      <c r="J14" s="78"/>
    </row>
    <row r="15" spans="1:10" s="120" customFormat="1" ht="7.35" customHeight="1" x14ac:dyDescent="0.25">
      <c r="A15" s="78"/>
      <c r="B15" s="88"/>
      <c r="C15" s="449"/>
      <c r="D15" s="442"/>
      <c r="E15" s="542">
        <f>IF(E14=0, 0.01, "")</f>
        <v>0.01</v>
      </c>
      <c r="F15" s="443"/>
      <c r="G15" s="451"/>
      <c r="H15" s="442"/>
      <c r="I15" s="87"/>
      <c r="J15" s="78"/>
    </row>
    <row r="16" spans="1:10" s="120" customFormat="1" ht="15" customHeight="1" x14ac:dyDescent="0.25">
      <c r="A16" s="78"/>
      <c r="B16" s="88"/>
      <c r="C16" s="449" t="s">
        <v>57</v>
      </c>
      <c r="D16" s="453"/>
      <c r="E16" s="543" t="str">
        <f>IF(OR(ISBLANK(E12),ISBLANK(E14)),"",IFERROR(IF(E13="",E12,E13)/IF(E15="",E14,E15), ""))</f>
        <v/>
      </c>
      <c r="F16" s="443"/>
      <c r="G16" s="544" t="s">
        <v>10</v>
      </c>
      <c r="H16" s="442"/>
      <c r="I16" s="87"/>
      <c r="J16" s="78"/>
    </row>
    <row r="17" spans="1:10" s="120" customFormat="1" ht="7.35" customHeight="1" x14ac:dyDescent="0.25">
      <c r="A17" s="78"/>
      <c r="B17" s="88"/>
      <c r="C17" s="449"/>
      <c r="D17" s="442"/>
      <c r="E17" s="545"/>
      <c r="F17" s="443"/>
      <c r="G17" s="451"/>
      <c r="H17" s="442"/>
      <c r="I17" s="87"/>
      <c r="J17" s="78"/>
    </row>
    <row r="18" spans="1:10" s="120" customFormat="1" ht="15" customHeight="1" x14ac:dyDescent="0.25">
      <c r="A18" s="78"/>
      <c r="B18" s="88"/>
      <c r="C18" s="449" t="s">
        <v>701</v>
      </c>
      <c r="D18" s="538"/>
      <c r="E18" s="75"/>
      <c r="F18" s="443"/>
      <c r="G18" s="541" t="s">
        <v>0</v>
      </c>
      <c r="H18" s="442"/>
      <c r="I18" s="87"/>
      <c r="J18" s="78"/>
    </row>
    <row r="19" spans="1:10" s="120" customFormat="1" ht="7.35" customHeight="1" x14ac:dyDescent="0.25">
      <c r="A19" s="78"/>
      <c r="B19" s="88"/>
      <c r="C19" s="449"/>
      <c r="D19" s="442"/>
      <c r="E19" s="542"/>
      <c r="F19" s="443"/>
      <c r="G19" s="540"/>
      <c r="H19" s="442"/>
      <c r="I19" s="87"/>
      <c r="J19" s="78"/>
    </row>
    <row r="20" spans="1:10" s="120" customFormat="1" ht="15" customHeight="1" x14ac:dyDescent="0.25">
      <c r="A20" s="78"/>
      <c r="B20" s="88"/>
      <c r="C20" s="449" t="s">
        <v>66</v>
      </c>
      <c r="D20" s="453"/>
      <c r="E20" s="546" t="str">
        <f>IF(OR(ISBLANK(E18),ISBLANK(E14)),"",IFERROR(E18/IF(E15="",E14,E15), ""))</f>
        <v/>
      </c>
      <c r="F20" s="443"/>
      <c r="G20" s="544" t="s">
        <v>10</v>
      </c>
      <c r="H20" s="442"/>
      <c r="I20" s="87"/>
      <c r="J20" s="78"/>
    </row>
    <row r="21" spans="1:10" s="120" customFormat="1" ht="7.35" customHeight="1" x14ac:dyDescent="0.25">
      <c r="A21" s="78"/>
      <c r="B21" s="88"/>
      <c r="C21" s="449"/>
      <c r="D21" s="442"/>
      <c r="E21" s="442"/>
      <c r="F21" s="443"/>
      <c r="G21" s="451"/>
      <c r="H21" s="442"/>
      <c r="I21" s="87"/>
      <c r="J21" s="78"/>
    </row>
    <row r="22" spans="1:10" s="120" customFormat="1" ht="15" customHeight="1" x14ac:dyDescent="0.25">
      <c r="A22" s="78"/>
      <c r="B22" s="88"/>
      <c r="C22" s="449" t="s">
        <v>58</v>
      </c>
      <c r="D22" s="453"/>
      <c r="E22" s="547" t="str">
        <f>IFERROR((E20-E16)/E16, "")</f>
        <v/>
      </c>
      <c r="F22" s="443"/>
      <c r="G22" s="544" t="s">
        <v>10</v>
      </c>
      <c r="H22" s="442"/>
      <c r="I22" s="87"/>
      <c r="J22" s="78"/>
    </row>
    <row r="23" spans="1:10" s="120" customFormat="1" ht="7.35" customHeight="1" x14ac:dyDescent="0.25">
      <c r="A23" s="78"/>
      <c r="B23" s="88"/>
      <c r="C23" s="449"/>
      <c r="D23" s="442"/>
      <c r="E23" s="442"/>
      <c r="F23" s="443"/>
      <c r="G23" s="451"/>
      <c r="H23" s="442"/>
      <c r="I23" s="87"/>
      <c r="J23" s="78"/>
    </row>
    <row r="24" spans="1:10" s="120" customFormat="1" ht="15" customHeight="1" x14ac:dyDescent="0.25">
      <c r="A24" s="78"/>
      <c r="B24" s="88"/>
      <c r="C24" s="449" t="s">
        <v>550</v>
      </c>
      <c r="D24" s="453"/>
      <c r="E24" s="548">
        <v>-0.05</v>
      </c>
      <c r="F24" s="443"/>
      <c r="G24" s="454" t="s">
        <v>168</v>
      </c>
      <c r="H24" s="442"/>
      <c r="I24" s="87"/>
      <c r="J24" s="78"/>
    </row>
    <row r="25" spans="1:10" s="120" customFormat="1" ht="7.35" customHeight="1" x14ac:dyDescent="0.25">
      <c r="A25" s="78"/>
      <c r="B25" s="88"/>
      <c r="C25" s="449"/>
      <c r="D25" s="442"/>
      <c r="E25" s="442"/>
      <c r="F25" s="443"/>
      <c r="G25" s="442"/>
      <c r="H25" s="442"/>
      <c r="I25" s="87"/>
      <c r="J25" s="78"/>
    </row>
    <row r="26" spans="1:10" s="120" customFormat="1" ht="15" customHeight="1" x14ac:dyDescent="0.25">
      <c r="A26" s="78"/>
      <c r="B26" s="88"/>
      <c r="C26" s="449" t="s">
        <v>5</v>
      </c>
      <c r="D26" s="453"/>
      <c r="E26" s="456" t="str">
        <f>IF(OR(ISBLANK(E12),ISBLANK(E14),ISBLANK(E18)),"",IFERROR(MAX(-D8,(((E18/E14)-(E12/E14))/(E12/E14))*E24),""))</f>
        <v/>
      </c>
      <c r="F26" s="497"/>
      <c r="G26" s="14" t="b">
        <v>0</v>
      </c>
      <c r="H26" s="207" t="str">
        <f>IF(OR(G26=TRUE,E26=""),"Not Active","Active")</f>
        <v>Not Active</v>
      </c>
      <c r="I26" s="87"/>
      <c r="J26" s="78"/>
    </row>
    <row r="27" spans="1:10" s="120" customFormat="1" ht="15" customHeight="1" x14ac:dyDescent="0.25">
      <c r="A27" s="78"/>
      <c r="B27" s="88"/>
      <c r="C27" s="442"/>
      <c r="D27" s="442"/>
      <c r="E27" s="442"/>
      <c r="F27" s="442"/>
      <c r="G27" s="443"/>
      <c r="H27" s="442"/>
      <c r="I27" s="87"/>
      <c r="J27" s="78"/>
    </row>
    <row r="28" spans="1:10" s="120" customFormat="1" ht="51.95" customHeight="1" x14ac:dyDescent="0.25">
      <c r="A28" s="78"/>
      <c r="B28" s="88"/>
      <c r="C28" s="763" t="str">
        <f>"Formula:  % Change in VMT =  " &amp; SUBSTITUTE("((( " &amp; C18 &amp; " / " &amp; C14 &amp; " )-( " &amp; C12 &amp; " / " &amp; C14 &amp; " ))/( " &amp; C12 &amp; " / " &amp; C14 &amp; " ))* " &amp; C24 &amp; " "," used for calculation","")</f>
        <v xml:space="preserve">Formula:  % Change in VMT =  ((( Sidewalk length in study area with strategy (miles) / Existing street length in study area (miles) )-( Existing sidewalk length in study area (miles) / Existing street length in study area (miles) ))/( Existing sidewalk length in study area (miles) / Existing street length in study area (miles) ))* Elasticity of VMT with respect to the ratio of sidewalks-to-streets </v>
      </c>
      <c r="D28" s="764"/>
      <c r="E28" s="764"/>
      <c r="F28" s="764"/>
      <c r="G28" s="764"/>
      <c r="H28" s="765"/>
      <c r="I28" s="87"/>
      <c r="J28" s="78"/>
    </row>
    <row r="29" spans="1:10" s="120" customFormat="1" ht="15" customHeight="1" x14ac:dyDescent="0.25">
      <c r="A29" s="78"/>
      <c r="B29" s="88"/>
      <c r="C29" s="506"/>
      <c r="D29" s="97"/>
      <c r="E29" s="97"/>
      <c r="F29" s="97"/>
      <c r="G29" s="97"/>
      <c r="H29" s="97"/>
      <c r="I29" s="87"/>
      <c r="J29" s="78"/>
    </row>
    <row r="30" spans="1:10" s="120" customFormat="1" ht="15" customHeight="1" x14ac:dyDescent="0.25">
      <c r="A30" s="78"/>
      <c r="B30" s="88"/>
      <c r="C30" s="442" t="s">
        <v>6</v>
      </c>
      <c r="D30" s="442"/>
      <c r="E30" s="442"/>
      <c r="F30" s="442"/>
      <c r="G30" s="443"/>
      <c r="H30" s="442"/>
      <c r="I30" s="87"/>
      <c r="J30" s="78"/>
    </row>
    <row r="31" spans="1:10" s="120" customFormat="1" ht="170.1" customHeight="1" x14ac:dyDescent="0.25">
      <c r="A31" s="78"/>
      <c r="B31" s="88"/>
      <c r="C31" s="782" t="str">
        <f>INDEX(VL_TDM!$AG$11:$AG$41,MATCH($A$4,VL_TDM!$B$11:$B$41,0),1)</f>
        <v>(1)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v>
      </c>
      <c r="D31" s="710"/>
      <c r="E31" s="710"/>
      <c r="F31" s="710"/>
      <c r="G31" s="710"/>
      <c r="H31" s="710"/>
      <c r="I31" s="87"/>
      <c r="J31" s="78"/>
    </row>
    <row r="32" spans="1:10" s="120" customFormat="1" ht="15" customHeight="1" x14ac:dyDescent="0.25">
      <c r="A32" s="78"/>
      <c r="B32" s="86"/>
      <c r="C32" s="102"/>
      <c r="D32" s="102"/>
      <c r="E32" s="102"/>
      <c r="F32" s="102"/>
      <c r="G32" s="459"/>
      <c r="H32" s="102"/>
      <c r="I32" s="84"/>
      <c r="J32" s="78"/>
    </row>
    <row r="33" spans="1:10" s="120" customFormat="1" ht="22.35" customHeight="1" x14ac:dyDescent="0.25">
      <c r="A33" s="78"/>
      <c r="B33" s="78"/>
      <c r="C33" s="78"/>
      <c r="D33" s="78"/>
      <c r="E33" s="78"/>
      <c r="F33" s="78"/>
      <c r="G33" s="80"/>
      <c r="H33" s="78"/>
      <c r="I33" s="78"/>
      <c r="J33" s="78"/>
    </row>
  </sheetData>
  <sheetProtection algorithmName="SHA-512" hashValue="wDqHqAMHQLO5JIVX4X8b6vMtJKHArQR/UyVj7ZQRHom+vnE/DkFPlp5SJJ8hkkEsa5zGKs/PThWgQbyav04Vlw==" saltValue="nVIJ1xCGOvJ/9r2KqQ/I3g==" spinCount="100000" sheet="1" objects="1" scenarios="1" selectLockedCells="1"/>
  <mergeCells count="4">
    <mergeCell ref="B4:I4"/>
    <mergeCell ref="C31:H31"/>
    <mergeCell ref="C10:H10"/>
    <mergeCell ref="C28:H28"/>
  </mergeCells>
  <conditionalFormatting sqref="E26">
    <cfRule type="expression" dxfId="23" priority="14">
      <formula>-ROUND($D$8,3)=ROUND($E$26,3)</formula>
    </cfRule>
    <cfRule type="expression" dxfId="22" priority="16">
      <formula>AND(E26&lt;&gt;"",E26&gt;0)</formula>
    </cfRule>
  </conditionalFormatting>
  <dataValidations count="2">
    <dataValidation type="decimal" operator="greaterThanOrEqual" allowBlank="1" showErrorMessage="1" errorTitle="Restriction" error="Value must not be negative" promptTitle="Detail" prompt="Measure the sidewalk on both sides of the street. For example, if one 0.5-mile long street has full sidewalk coverage, the sidewalk length would be 1.0 mile. If there is only sidewalk on one side of the street, the sidewalk length would be 0.5 mile." sqref="E12" xr:uid="{00000000-0002-0000-0F00-000000000000}">
      <formula1>0</formula1>
    </dataValidation>
    <dataValidation type="decimal" operator="greaterThanOrEqual" allowBlank="1" showInputMessage="1" showErrorMessage="1" error="Value must not be negative" sqref="E18 E14" xr:uid="{00000000-0002-0000-0F00-000001000000}">
      <formula1>0</formula1>
    </dataValidation>
  </dataValidations>
  <hyperlinks>
    <hyperlink ref="H7" location="Results!A1" display="Results Summary" xr:uid="{00000000-0004-0000-0F00-000000000000}"/>
    <hyperlink ref="H6" location="Main!L65" display="Return to Main É" xr:uid="{00000000-0004-0000-0F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ltText="Exclude From Results Summary">
                <anchor moveWithCells="1">
                  <from>
                    <xdr:col>5</xdr:col>
                    <xdr:colOff>371475</xdr:colOff>
                    <xdr:row>24</xdr:row>
                    <xdr:rowOff>66675</xdr:rowOff>
                  </from>
                  <to>
                    <xdr:col>6</xdr:col>
                    <xdr:colOff>1266825</xdr:colOff>
                    <xdr:row>26</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0099"/>
  </sheetPr>
  <dimension ref="A1:K63"/>
  <sheetViews>
    <sheetView showGridLines="0" showRowColHeaders="0" topLeftCell="A12" zoomScaleNormal="100" workbookViewId="0">
      <selection activeCell="F42" sqref="F42"/>
    </sheetView>
  </sheetViews>
  <sheetFormatPr defaultColWidth="0" defaultRowHeight="15" zeroHeight="1" x14ac:dyDescent="0.25"/>
  <cols>
    <col min="1" max="1" width="4.42578125" style="92" customWidth="1"/>
    <col min="2" max="2" width="8.85546875" style="92" customWidth="1"/>
    <col min="3" max="3" width="20" style="92" customWidth="1"/>
    <col min="4" max="4" width="65.5703125" style="92" customWidth="1"/>
    <col min="5" max="5" width="10.42578125" style="92" customWidth="1"/>
    <col min="6" max="6" width="9.5703125" style="92" customWidth="1"/>
    <col min="7" max="7" width="5.5703125" style="92" customWidth="1"/>
    <col min="8" max="8" width="23.85546875" style="92" customWidth="1"/>
    <col min="9" max="9" width="17.5703125" style="92" customWidth="1"/>
    <col min="10" max="10" width="8.85546875" style="92" customWidth="1"/>
    <col min="11" max="11" width="4.5703125" style="92" customWidth="1"/>
    <col min="12" max="13" width="8.85546875" style="92" hidden="1" customWidth="1"/>
    <col min="14" max="16384" width="8.85546875" style="92" hidden="1"/>
  </cols>
  <sheetData>
    <row r="1" spans="1:11" hidden="1" x14ac:dyDescent="0.25">
      <c r="A1" s="78"/>
      <c r="B1" s="78"/>
      <c r="C1" s="78"/>
      <c r="D1" s="78"/>
      <c r="E1" s="78"/>
      <c r="F1" s="78"/>
      <c r="G1" s="78"/>
      <c r="H1" s="78"/>
      <c r="I1" s="78"/>
      <c r="J1" s="78"/>
      <c r="K1" s="78"/>
    </row>
    <row r="2" spans="1:11" ht="22.35" hidden="1" customHeight="1" x14ac:dyDescent="0.25">
      <c r="A2" s="77"/>
      <c r="B2" s="121"/>
      <c r="C2" s="77"/>
      <c r="D2" s="77"/>
      <c r="E2" s="77"/>
      <c r="F2" s="77"/>
      <c r="G2" s="77"/>
      <c r="H2" s="103"/>
      <c r="I2" s="77"/>
      <c r="J2" s="77"/>
      <c r="K2" s="77"/>
    </row>
    <row r="3" spans="1:11" ht="22.35" customHeight="1" x14ac:dyDescent="0.25">
      <c r="A3" s="77"/>
      <c r="B3" s="121"/>
      <c r="C3" s="77"/>
      <c r="D3" s="77"/>
      <c r="E3" s="77"/>
      <c r="F3" s="77"/>
      <c r="G3" s="77"/>
      <c r="H3" s="103"/>
      <c r="I3" s="77"/>
      <c r="J3" s="77"/>
      <c r="K3" s="77"/>
    </row>
    <row r="4" spans="1:11" ht="18.75" x14ac:dyDescent="0.25">
      <c r="A4" s="239" t="s">
        <v>31</v>
      </c>
      <c r="B4" s="788" t="str">
        <f>A4&amp;". "&amp;INDEX(VL_TDM!$E$11:$E$41,MATCH($A$4,VL_TDM!$B$11:$B$41,0),1)</f>
        <v>4C. Bikeway Network Expansion</v>
      </c>
      <c r="C4" s="722"/>
      <c r="D4" s="722"/>
      <c r="E4" s="722"/>
      <c r="F4" s="722"/>
      <c r="G4" s="722"/>
      <c r="H4" s="722"/>
      <c r="I4" s="722"/>
      <c r="J4" s="723"/>
      <c r="K4" s="77"/>
    </row>
    <row r="5" spans="1:11" x14ac:dyDescent="0.25">
      <c r="A5" s="77"/>
      <c r="B5" s="85"/>
      <c r="C5" s="110"/>
      <c r="D5" s="110"/>
      <c r="E5" s="110"/>
      <c r="F5" s="110"/>
      <c r="G5" s="98"/>
      <c r="H5" s="100"/>
      <c r="I5" s="98"/>
      <c r="J5" s="83"/>
      <c r="K5" s="77"/>
    </row>
    <row r="6" spans="1:11" x14ac:dyDescent="0.25">
      <c r="A6" s="77"/>
      <c r="B6" s="85"/>
      <c r="C6" s="98" t="s">
        <v>1</v>
      </c>
      <c r="D6" s="462" t="str">
        <f>INDEX(VL_TDM!$AC$11:$AC$41,MATCH($A$4,VL_TDM!$B$11:$B$41,0),1)</f>
        <v>Neighborhood/City</v>
      </c>
      <c r="E6" s="462"/>
      <c r="F6" s="100"/>
      <c r="G6" s="100"/>
      <c r="H6" s="100"/>
      <c r="I6" s="617" t="s">
        <v>89</v>
      </c>
      <c r="J6" s="83"/>
      <c r="K6" s="77"/>
    </row>
    <row r="7" spans="1:11" x14ac:dyDescent="0.25">
      <c r="A7" s="77"/>
      <c r="B7" s="85"/>
      <c r="C7" s="109" t="s">
        <v>2</v>
      </c>
      <c r="D7" s="113" t="str">
        <f>INDEX(VL_TDM!$AD$11:$AD$41,MATCH($A$4,VL_TDM!$B$11:$B$41,0),1)</f>
        <v>All neighborhood/city trips</v>
      </c>
      <c r="E7" s="113"/>
      <c r="F7" s="100"/>
      <c r="G7" s="100"/>
      <c r="H7" s="98"/>
      <c r="I7" s="617" t="s">
        <v>105</v>
      </c>
      <c r="J7" s="83"/>
      <c r="K7" s="77"/>
    </row>
    <row r="8" spans="1:11" x14ac:dyDescent="0.25">
      <c r="A8" s="77"/>
      <c r="B8" s="85"/>
      <c r="C8" s="109" t="s">
        <v>149</v>
      </c>
      <c r="D8" s="114">
        <f>INDEX(VL_TDM!$AE$11:$AE$41,MATCH($A$4,VL_TDM!$B$11:$B$41,0),1)</f>
        <v>5.0000000000000001E-3</v>
      </c>
      <c r="E8" s="110"/>
      <c r="F8" s="110"/>
      <c r="G8" s="98"/>
      <c r="H8" s="100"/>
      <c r="I8" s="98"/>
      <c r="J8" s="83"/>
      <c r="K8" s="77"/>
    </row>
    <row r="9" spans="1:11" x14ac:dyDescent="0.25">
      <c r="A9" s="77"/>
      <c r="B9" s="85"/>
      <c r="C9" s="98"/>
      <c r="D9" s="98"/>
      <c r="E9" s="98"/>
      <c r="F9" s="98"/>
      <c r="G9" s="98"/>
      <c r="H9" s="100"/>
      <c r="I9" s="98"/>
      <c r="J9" s="83"/>
      <c r="K9" s="77"/>
    </row>
    <row r="10" spans="1:11" ht="80.099999999999994" customHeight="1" x14ac:dyDescent="0.25">
      <c r="A10" s="77"/>
      <c r="B10" s="85"/>
      <c r="C10" s="724" t="str">
        <f>INDEX(VL_TDM!$AF$11:$AF$41,MATCH($A$4,VL_TDM!$B$11:$B$41,0),1)</f>
        <v>This strategy will increase the length of a city or neighborhood bikeway network. A bicycle network is an interconnected system of bike lanes, bike paths, and cycle tracks. Providing bicycle infrastructure with markings and signage helps to improve biking conditions (e.g., safety and convenience). In addition, expanded bikeway networks can increase access to and from transit hubs, thereby expanding the “catchment area” of the transit stop or station and increasing ridership. This encourages a mode shift from vehicles to bicycles, displacing VMT and thus reducing GHG emissions. When expanding a bicycle network, a best practice is to consider local or state bike lane width standards.</v>
      </c>
      <c r="D10" s="710"/>
      <c r="E10" s="710"/>
      <c r="F10" s="710"/>
      <c r="G10" s="710"/>
      <c r="H10" s="710"/>
      <c r="I10" s="710"/>
      <c r="J10" s="83"/>
      <c r="K10" s="77"/>
    </row>
    <row r="11" spans="1:11" x14ac:dyDescent="0.25">
      <c r="A11" s="77"/>
      <c r="B11" s="85"/>
      <c r="C11" s="98"/>
      <c r="D11" s="98"/>
      <c r="E11" s="98"/>
      <c r="F11" s="98"/>
      <c r="G11" s="98"/>
      <c r="H11" s="100"/>
      <c r="I11" s="98"/>
      <c r="J11" s="83"/>
      <c r="K11" s="77"/>
    </row>
    <row r="12" spans="1:11" x14ac:dyDescent="0.25">
      <c r="A12" s="77"/>
      <c r="B12" s="85"/>
      <c r="C12" s="104" t="s">
        <v>108</v>
      </c>
      <c r="D12" s="105"/>
      <c r="E12" s="798"/>
      <c r="F12" s="798"/>
      <c r="G12" s="98"/>
      <c r="H12" s="109" t="s">
        <v>0</v>
      </c>
      <c r="I12" s="98"/>
      <c r="J12" s="83"/>
      <c r="K12" s="77"/>
    </row>
    <row r="13" spans="1:11" x14ac:dyDescent="0.25">
      <c r="A13" s="122"/>
      <c r="B13" s="85"/>
      <c r="C13" s="104" t="s">
        <v>109</v>
      </c>
      <c r="D13" s="104"/>
      <c r="E13" s="261"/>
      <c r="F13" s="261"/>
      <c r="G13" s="261"/>
      <c r="H13" s="717" t="str">
        <f>IF(AND(NOT(ISBLANK(E12)),E12=VL_REF!BY12),"Use Strategy 4D, Bike Lane Addition.","")</f>
        <v/>
      </c>
      <c r="I13" s="717"/>
      <c r="J13" s="83"/>
      <c r="K13" s="77"/>
    </row>
    <row r="14" spans="1:11" x14ac:dyDescent="0.25">
      <c r="A14" s="123"/>
      <c r="B14" s="85"/>
      <c r="C14" s="104"/>
      <c r="D14" s="104"/>
      <c r="E14" s="261"/>
      <c r="F14" s="261"/>
      <c r="G14" s="261"/>
      <c r="H14" s="717" t="str">
        <f>IF(AND(E12&lt;&gt;"",'4D bike project'!E12&lt;&gt;"",E12&lt;&gt;'4D bike project'!E12),"User input mismatches input for same question on strategy 4D page. Reconcile.","")</f>
        <v/>
      </c>
      <c r="I14" s="717"/>
      <c r="J14" s="83"/>
      <c r="K14" s="77"/>
    </row>
    <row r="15" spans="1:11" x14ac:dyDescent="0.25">
      <c r="A15" s="123"/>
      <c r="B15" s="85"/>
      <c r="C15" s="104"/>
      <c r="D15" s="104"/>
      <c r="E15" s="261"/>
      <c r="F15" s="261"/>
      <c r="G15" s="261"/>
      <c r="H15" s="717"/>
      <c r="I15" s="717"/>
      <c r="J15" s="83"/>
      <c r="K15" s="77"/>
    </row>
    <row r="16" spans="1:11" ht="7.35" customHeight="1" x14ac:dyDescent="0.25">
      <c r="A16" s="77"/>
      <c r="B16" s="85"/>
      <c r="C16" s="104"/>
      <c r="D16" s="105"/>
      <c r="E16" s="98"/>
      <c r="F16" s="98"/>
      <c r="G16" s="100"/>
      <c r="H16" s="473"/>
      <c r="I16" s="98"/>
      <c r="J16" s="83"/>
      <c r="K16" s="77"/>
    </row>
    <row r="17" spans="1:11" x14ac:dyDescent="0.25">
      <c r="A17" s="77"/>
      <c r="B17" s="85"/>
      <c r="C17" s="104" t="s">
        <v>702</v>
      </c>
      <c r="D17" s="105"/>
      <c r="E17" s="98"/>
      <c r="F17" s="266" t="e">
        <f>IF(K17="Use Capcoa 2021",VL_REF!$Y$3,INDEX(VL_TAZ!$O$9:$AD$9,1,MATCH($C17,VL_TAZ!$O$10:$AD$10,0)))</f>
        <v>#N/A</v>
      </c>
      <c r="G17" s="100"/>
      <c r="H17" s="98" t="str">
        <f>CONCATENATE("Alameda CTC model",IF(NOT(ISBLANK(F19)),", overridden",""))</f>
        <v>Alameda CTC model</v>
      </c>
      <c r="I17" s="98"/>
      <c r="J17" s="83"/>
      <c r="K17" s="239" t="s">
        <v>683</v>
      </c>
    </row>
    <row r="18" spans="1:11" ht="7.35" customHeight="1" x14ac:dyDescent="0.25">
      <c r="A18" s="77"/>
      <c r="B18" s="85"/>
      <c r="C18" s="104"/>
      <c r="D18" s="105"/>
      <c r="E18" s="98"/>
      <c r="F18" s="98"/>
      <c r="G18" s="100"/>
      <c r="H18" s="98"/>
      <c r="I18" s="98"/>
      <c r="J18" s="83"/>
      <c r="K18" s="239"/>
    </row>
    <row r="19" spans="1:11" x14ac:dyDescent="0.25">
      <c r="A19" s="77"/>
      <c r="B19" s="85"/>
      <c r="C19" s="104" t="s">
        <v>703</v>
      </c>
      <c r="D19" s="105"/>
      <c r="E19" s="98"/>
      <c r="F19" s="74"/>
      <c r="G19" s="100"/>
      <c r="H19" s="549" t="s">
        <v>11</v>
      </c>
      <c r="I19" s="98"/>
      <c r="J19" s="83"/>
      <c r="K19" s="239"/>
    </row>
    <row r="20" spans="1:11" ht="7.35" customHeight="1" x14ac:dyDescent="0.25">
      <c r="A20" s="77"/>
      <c r="B20" s="85"/>
      <c r="C20" s="104"/>
      <c r="D20" s="105"/>
      <c r="E20" s="98"/>
      <c r="F20" s="550"/>
      <c r="G20" s="100"/>
      <c r="H20" s="98"/>
      <c r="I20" s="98"/>
      <c r="J20" s="83"/>
      <c r="K20" s="239"/>
    </row>
    <row r="21" spans="1:11" x14ac:dyDescent="0.25">
      <c r="A21" s="77"/>
      <c r="B21" s="85"/>
      <c r="C21" s="104" t="s">
        <v>704</v>
      </c>
      <c r="D21" s="105"/>
      <c r="E21" s="98"/>
      <c r="F21" s="60" t="str">
        <f>IFERROR(IF(ISBLANK(F19),F17,F19),"")</f>
        <v/>
      </c>
      <c r="G21" s="98"/>
      <c r="H21" s="109" t="s">
        <v>10</v>
      </c>
      <c r="I21" s="98"/>
      <c r="J21" s="83"/>
      <c r="K21" s="240"/>
    </row>
    <row r="22" spans="1:11" ht="7.35" customHeight="1" x14ac:dyDescent="0.25">
      <c r="A22" s="77"/>
      <c r="B22" s="85"/>
      <c r="C22" s="104"/>
      <c r="D22" s="105"/>
      <c r="E22" s="98"/>
      <c r="F22" s="98"/>
      <c r="G22" s="100"/>
      <c r="H22" s="98"/>
      <c r="I22" s="98"/>
      <c r="J22" s="83"/>
      <c r="K22" s="239"/>
    </row>
    <row r="23" spans="1:11" x14ac:dyDescent="0.25">
      <c r="A23" s="77"/>
      <c r="B23" s="85"/>
      <c r="C23" s="104" t="s">
        <v>705</v>
      </c>
      <c r="D23" s="105"/>
      <c r="E23" s="98"/>
      <c r="F23" s="266" t="e">
        <f>IF(K23="Use Capcoa 2021",VL_REF!$H$3,INDEX(VL_TAZ!$O$9:$AD$9,1,MATCH($C23,VL_TAZ!$O$10:$AD$10,0)))</f>
        <v>#N/A</v>
      </c>
      <c r="G23" s="100"/>
      <c r="H23" s="98" t="str">
        <f>CONCATENATE("Alameda CTC model",IF(NOT(ISBLANK(F25)),", overridden",""))</f>
        <v>Alameda CTC model</v>
      </c>
      <c r="I23" s="98"/>
      <c r="J23" s="83"/>
      <c r="K23" s="239" t="s">
        <v>683</v>
      </c>
    </row>
    <row r="24" spans="1:11" ht="7.35" customHeight="1" x14ac:dyDescent="0.25">
      <c r="A24" s="77"/>
      <c r="B24" s="85"/>
      <c r="C24" s="104"/>
      <c r="D24" s="105"/>
      <c r="E24" s="98"/>
      <c r="F24" s="98"/>
      <c r="G24" s="100"/>
      <c r="H24" s="98"/>
      <c r="I24" s="98"/>
      <c r="J24" s="83"/>
      <c r="K24" s="239"/>
    </row>
    <row r="25" spans="1:11" x14ac:dyDescent="0.25">
      <c r="A25" s="77"/>
      <c r="B25" s="85"/>
      <c r="C25" s="104" t="s">
        <v>706</v>
      </c>
      <c r="D25" s="105"/>
      <c r="E25" s="98"/>
      <c r="F25" s="74"/>
      <c r="G25" s="100"/>
      <c r="H25" s="265" t="s">
        <v>11</v>
      </c>
      <c r="I25" s="98"/>
      <c r="J25" s="83"/>
      <c r="K25" s="239"/>
    </row>
    <row r="26" spans="1:11" ht="7.35" customHeight="1" x14ac:dyDescent="0.25">
      <c r="A26" s="77"/>
      <c r="B26" s="85"/>
      <c r="C26" s="104"/>
      <c r="D26" s="105"/>
      <c r="E26" s="98"/>
      <c r="F26" s="98"/>
      <c r="G26" s="100"/>
      <c r="H26" s="98"/>
      <c r="I26" s="98"/>
      <c r="J26" s="83"/>
      <c r="K26" s="239"/>
    </row>
    <row r="27" spans="1:11" x14ac:dyDescent="0.25">
      <c r="A27" s="77"/>
      <c r="B27" s="85"/>
      <c r="C27" s="104" t="s">
        <v>707</v>
      </c>
      <c r="D27" s="105"/>
      <c r="E27" s="98"/>
      <c r="F27" s="60" t="str">
        <f>IFERROR(IF(ISBLANK(F25),F23,F25),"")</f>
        <v/>
      </c>
      <c r="G27" s="98"/>
      <c r="H27" s="109" t="s">
        <v>10</v>
      </c>
      <c r="I27" s="98"/>
      <c r="J27" s="83"/>
      <c r="K27" s="240"/>
    </row>
    <row r="28" spans="1:11" ht="7.35" customHeight="1" x14ac:dyDescent="0.25">
      <c r="A28" s="77"/>
      <c r="B28" s="85"/>
      <c r="C28" s="104"/>
      <c r="D28" s="105"/>
      <c r="E28" s="98"/>
      <c r="F28" s="98"/>
      <c r="G28" s="100"/>
      <c r="H28" s="98"/>
      <c r="I28" s="98"/>
      <c r="J28" s="83"/>
      <c r="K28" s="239"/>
    </row>
    <row r="29" spans="1:11" ht="15" customHeight="1" x14ac:dyDescent="0.25">
      <c r="A29" s="77"/>
      <c r="B29" s="85"/>
      <c r="C29" s="104" t="s">
        <v>708</v>
      </c>
      <c r="D29" s="465"/>
      <c r="E29" s="261"/>
      <c r="F29" s="50"/>
      <c r="G29" s="261"/>
      <c r="H29" s="265" t="s">
        <v>0</v>
      </c>
      <c r="I29" s="630" t="s">
        <v>925</v>
      </c>
      <c r="J29" s="83"/>
      <c r="K29" s="239"/>
    </row>
    <row r="30" spans="1:11" ht="23.1" customHeight="1" x14ac:dyDescent="0.25">
      <c r="A30" s="77"/>
      <c r="B30" s="85"/>
      <c r="C30" s="104"/>
      <c r="D30" s="465"/>
      <c r="E30" s="261"/>
      <c r="F30" s="261"/>
      <c r="G30" s="261"/>
      <c r="H30" s="717" t="str">
        <f>IF(F29=VL_REF!CB11,"Warning: VMT reduction can only be calculated for Class I, II, and IV bikeway. Class III bike lane miles should be left out of the below user inputs.","")</f>
        <v/>
      </c>
      <c r="I30" s="717"/>
      <c r="J30" s="83"/>
      <c r="K30" s="239"/>
    </row>
    <row r="31" spans="1:11" ht="23.1" customHeight="1" x14ac:dyDescent="0.25">
      <c r="A31" s="77"/>
      <c r="B31" s="85"/>
      <c r="C31" s="799"/>
      <c r="D31" s="799"/>
      <c r="E31" s="261"/>
      <c r="F31" s="261"/>
      <c r="G31" s="261"/>
      <c r="H31" s="717"/>
      <c r="I31" s="717"/>
      <c r="J31" s="83"/>
      <c r="K31" s="239"/>
    </row>
    <row r="32" spans="1:11" ht="23.1" customHeight="1" x14ac:dyDescent="0.25">
      <c r="A32" s="77"/>
      <c r="B32" s="85"/>
      <c r="C32" s="551"/>
      <c r="D32" s="551"/>
      <c r="E32" s="261"/>
      <c r="F32" s="261"/>
      <c r="G32" s="261"/>
      <c r="H32" s="717"/>
      <c r="I32" s="717"/>
      <c r="J32" s="83"/>
      <c r="K32" s="239"/>
    </row>
    <row r="33" spans="1:11" ht="7.35" customHeight="1" x14ac:dyDescent="0.25">
      <c r="A33" s="77"/>
      <c r="B33" s="85"/>
      <c r="C33" s="104"/>
      <c r="D33" s="105"/>
      <c r="E33" s="98"/>
      <c r="F33" s="98"/>
      <c r="G33" s="100"/>
      <c r="H33" s="552"/>
      <c r="I33" s="98"/>
      <c r="J33" s="83"/>
      <c r="K33" s="239"/>
    </row>
    <row r="34" spans="1:11" x14ac:dyDescent="0.25">
      <c r="A34" s="77"/>
      <c r="B34" s="85"/>
      <c r="C34" s="104" t="s">
        <v>709</v>
      </c>
      <c r="D34" s="105"/>
      <c r="E34" s="98"/>
      <c r="F34" s="61"/>
      <c r="G34" s="100"/>
      <c r="H34" s="265" t="s">
        <v>0</v>
      </c>
      <c r="I34" s="98"/>
      <c r="J34" s="83"/>
      <c r="K34" s="240"/>
    </row>
    <row r="35" spans="1:11" ht="7.35" customHeight="1" x14ac:dyDescent="0.25">
      <c r="A35" s="77"/>
      <c r="B35" s="85"/>
      <c r="C35" s="104"/>
      <c r="D35" s="105"/>
      <c r="E35" s="98"/>
      <c r="F35" s="470"/>
      <c r="G35" s="100"/>
      <c r="H35" s="109"/>
      <c r="I35" s="98"/>
      <c r="J35" s="83"/>
      <c r="K35" s="239"/>
    </row>
    <row r="36" spans="1:11" x14ac:dyDescent="0.25">
      <c r="A36" s="77"/>
      <c r="B36" s="85"/>
      <c r="C36" s="104" t="s">
        <v>710</v>
      </c>
      <c r="D36" s="105"/>
      <c r="E36" s="98"/>
      <c r="F36" s="61"/>
      <c r="G36" s="100"/>
      <c r="H36" s="265" t="s">
        <v>0</v>
      </c>
      <c r="I36" s="98"/>
      <c r="J36" s="83"/>
      <c r="K36" s="240"/>
    </row>
    <row r="37" spans="1:11" ht="7.35" customHeight="1" x14ac:dyDescent="0.25">
      <c r="A37" s="77"/>
      <c r="B37" s="85"/>
      <c r="C37" s="104"/>
      <c r="D37" s="105"/>
      <c r="E37" s="98"/>
      <c r="F37" s="98"/>
      <c r="G37" s="100"/>
      <c r="H37" s="109"/>
      <c r="I37" s="98"/>
      <c r="J37" s="83"/>
      <c r="K37" s="239"/>
    </row>
    <row r="38" spans="1:11" x14ac:dyDescent="0.25">
      <c r="A38" s="77"/>
      <c r="B38" s="85"/>
      <c r="C38" s="104" t="s">
        <v>153</v>
      </c>
      <c r="D38" s="105"/>
      <c r="E38" s="98"/>
      <c r="F38" s="522" t="str">
        <f>IF(OR(ISBLANK(F34),ISBLANK(F36)),"",IFERROR(MIN(1000%,(F36-F34)/MAX(F34,0.00001)),""))</f>
        <v/>
      </c>
      <c r="G38" s="100"/>
      <c r="H38" s="109" t="s">
        <v>10</v>
      </c>
      <c r="I38" s="98"/>
      <c r="J38" s="83"/>
      <c r="K38" s="239"/>
    </row>
    <row r="39" spans="1:11" ht="7.35" customHeight="1" x14ac:dyDescent="0.25">
      <c r="A39" s="77"/>
      <c r="B39" s="85"/>
      <c r="C39" s="104"/>
      <c r="D39" s="105"/>
      <c r="E39" s="98"/>
      <c r="F39" s="99"/>
      <c r="G39" s="100"/>
      <c r="H39" s="109"/>
      <c r="I39" s="98"/>
      <c r="J39" s="83"/>
      <c r="K39" s="239"/>
    </row>
    <row r="40" spans="1:11" x14ac:dyDescent="0.25">
      <c r="A40" s="77"/>
      <c r="B40" s="85"/>
      <c r="C40" s="104" t="s">
        <v>712</v>
      </c>
      <c r="D40" s="105"/>
      <c r="E40" s="98"/>
      <c r="F40" s="502" t="e">
        <f>IF(K40="Use Capcoa 2021",VL_REF!$T$3,INDEX(VL_TAZ!$O$9:$AD$9,1,MATCH($C40,VL_TAZ!$O$10:$AD$10,0)))</f>
        <v>#N/A</v>
      </c>
      <c r="G40" s="100"/>
      <c r="H40" s="98" t="str">
        <f>CONCATENATE("Alameda CTC model",IF(NOT(ISBLANK(F42)),", overridden",""))</f>
        <v>Alameda CTC model</v>
      </c>
      <c r="I40" s="98"/>
      <c r="J40" s="83"/>
      <c r="K40" s="239" t="s">
        <v>683</v>
      </c>
    </row>
    <row r="41" spans="1:11" ht="7.35" customHeight="1" x14ac:dyDescent="0.25">
      <c r="A41" s="77"/>
      <c r="B41" s="85"/>
      <c r="C41" s="104"/>
      <c r="D41" s="105"/>
      <c r="E41" s="98"/>
      <c r="F41" s="553"/>
      <c r="G41" s="100"/>
      <c r="H41" s="109"/>
      <c r="I41" s="98"/>
      <c r="J41" s="83"/>
      <c r="K41" s="239"/>
    </row>
    <row r="42" spans="1:11" x14ac:dyDescent="0.25">
      <c r="A42" s="77"/>
      <c r="B42" s="85"/>
      <c r="C42" s="104" t="s">
        <v>711</v>
      </c>
      <c r="D42" s="105"/>
      <c r="E42" s="98"/>
      <c r="F42" s="62"/>
      <c r="G42" s="100"/>
      <c r="H42" s="265" t="s">
        <v>11</v>
      </c>
      <c r="I42" s="98"/>
      <c r="J42" s="83"/>
      <c r="K42" s="239"/>
    </row>
    <row r="43" spans="1:11" ht="7.35" customHeight="1" x14ac:dyDescent="0.25">
      <c r="A43" s="77"/>
      <c r="B43" s="85"/>
      <c r="C43" s="104"/>
      <c r="D43" s="105"/>
      <c r="E43" s="98"/>
      <c r="F43" s="98"/>
      <c r="G43" s="100"/>
      <c r="H43" s="98"/>
      <c r="I43" s="98"/>
      <c r="J43" s="83"/>
      <c r="K43" s="239"/>
    </row>
    <row r="44" spans="1:11" x14ac:dyDescent="0.25">
      <c r="A44" s="77"/>
      <c r="B44" s="85"/>
      <c r="C44" s="104" t="s">
        <v>713</v>
      </c>
      <c r="D44" s="105"/>
      <c r="E44" s="98"/>
      <c r="F44" s="529" t="e">
        <f>IF(ISBLANK(F42),F40,F42)</f>
        <v>#N/A</v>
      </c>
      <c r="G44" s="98"/>
      <c r="H44" s="109" t="s">
        <v>10</v>
      </c>
      <c r="I44" s="98"/>
      <c r="J44" s="83"/>
      <c r="K44" s="240"/>
    </row>
    <row r="45" spans="1:11" ht="7.35" customHeight="1" x14ac:dyDescent="0.25">
      <c r="A45" s="77"/>
      <c r="B45" s="85"/>
      <c r="C45" s="104"/>
      <c r="D45" s="105"/>
      <c r="E45" s="98"/>
      <c r="F45" s="98"/>
      <c r="G45" s="100"/>
      <c r="H45" s="109"/>
      <c r="I45" s="98"/>
      <c r="J45" s="83"/>
      <c r="K45" s="239"/>
    </row>
    <row r="46" spans="1:11" x14ac:dyDescent="0.25">
      <c r="A46" s="77"/>
      <c r="B46" s="85"/>
      <c r="C46" s="104" t="s">
        <v>714</v>
      </c>
      <c r="D46" s="105"/>
      <c r="E46" s="98"/>
      <c r="F46" s="502" t="e">
        <f>IF(K46="Use Capcoa 2021",VL_REF!$U$3,INDEX(VL_TAZ!$O$9:$AD$9,1,MATCH($C46,VL_TAZ!$O$10:$AD$10,0)))</f>
        <v>#N/A</v>
      </c>
      <c r="G46" s="100"/>
      <c r="H46" s="98" t="str">
        <f>CONCATENATE("Alameda CTC model",IF(NOT(ISBLANK(F48)),", overridden",""))</f>
        <v>Alameda CTC model</v>
      </c>
      <c r="I46" s="98"/>
      <c r="J46" s="83"/>
      <c r="K46" s="239" t="s">
        <v>683</v>
      </c>
    </row>
    <row r="47" spans="1:11" ht="7.35" customHeight="1" x14ac:dyDescent="0.25">
      <c r="A47" s="77"/>
      <c r="B47" s="85"/>
      <c r="C47" s="104"/>
      <c r="D47" s="105"/>
      <c r="E47" s="98"/>
      <c r="F47" s="98"/>
      <c r="G47" s="100"/>
      <c r="H47" s="109"/>
      <c r="I47" s="98"/>
      <c r="J47" s="83"/>
      <c r="K47" s="77"/>
    </row>
    <row r="48" spans="1:11" x14ac:dyDescent="0.25">
      <c r="A48" s="77"/>
      <c r="B48" s="85"/>
      <c r="C48" s="104" t="s">
        <v>715</v>
      </c>
      <c r="D48" s="105"/>
      <c r="E48" s="98"/>
      <c r="F48" s="62"/>
      <c r="G48" s="100"/>
      <c r="H48" s="265" t="s">
        <v>11</v>
      </c>
      <c r="I48" s="98"/>
      <c r="J48" s="83"/>
      <c r="K48" s="77"/>
    </row>
    <row r="49" spans="1:11" ht="7.35" customHeight="1" x14ac:dyDescent="0.25">
      <c r="A49" s="77"/>
      <c r="B49" s="85"/>
      <c r="C49" s="104"/>
      <c r="D49" s="105"/>
      <c r="E49" s="98"/>
      <c r="F49" s="98"/>
      <c r="G49" s="100"/>
      <c r="H49" s="98"/>
      <c r="I49" s="98"/>
      <c r="J49" s="83"/>
      <c r="K49" s="77"/>
    </row>
    <row r="50" spans="1:11" x14ac:dyDescent="0.25">
      <c r="A50" s="77"/>
      <c r="B50" s="85"/>
      <c r="C50" s="104" t="s">
        <v>717</v>
      </c>
      <c r="D50" s="105"/>
      <c r="E50" s="98"/>
      <c r="F50" s="529" t="e">
        <f>IF(ISBLANK(F48),F46,F48)</f>
        <v>#N/A</v>
      </c>
      <c r="G50" s="98"/>
      <c r="H50" s="109" t="s">
        <v>10</v>
      </c>
      <c r="I50" s="98"/>
      <c r="J50" s="83"/>
      <c r="K50" s="78"/>
    </row>
    <row r="51" spans="1:11" ht="7.35" customHeight="1" x14ac:dyDescent="0.25">
      <c r="A51" s="77"/>
      <c r="B51" s="85"/>
      <c r="C51" s="104"/>
      <c r="D51" s="105"/>
      <c r="E51" s="98"/>
      <c r="F51" s="98"/>
      <c r="G51" s="100"/>
      <c r="H51" s="109"/>
      <c r="I51" s="98"/>
      <c r="J51" s="83"/>
      <c r="K51" s="77"/>
    </row>
    <row r="52" spans="1:11" x14ac:dyDescent="0.25">
      <c r="A52" s="77"/>
      <c r="B52" s="85"/>
      <c r="C52" s="104" t="s">
        <v>716</v>
      </c>
      <c r="D52" s="105"/>
      <c r="E52" s="98"/>
      <c r="F52" s="554">
        <v>0.25</v>
      </c>
      <c r="G52" s="100"/>
      <c r="H52" s="521" t="s">
        <v>9</v>
      </c>
      <c r="I52" s="98"/>
      <c r="J52" s="83"/>
      <c r="K52" s="78"/>
    </row>
    <row r="53" spans="1:11" x14ac:dyDescent="0.25">
      <c r="A53" s="77"/>
      <c r="B53" s="85"/>
      <c r="C53" s="104"/>
      <c r="D53" s="555"/>
      <c r="E53" s="98"/>
      <c r="F53" s="556"/>
      <c r="G53" s="100"/>
      <c r="H53" s="521"/>
      <c r="I53" s="98"/>
      <c r="J53" s="83"/>
      <c r="K53" s="77"/>
    </row>
    <row r="54" spans="1:11" ht="7.35" customHeight="1" x14ac:dyDescent="0.25">
      <c r="A54" s="77"/>
      <c r="B54" s="85"/>
      <c r="C54" s="104"/>
      <c r="D54" s="105"/>
      <c r="E54" s="98"/>
      <c r="F54" s="99"/>
      <c r="G54" s="100"/>
      <c r="H54" s="109"/>
      <c r="I54" s="98"/>
      <c r="J54" s="83"/>
      <c r="K54" s="77"/>
    </row>
    <row r="55" spans="1:11" x14ac:dyDescent="0.25">
      <c r="A55" s="77"/>
      <c r="B55" s="85"/>
      <c r="C55" s="104" t="s">
        <v>5</v>
      </c>
      <c r="D55" s="105"/>
      <c r="E55" s="98"/>
      <c r="F55" s="129" t="str">
        <f>IFERROR(IF(OR(E12&lt;&gt;VL_REF!BY11,ISBLANK(F34),ISBLANK(F36)),"", IF(F38&gt;0,MAX(-D8,-1*((((F36-F34)/F34)*F21*F44*F52)/(F27*F50))),"")),"")</f>
        <v/>
      </c>
      <c r="G55" s="470"/>
      <c r="H55" s="53" t="b">
        <v>0</v>
      </c>
      <c r="I55" s="207" t="str">
        <f>IF(OR(H55=TRUE,F55=""),"Not Active","Active")</f>
        <v>Not Active</v>
      </c>
      <c r="J55" s="83"/>
      <c r="K55" s="77"/>
    </row>
    <row r="56" spans="1:11" x14ac:dyDescent="0.25">
      <c r="A56" s="77"/>
      <c r="B56" s="85"/>
      <c r="C56" s="98"/>
      <c r="D56" s="98"/>
      <c r="E56" s="98"/>
      <c r="F56" s="98"/>
      <c r="G56" s="98"/>
      <c r="H56" s="100"/>
      <c r="I56" s="98"/>
      <c r="J56" s="83"/>
      <c r="K56" s="77"/>
    </row>
    <row r="57" spans="1:11" ht="51.95" customHeight="1" x14ac:dyDescent="0.25">
      <c r="A57" s="77"/>
      <c r="B57" s="85"/>
      <c r="C57" s="748" t="str">
        <f>"Formula:  % Change in VMT =  " &amp; SUBSTITUTE("-1*(((( " &amp; C36 &amp; " - " &amp; C34 &amp; " )/ " &amp; C34 &amp; " )* " &amp; C21 &amp; " * " &amp; C44 &amp; " * " &amp; C52 &amp; " )/( " &amp; C27  &amp; " * " &amp; C50 &amp; " ))"," used for calculation","")</f>
        <v>Formula:  % Change in VMT =  -1*(((( Bikeway miles (only Class, I, II, and IV) in neighborhood/city with strategy - Existing bikeway miles (only Class I, II, and IV) in neighborhood/city )/ Existing bikeway miles (only Class I, II, and IV) in neighborhood/city )* Bicycle mode share * One-way bicycle trip length (miles) * Elasticity of bike commuters with respect to bikeway miles per 10,000 population )/( Vehicle mode share * One-way vehicle trip length in neighborhood/city (miles) ))</v>
      </c>
      <c r="D57" s="796"/>
      <c r="E57" s="796"/>
      <c r="F57" s="796"/>
      <c r="G57" s="796"/>
      <c r="H57" s="796"/>
      <c r="I57" s="797"/>
      <c r="J57" s="83"/>
      <c r="K57" s="77"/>
    </row>
    <row r="58" spans="1:11" x14ac:dyDescent="0.25">
      <c r="A58" s="77"/>
      <c r="B58" s="85"/>
      <c r="C58" s="557"/>
      <c r="D58" s="752" t="s">
        <v>860</v>
      </c>
      <c r="E58" s="752"/>
      <c r="F58" s="752"/>
      <c r="G58" s="752"/>
      <c r="H58" s="752"/>
      <c r="I58" s="558"/>
      <c r="J58" s="83"/>
      <c r="K58" s="77"/>
    </row>
    <row r="59" spans="1:11" x14ac:dyDescent="0.25">
      <c r="A59" s="77"/>
      <c r="B59" s="85"/>
      <c r="C59" s="559"/>
      <c r="D59" s="256"/>
      <c r="E59" s="256"/>
      <c r="F59" s="256"/>
      <c r="G59" s="256"/>
      <c r="H59" s="256"/>
      <c r="I59" s="256"/>
      <c r="J59" s="83"/>
      <c r="K59" s="77"/>
    </row>
    <row r="60" spans="1:11" x14ac:dyDescent="0.25">
      <c r="A60" s="77"/>
      <c r="B60" s="85"/>
      <c r="C60" s="98" t="s">
        <v>6</v>
      </c>
      <c r="D60" s="98"/>
      <c r="E60" s="98"/>
      <c r="F60" s="98"/>
      <c r="G60" s="98"/>
      <c r="H60" s="100"/>
      <c r="I60" s="98"/>
      <c r="J60" s="83"/>
      <c r="K60" s="77"/>
    </row>
    <row r="61" spans="1:11" ht="79.5" customHeight="1" x14ac:dyDescent="0.25">
      <c r="A61" s="77"/>
      <c r="B61" s="85"/>
      <c r="C61" s="718" t="str">
        <f>INDEX(VL_TDM!$AG$11:$AG$41,MATCH($A$4,VL_TDM!$B$11:$B$41,0),1)</f>
        <v>(1)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v>
      </c>
      <c r="D61" s="789"/>
      <c r="E61" s="789"/>
      <c r="F61" s="789"/>
      <c r="G61" s="789"/>
      <c r="H61" s="789"/>
      <c r="I61" s="789"/>
      <c r="J61" s="83"/>
      <c r="K61" s="77"/>
    </row>
    <row r="62" spans="1:11" x14ac:dyDescent="0.25">
      <c r="A62" s="77"/>
      <c r="B62" s="101"/>
      <c r="C62" s="226"/>
      <c r="D62" s="226"/>
      <c r="E62" s="226"/>
      <c r="F62" s="226"/>
      <c r="G62" s="226"/>
      <c r="H62" s="471"/>
      <c r="I62" s="226"/>
      <c r="J62" s="472"/>
      <c r="K62" s="77"/>
    </row>
    <row r="63" spans="1:11" x14ac:dyDescent="0.25">
      <c r="A63" s="77"/>
      <c r="B63" s="77"/>
      <c r="C63" s="77"/>
      <c r="D63" s="77"/>
      <c r="E63" s="77"/>
      <c r="F63" s="77"/>
      <c r="G63" s="77"/>
      <c r="H63" s="103"/>
      <c r="I63" s="77"/>
      <c r="J63" s="77"/>
      <c r="K63" s="77"/>
    </row>
  </sheetData>
  <sheetProtection algorithmName="SHA-512" hashValue="M0CaAD2nIrTmWs7f6SMYfelneCGLK6nj6+7V9HFtZRrISSF/02NlcxGSs28x6+QdgY37AFOaG9D/kozTEG1HNQ==" saltValue="CPho+SLNTZoEAfxX1X851g==" spinCount="100000" sheet="1" objects="1" scenarios="1" selectLockedCells="1"/>
  <mergeCells count="10">
    <mergeCell ref="C61:I61"/>
    <mergeCell ref="C57:I57"/>
    <mergeCell ref="H30:I32"/>
    <mergeCell ref="B4:J4"/>
    <mergeCell ref="C10:I10"/>
    <mergeCell ref="E12:F12"/>
    <mergeCell ref="H13:I13"/>
    <mergeCell ref="C31:D31"/>
    <mergeCell ref="H14:I15"/>
    <mergeCell ref="D58:H58"/>
  </mergeCells>
  <conditionalFormatting sqref="F55">
    <cfRule type="expression" dxfId="21" priority="19">
      <formula>-ROUND($D$8,3)=ROUND($F$55,3)</formula>
    </cfRule>
    <cfRule type="expression" dxfId="20" priority="20">
      <formula>AND(F55&lt;&gt;"",F55&gt;0)</formula>
    </cfRule>
  </conditionalFormatting>
  <dataValidations count="5">
    <dataValidation type="decimal" operator="greaterThanOrEqual" allowBlank="1" showErrorMessage="1" errorTitle="Restriction" error="Value must not be negative_x000a_" promptTitle="Option" prompt="The user may override the above default community SOV mode share in this cell. Leave blank otherwise." sqref="F48" xr:uid="{00000000-0002-0000-1000-000000000000}">
      <formula1>0</formula1>
    </dataValidation>
    <dataValidation type="decimal" operator="greaterThanOrEqual" allowBlank="1" showErrorMessage="1" errorTitle="Restriction" error="Value must not be negative" promptTitle="Option" prompt="The user may override the above default community SOV mode share in this cell. Leave blank otherwise." sqref="F42" xr:uid="{00000000-0002-0000-1000-000001000000}">
      <formula1>0</formula1>
    </dataValidation>
    <dataValidation type="decimal" operator="greaterThanOrEqual" allowBlank="1" showInputMessage="1" showErrorMessage="1" errorTitle="Restriction" error="Value must not be negative" sqref="F36 F34" xr:uid="{00000000-0002-0000-1000-000002000000}">
      <formula1>0</formula1>
    </dataValidation>
    <dataValidation type="decimal" allowBlank="1" showErrorMessage="1" errorTitle="Restriction" error="Value must be between 0% and 100%_x000a_" promptTitle="Option" prompt="The user may override the above default community bicycle mode share in this cell. Leave blank otherwise." sqref="F19" xr:uid="{00000000-0002-0000-1000-000003000000}">
      <formula1>0</formula1>
      <formula2>1</formula2>
    </dataValidation>
    <dataValidation type="decimal" allowBlank="1" showErrorMessage="1" errorTitle="Restriction" error="Value must be between 0% and 100%_x000a_" promptTitle="Option" prompt="The user may override the above default community SOV mode share in this cell. Leave blank otherwise." sqref="F25" xr:uid="{00000000-0002-0000-1000-000004000000}">
      <formula1>0</formula1>
      <formula2>1</formula2>
    </dataValidation>
  </dataValidations>
  <hyperlinks>
    <hyperlink ref="I7" location="Results!A1" display="Results Summary" xr:uid="{00000000-0004-0000-1000-000000000000}"/>
    <hyperlink ref="I6" location="Main!L65" display="Return to Main É" xr:uid="{00000000-0004-0000-1000-000001000000}"/>
    <hyperlink ref="I29" r:id="rId1" display="Info on faciility types" xr:uid="{EA9560D3-854C-4C09-B196-2246BCAD2591}"/>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38248" r:id="rId5" name="Check Box 8">
              <controlPr defaultSize="0" autoFill="0" autoLine="0" autoPict="0" altText="Exclude From Results Summary">
                <anchor moveWithCells="1">
                  <from>
                    <xdr:col>6</xdr:col>
                    <xdr:colOff>371475</xdr:colOff>
                    <xdr:row>53</xdr:row>
                    <xdr:rowOff>66675</xdr:rowOff>
                  </from>
                  <to>
                    <xdr:col>7</xdr:col>
                    <xdr:colOff>1628775</xdr:colOff>
                    <xdr:row>55</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00000000-0002-0000-1000-000005000000}">
          <x14:formula1>
            <xm:f>VL_REF!$BY$11:$BY$13</xm:f>
          </x14:formula1>
          <xm:sqref>E12:F12</xm:sqref>
        </x14:dataValidation>
        <x14:dataValidation type="list" allowBlank="1" showErrorMessage="1" promptTitle="Option" prompt="Choose the unit for which you will report density in the input cell below." xr:uid="{00000000-0002-0000-1000-000006000000}">
          <x14:formula1>
            <xm:f>VL_REF!$CB$11:$CB$13</xm:f>
          </x14:formula1>
          <xm:sqref>F29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57790-2922-4FBD-9783-9384CD8B092E}">
  <sheetPr codeName="Sheet42">
    <tabColor theme="1"/>
    <pageSetUpPr fitToPage="1"/>
  </sheetPr>
  <dimension ref="A1:U152"/>
  <sheetViews>
    <sheetView showRowColHeaders="0" zoomScaleNormal="100" workbookViewId="0">
      <selection activeCell="D26" sqref="D26"/>
    </sheetView>
  </sheetViews>
  <sheetFormatPr defaultColWidth="0" defaultRowHeight="15" zeroHeight="1" x14ac:dyDescent="0.25"/>
  <cols>
    <col min="1" max="1" width="2.7109375" style="92" customWidth="1"/>
    <col min="2" max="2" width="4.5703125" style="92" customWidth="1"/>
    <col min="3" max="3" width="5.7109375" style="92" customWidth="1"/>
    <col min="4" max="4" width="8.7109375" style="92" bestFit="1" customWidth="1"/>
    <col min="5" max="5" width="64.28515625" style="92" bestFit="1" customWidth="1"/>
    <col min="6" max="6" width="20.7109375" style="92" customWidth="1"/>
    <col min="7" max="7" width="37.85546875" style="92" customWidth="1"/>
    <col min="8" max="8" width="20.42578125" style="92" bestFit="1" customWidth="1"/>
    <col min="9" max="9" width="2.5703125" style="92" customWidth="1"/>
    <col min="10" max="10" width="18.5703125" style="92" customWidth="1"/>
    <col min="11" max="11" width="4.5703125" style="92" customWidth="1"/>
    <col min="12" max="12" width="2.7109375" style="92" customWidth="1"/>
    <col min="13" max="13" width="11.5703125" style="92" hidden="1" customWidth="1"/>
    <col min="14" max="14" width="14.42578125" style="92" hidden="1" customWidth="1"/>
    <col min="15" max="17" width="8.85546875" style="92" hidden="1" customWidth="1"/>
    <col min="18" max="18" width="12.5703125" style="92" hidden="1" customWidth="1"/>
    <col min="19" max="21" width="8.85546875" style="92" hidden="1" customWidth="1"/>
    <col min="22" max="16384" width="9.140625" style="92" hidden="1"/>
  </cols>
  <sheetData>
    <row r="1" spans="1:13" ht="15" customHeight="1" x14ac:dyDescent="0.25">
      <c r="A1" s="78"/>
      <c r="B1" s="78"/>
      <c r="C1" s="78"/>
      <c r="D1" s="78"/>
      <c r="E1" s="78"/>
      <c r="F1" s="78"/>
      <c r="G1" s="78"/>
      <c r="H1" s="78"/>
      <c r="I1" s="80"/>
      <c r="J1" s="363"/>
      <c r="K1" s="78"/>
      <c r="L1" s="78"/>
    </row>
    <row r="2" spans="1:13" ht="36" customHeight="1" x14ac:dyDescent="0.25">
      <c r="A2" s="78"/>
      <c r="B2" s="714" t="s">
        <v>140</v>
      </c>
      <c r="C2" s="715"/>
      <c r="D2" s="715"/>
      <c r="E2" s="715"/>
      <c r="F2" s="715"/>
      <c r="G2" s="715"/>
      <c r="H2" s="715"/>
      <c r="I2" s="715"/>
      <c r="J2" s="715"/>
      <c r="K2" s="715"/>
      <c r="L2" s="238"/>
    </row>
    <row r="3" spans="1:13" ht="9.9499999999999993" customHeight="1" x14ac:dyDescent="0.25">
      <c r="A3" s="78"/>
      <c r="B3" s="78"/>
      <c r="C3" s="78"/>
      <c r="D3" s="78"/>
      <c r="E3" s="78"/>
      <c r="F3" s="78"/>
      <c r="G3" s="78"/>
      <c r="H3" s="78"/>
      <c r="I3" s="78"/>
      <c r="J3" s="127"/>
      <c r="K3" s="78"/>
      <c r="L3" s="238"/>
    </row>
    <row r="4" spans="1:13" ht="18.75" x14ac:dyDescent="0.3">
      <c r="A4" s="364"/>
      <c r="B4" s="365" t="str">
        <f>Main!$C$55</f>
        <v/>
      </c>
      <c r="C4" s="366"/>
      <c r="D4" s="366"/>
      <c r="E4" s="366"/>
      <c r="F4" s="364"/>
      <c r="G4" s="364"/>
      <c r="H4" s="364"/>
      <c r="J4" s="716" t="s">
        <v>89</v>
      </c>
      <c r="K4" s="716"/>
      <c r="L4" s="367"/>
    </row>
    <row r="5" spans="1:13" ht="5.0999999999999996" customHeight="1" x14ac:dyDescent="0.25">
      <c r="A5" s="78"/>
      <c r="B5" s="78"/>
      <c r="C5" s="78"/>
      <c r="D5" s="78"/>
      <c r="E5" s="78"/>
      <c r="F5" s="78"/>
      <c r="G5" s="78"/>
      <c r="H5" s="368"/>
      <c r="I5" s="78"/>
      <c r="J5" s="127"/>
      <c r="K5" s="78"/>
      <c r="L5" s="238"/>
    </row>
    <row r="6" spans="1:13" ht="21" customHeight="1" x14ac:dyDescent="0.25">
      <c r="A6" s="78"/>
      <c r="B6" s="711" t="s">
        <v>87</v>
      </c>
      <c r="C6" s="712"/>
      <c r="D6" s="712"/>
      <c r="E6" s="712"/>
      <c r="F6" s="712"/>
      <c r="G6" s="712"/>
      <c r="H6" s="712"/>
      <c r="I6" s="712"/>
      <c r="J6" s="712"/>
      <c r="K6" s="713"/>
      <c r="L6" s="238"/>
      <c r="M6" s="369"/>
    </row>
    <row r="7" spans="1:13" ht="5.0999999999999996" customHeight="1" x14ac:dyDescent="0.25">
      <c r="A7" s="78"/>
      <c r="B7" s="370"/>
      <c r="C7" s="371"/>
      <c r="D7" s="371"/>
      <c r="E7" s="371"/>
      <c r="F7" s="371"/>
      <c r="G7" s="371"/>
      <c r="H7" s="372"/>
      <c r="I7" s="371"/>
      <c r="J7" s="373"/>
      <c r="K7" s="374"/>
      <c r="L7" s="238"/>
      <c r="M7" s="369"/>
    </row>
    <row r="8" spans="1:13" ht="15" customHeight="1" x14ac:dyDescent="0.25">
      <c r="A8" s="78"/>
      <c r="B8" s="375"/>
      <c r="C8" s="376"/>
      <c r="D8" s="376"/>
      <c r="E8" s="376" t="str">
        <f>Main!C47</f>
        <v>Project Name (optional):</v>
      </c>
      <c r="F8" s="377" t="str">
        <f>IF(Main!F47="","",Main!F47)</f>
        <v/>
      </c>
      <c r="G8" s="377"/>
      <c r="H8" s="377"/>
      <c r="I8" s="378"/>
      <c r="J8" s="379"/>
      <c r="K8" s="380"/>
      <c r="L8" s="238"/>
      <c r="M8" s="369"/>
    </row>
    <row r="9" spans="1:13" ht="5.0999999999999996" customHeight="1" x14ac:dyDescent="0.25">
      <c r="A9" s="78"/>
      <c r="B9" s="375"/>
      <c r="C9" s="376"/>
      <c r="D9" s="376"/>
      <c r="E9" s="376"/>
      <c r="F9" s="377"/>
      <c r="G9" s="377"/>
      <c r="H9" s="377"/>
      <c r="I9" s="376"/>
      <c r="J9" s="381"/>
      <c r="K9" s="380"/>
      <c r="L9" s="238"/>
      <c r="M9" s="369"/>
    </row>
    <row r="10" spans="1:13" ht="15" customHeight="1" x14ac:dyDescent="0.25">
      <c r="A10" s="78"/>
      <c r="B10" s="375"/>
      <c r="C10" s="376"/>
      <c r="D10" s="376"/>
      <c r="E10" s="376" t="str">
        <f>Main!C49</f>
        <v>Project Address (optional):</v>
      </c>
      <c r="F10" s="377" t="str">
        <f>IF(Main!F49="","",Main!F49)</f>
        <v/>
      </c>
      <c r="G10" s="377"/>
      <c r="H10" s="377"/>
      <c r="I10" s="378"/>
      <c r="J10" s="379"/>
      <c r="K10" s="380"/>
      <c r="L10" s="238"/>
      <c r="M10" s="369"/>
    </row>
    <row r="11" spans="1:13" ht="5.0999999999999996" customHeight="1" x14ac:dyDescent="0.25">
      <c r="A11" s="78"/>
      <c r="B11" s="375"/>
      <c r="C11" s="376"/>
      <c r="D11" s="376"/>
      <c r="E11" s="376"/>
      <c r="F11" s="377"/>
      <c r="G11" s="377"/>
      <c r="H11" s="377"/>
      <c r="I11" s="376"/>
      <c r="J11" s="381"/>
      <c r="K11" s="380"/>
      <c r="L11" s="238"/>
      <c r="M11" s="369"/>
    </row>
    <row r="12" spans="1:13" ht="15" customHeight="1" x14ac:dyDescent="0.25">
      <c r="A12" s="78"/>
      <c r="B12" s="375"/>
      <c r="C12" s="376"/>
      <c r="D12" s="376"/>
      <c r="E12" s="377" t="str">
        <f>Main!C51</f>
        <v>Project Type (optional):</v>
      </c>
      <c r="F12" s="377" t="str">
        <f>IF(Main!F51="","",Main!F51)</f>
        <v/>
      </c>
      <c r="G12" s="377"/>
      <c r="H12" s="377"/>
      <c r="I12" s="378"/>
      <c r="J12" s="379"/>
      <c r="K12" s="380"/>
      <c r="L12" s="238"/>
      <c r="M12" s="369"/>
    </row>
    <row r="13" spans="1:13" ht="5.0999999999999996" customHeight="1" x14ac:dyDescent="0.25">
      <c r="A13" s="78"/>
      <c r="B13" s="375"/>
      <c r="C13" s="376"/>
      <c r="D13" s="376"/>
      <c r="E13" s="376"/>
      <c r="F13" s="377"/>
      <c r="G13" s="377"/>
      <c r="H13" s="377"/>
      <c r="I13" s="376"/>
      <c r="J13" s="381"/>
      <c r="K13" s="380"/>
      <c r="L13" s="238"/>
      <c r="M13" s="369"/>
    </row>
    <row r="14" spans="1:13" ht="15" customHeight="1" x14ac:dyDescent="0.25">
      <c r="A14" s="78"/>
      <c r="B14" s="375"/>
      <c r="C14" s="376"/>
      <c r="D14" s="376"/>
      <c r="E14" s="377" t="str">
        <f>Main!C53</f>
        <v/>
      </c>
      <c r="F14" s="377" t="str">
        <f>IF(Main!F53="","",Main!F53)</f>
        <v xml:space="preserve">Office </v>
      </c>
      <c r="G14" s="377"/>
      <c r="H14" s="377"/>
      <c r="I14" s="378"/>
      <c r="J14" s="379"/>
      <c r="K14" s="380"/>
      <c r="L14" s="238"/>
      <c r="M14" s="369"/>
    </row>
    <row r="15" spans="1:13" ht="5.0999999999999996" customHeight="1" x14ac:dyDescent="0.25">
      <c r="A15" s="78"/>
      <c r="B15" s="375"/>
      <c r="C15" s="376"/>
      <c r="D15" s="376"/>
      <c r="E15" s="376"/>
      <c r="F15" s="377"/>
      <c r="G15" s="377"/>
      <c r="H15" s="377"/>
      <c r="I15" s="376"/>
      <c r="J15" s="381"/>
      <c r="K15" s="380"/>
      <c r="L15" s="238"/>
      <c r="M15" s="369"/>
    </row>
    <row r="16" spans="1:13" ht="15" customHeight="1" x14ac:dyDescent="0.25">
      <c r="A16" s="78"/>
      <c r="B16" s="375"/>
      <c r="C16" s="376"/>
      <c r="D16" s="376"/>
      <c r="E16" s="377" t="str">
        <f>Main!C56</f>
        <v>Analysis Location (TAZ # from website):</v>
      </c>
      <c r="F16" s="382">
        <f>Location</f>
        <v>0</v>
      </c>
      <c r="G16" s="377"/>
      <c r="H16" s="377"/>
      <c r="I16" s="378"/>
      <c r="J16" s="379"/>
      <c r="K16" s="380"/>
      <c r="L16" s="238"/>
      <c r="M16" s="369"/>
    </row>
    <row r="17" spans="1:13" ht="5.0999999999999996" customHeight="1" x14ac:dyDescent="0.25">
      <c r="A17" s="78"/>
      <c r="B17" s="375"/>
      <c r="C17" s="376"/>
      <c r="D17" s="376"/>
      <c r="E17" s="376"/>
      <c r="F17" s="383"/>
      <c r="G17" s="377"/>
      <c r="H17" s="377"/>
      <c r="I17" s="376"/>
      <c r="J17" s="381"/>
      <c r="K17" s="380"/>
      <c r="L17" s="238"/>
      <c r="M17" s="369"/>
    </row>
    <row r="18" spans="1:13" ht="15" customHeight="1" x14ac:dyDescent="0.25">
      <c r="A18" s="78"/>
      <c r="B18" s="375"/>
      <c r="C18" s="376"/>
      <c r="D18" s="376"/>
      <c r="E18" s="377" t="str">
        <f>Main!C58</f>
        <v>Jurisdiction (auto calculated from TAZ #):</v>
      </c>
      <c r="F18" s="383" t="str">
        <f>IF(jurisdiction="","n/a",jurisdiction)</f>
        <v>n/a</v>
      </c>
      <c r="G18" s="377"/>
      <c r="H18" s="377"/>
      <c r="I18" s="378"/>
      <c r="J18" s="379"/>
      <c r="K18" s="380"/>
      <c r="L18" s="238"/>
      <c r="M18" s="369"/>
    </row>
    <row r="19" spans="1:13" ht="5.0999999999999996" customHeight="1" x14ac:dyDescent="0.25">
      <c r="A19" s="78"/>
      <c r="B19" s="384"/>
      <c r="C19" s="385"/>
      <c r="D19" s="385"/>
      <c r="E19" s="385"/>
      <c r="F19" s="385"/>
      <c r="G19" s="385"/>
      <c r="H19" s="385"/>
      <c r="I19" s="385"/>
      <c r="J19" s="386"/>
      <c r="K19" s="387"/>
      <c r="L19" s="238"/>
      <c r="M19" s="369"/>
    </row>
    <row r="20" spans="1:13" ht="19.350000000000001" customHeight="1" x14ac:dyDescent="0.25">
      <c r="A20" s="78"/>
      <c r="B20" s="78"/>
      <c r="C20" s="78"/>
      <c r="D20" s="78"/>
      <c r="E20" s="78"/>
      <c r="F20" s="78"/>
      <c r="G20" s="78"/>
      <c r="H20" s="629" t="str">
        <f>IF(COUNTIFS($H$26:$H$54,"Conflict*")&gt;0,"See Strategy Conflicts","")</f>
        <v/>
      </c>
      <c r="I20" s="78"/>
      <c r="J20" s="127"/>
      <c r="K20" s="78"/>
      <c r="L20" s="238"/>
      <c r="M20" s="369"/>
    </row>
    <row r="21" spans="1:13" ht="21" customHeight="1" x14ac:dyDescent="0.25">
      <c r="A21" s="78"/>
      <c r="B21" s="711" t="s">
        <v>754</v>
      </c>
      <c r="C21" s="712"/>
      <c r="D21" s="712"/>
      <c r="E21" s="712"/>
      <c r="F21" s="712"/>
      <c r="G21" s="712"/>
      <c r="H21" s="712"/>
      <c r="I21" s="712"/>
      <c r="J21" s="712"/>
      <c r="K21" s="713"/>
      <c r="L21" s="238"/>
      <c r="M21" s="369"/>
    </row>
    <row r="22" spans="1:13" ht="5.0999999999999996" customHeight="1" x14ac:dyDescent="0.25">
      <c r="A22" s="78"/>
      <c r="B22" s="388"/>
      <c r="C22" s="389"/>
      <c r="D22" s="389"/>
      <c r="E22" s="389"/>
      <c r="F22" s="389"/>
      <c r="G22" s="389"/>
      <c r="H22" s="390"/>
      <c r="I22" s="389"/>
      <c r="J22" s="381"/>
      <c r="K22" s="391"/>
      <c r="L22" s="238"/>
    </row>
    <row r="23" spans="1:13" ht="15" customHeight="1" x14ac:dyDescent="0.25">
      <c r="A23" s="77"/>
      <c r="B23" s="392"/>
      <c r="C23" s="393"/>
      <c r="D23" s="382" t="s">
        <v>748</v>
      </c>
      <c r="E23" s="382" t="s">
        <v>756</v>
      </c>
      <c r="F23" s="382" t="s">
        <v>755</v>
      </c>
      <c r="G23" s="390" t="s">
        <v>78</v>
      </c>
      <c r="H23" s="394" t="s">
        <v>5</v>
      </c>
      <c r="I23" s="389"/>
      <c r="J23" s="395" t="s">
        <v>167</v>
      </c>
      <c r="K23" s="396"/>
      <c r="L23" s="397"/>
    </row>
    <row r="24" spans="1:13" ht="8.1" customHeight="1" x14ac:dyDescent="0.25">
      <c r="A24" s="78"/>
      <c r="B24" s="388"/>
      <c r="C24" s="389"/>
      <c r="D24" s="389"/>
      <c r="E24" s="389"/>
      <c r="F24" s="389"/>
      <c r="G24" s="389"/>
      <c r="H24" s="389"/>
      <c r="I24" s="389"/>
      <c r="J24" s="381"/>
      <c r="K24" s="391"/>
      <c r="L24" s="240"/>
    </row>
    <row r="25" spans="1:13" ht="7.35" customHeight="1" x14ac:dyDescent="0.25">
      <c r="A25" s="77"/>
      <c r="B25" s="398"/>
      <c r="C25" s="399"/>
      <c r="D25" s="399"/>
      <c r="E25" s="399"/>
      <c r="F25" s="399"/>
      <c r="G25" s="399"/>
      <c r="H25" s="389"/>
      <c r="I25" s="389"/>
      <c r="J25" s="381"/>
      <c r="K25" s="396"/>
      <c r="L25" s="397"/>
    </row>
    <row r="26" spans="1:13" ht="30" customHeight="1" x14ac:dyDescent="0.25">
      <c r="A26" s="77"/>
      <c r="B26" s="398"/>
      <c r="C26" s="400"/>
      <c r="D26" s="620" t="s">
        <v>21</v>
      </c>
      <c r="E26" s="621" t="str">
        <f>INDEX(VL_TDM!$E$11:$E$41,MATCH($D26,VL_TDM!$B$11:$B$41,0),1)</f>
        <v>Voluntary Employer Commute Program</v>
      </c>
      <c r="F26" s="401" t="str">
        <f>INDEX(VL_TDM!$AC$11:$AC$41,MATCH($D26,VL_TDM!$B$11:$B$41,0),1)</f>
        <v>Project/Site</v>
      </c>
      <c r="G26" s="401" t="str">
        <f>INDEX(VL_TDM!$AD$11:$AD$41,MATCH($D26,VL_TDM!$B$11:$B$41,0),1)</f>
        <v>Employee commute trips</v>
      </c>
      <c r="H26" s="402" t="str">
        <f>IF(Conflict_Calc!BM11&gt;0,"Conflict with other strategy",INDEX(Calc!$F$11:$F$39,MATCH($D26,Calc!$C$11:$C$39,0),1))</f>
        <v/>
      </c>
      <c r="I26" s="401"/>
      <c r="J26" s="403" t="str">
        <f>IF(H26="","",IF("Not Active"=INDEX(Calc!$D$11:$D$39,MATCH($D26,Calc!$C$11:$C$39,0),1),"Excluded from total",""))</f>
        <v/>
      </c>
      <c r="K26" s="404"/>
      <c r="L26" s="397"/>
    </row>
    <row r="27" spans="1:13" ht="30" customHeight="1" x14ac:dyDescent="0.25">
      <c r="A27" s="77"/>
      <c r="B27" s="398"/>
      <c r="C27" s="400"/>
      <c r="D27" s="620" t="s">
        <v>22</v>
      </c>
      <c r="E27" s="620" t="str">
        <f>INDEX(VL_TDM!$E$11:$E$41,MATCH($D27,VL_TDM!$B$11:$B$41,0),1)</f>
        <v>Mandatory Employer Commute Program</v>
      </c>
      <c r="F27" s="401" t="str">
        <f>INDEX(VL_TDM!$AC$11:$AC$41,MATCH($D27,VL_TDM!$B$11:$B$41,0),1)</f>
        <v>Project/Site</v>
      </c>
      <c r="G27" s="401" t="str">
        <f>INDEX(VL_TDM!$AD$11:$AD$41,MATCH($D27,VL_TDM!$B$11:$B$41,0),1)</f>
        <v>Employee commute trips</v>
      </c>
      <c r="H27" s="402" t="str">
        <f>IF(Conflict_Calc!BM12&gt;0,"Conflict with other strategy",INDEX(Calc!$F$11:$F$39,MATCH($D27,Calc!$C$11:$C$39,0),1))</f>
        <v/>
      </c>
      <c r="I27" s="401"/>
      <c r="J27" s="403" t="str">
        <f>IF(H27="","",IF("Not Active"=INDEX(Calc!$D$11:$D$39,MATCH($D27,Calc!$C$11:$C$39,0),1),"Excluded from total",""))</f>
        <v/>
      </c>
      <c r="K27" s="404"/>
      <c r="L27" s="397"/>
    </row>
    <row r="28" spans="1:13" ht="30" customHeight="1" x14ac:dyDescent="0.25">
      <c r="A28" s="77"/>
      <c r="B28" s="398"/>
      <c r="C28" s="400"/>
      <c r="D28" s="620" t="s">
        <v>23</v>
      </c>
      <c r="E28" s="620" t="str">
        <f>INDEX(VL_TDM!$E$11:$E$41,MATCH($D28,VL_TDM!$B$11:$B$41,0),1)</f>
        <v>Employer Carpool Program</v>
      </c>
      <c r="F28" s="401" t="str">
        <f>INDEX(VL_TDM!$AC$11:$AC$41,MATCH($D28,VL_TDM!$B$11:$B$41,0),1)</f>
        <v>Project/Site</v>
      </c>
      <c r="G28" s="401" t="str">
        <f>INDEX(VL_TDM!$AD$11:$AD$41,MATCH($D28,VL_TDM!$B$11:$B$41,0),1)</f>
        <v>Employee commute trips</v>
      </c>
      <c r="H28" s="402" t="str">
        <f>IF(Conflict_Calc!BM13&gt;0,"Conflict with other strategy",INDEX(Calc!$F$11:$F$39,MATCH($D28,Calc!$C$11:$C$39,0),1))</f>
        <v/>
      </c>
      <c r="I28" s="401"/>
      <c r="J28" s="403" t="str">
        <f>IF(H28="","",IF("Not Active"=INDEX(Calc!$D$11:$D$39,MATCH($D28,Calc!$C$11:$C$39,0),1),"Excluded from total",""))</f>
        <v/>
      </c>
      <c r="K28" s="404"/>
      <c r="L28" s="397"/>
    </row>
    <row r="29" spans="1:13" ht="30" customHeight="1" x14ac:dyDescent="0.25">
      <c r="A29" s="77"/>
      <c r="B29" s="398"/>
      <c r="C29" s="400"/>
      <c r="D29" s="620" t="s">
        <v>760</v>
      </c>
      <c r="E29" s="620" t="str">
        <f>INDEX(VL_TDM!$E$11:$E$41,MATCH($D29,VL_TDM!$B$11:$B$41,0),1)</f>
        <v>Implement Subsidized or Discounted Transit Program (for Employees)</v>
      </c>
      <c r="F29" s="401" t="str">
        <f>INDEX(VL_TDM!$AC$11:$AC$41,MATCH($D29,VL_TDM!$B$11:$B$41,0),1)</f>
        <v>Project/Site</v>
      </c>
      <c r="G29" s="401" t="str">
        <f>INDEX(VL_TDM!$AD$11:$AD$41,MATCH($D29,VL_TDM!$B$11:$B$41,0),1)</f>
        <v>Employee commute trips</v>
      </c>
      <c r="H29" s="402" t="str">
        <f>IF(Conflict_Calc!BM14&gt;0,"Conflict with other strategy",INDEX(Calc!$F$11:$F$39,MATCH($D29,Calc!$C$11:$C$39,0),1))</f>
        <v/>
      </c>
      <c r="I29" s="401"/>
      <c r="J29" s="403" t="str">
        <f>IF(H29="","",IF("Not Active"=INDEX(Calc!$D$11:$D$39,MATCH($D29,Calc!$C$11:$C$39,0),1),"Excluded from total",""))</f>
        <v/>
      </c>
      <c r="K29" s="404"/>
      <c r="L29" s="126"/>
    </row>
    <row r="30" spans="1:13" ht="30" customHeight="1" x14ac:dyDescent="0.25">
      <c r="A30" s="77"/>
      <c r="B30" s="398"/>
      <c r="C30" s="400"/>
      <c r="D30" s="620" t="s">
        <v>761</v>
      </c>
      <c r="E30" s="620" t="str">
        <f>INDEX(VL_TDM!$E$11:$E$41,MATCH($D30,VL_TDM!$B$11:$B$41,0),1)</f>
        <v>Implement Subsidized or Discounted Transit Program (for Residents)</v>
      </c>
      <c r="F30" s="401" t="str">
        <f>INDEX(VL_TDM!$AC$11:$AC$41,MATCH($D30,VL_TDM!$B$11:$B$41,0),1)</f>
        <v>Project/Site</v>
      </c>
      <c r="G30" s="401" t="str">
        <f>INDEX(VL_TDM!$AD$11:$AD$41,MATCH($D30,VL_TDM!$B$11:$B$41,0),1)</f>
        <v>Project-generated trips</v>
      </c>
      <c r="H30" s="402" t="str">
        <f>IF(Conflict_Calc!BM15&gt;0,"Conflict with other strategy",INDEX(Calc!$F$11:$F$39,MATCH($D30,Calc!$C$11:$C$39,0),1))</f>
        <v/>
      </c>
      <c r="I30" s="401"/>
      <c r="J30" s="403" t="str">
        <f>IF(H30="","",IF("Not Active"=INDEX(Calc!$D$11:$D$39,MATCH($D30,Calc!$C$11:$C$39,0),1),"Excluded from total",""))</f>
        <v/>
      </c>
      <c r="K30" s="404"/>
      <c r="L30" s="126"/>
    </row>
    <row r="31" spans="1:13" ht="30" customHeight="1" x14ac:dyDescent="0.25">
      <c r="A31" s="77"/>
      <c r="B31" s="398"/>
      <c r="C31" s="400"/>
      <c r="D31" s="620" t="s">
        <v>25</v>
      </c>
      <c r="E31" s="620" t="str">
        <f>INDEX(VL_TDM!$E$11:$E$41,MATCH($D31,VL_TDM!$B$11:$B$41,0),1)</f>
        <v>Employer Vanpool Program</v>
      </c>
      <c r="F31" s="401" t="str">
        <f>INDEX(VL_TDM!$AC$11:$AC$41,MATCH($D31,VL_TDM!$B$11:$B$41,0),1)</f>
        <v>Project/Site</v>
      </c>
      <c r="G31" s="401" t="str">
        <f>INDEX(VL_TDM!$AD$11:$AD$41,MATCH($D31,VL_TDM!$B$11:$B$41,0),1)</f>
        <v>Employee commute trips</v>
      </c>
      <c r="H31" s="402" t="str">
        <f>IF(Conflict_Calc!BM16&gt;0,"Conflict with other strategy",INDEX(Calc!$F$11:$F$39,MATCH($D31,Calc!$C$11:$C$39,0),1))</f>
        <v/>
      </c>
      <c r="I31" s="401"/>
      <c r="J31" s="403" t="str">
        <f>IF(H31="","",IF("Not Active"=INDEX(Calc!$D$11:$D$39,MATCH($D31,Calc!$C$11:$C$39,0),1),"Excluded from total",""))</f>
        <v/>
      </c>
      <c r="K31" s="404"/>
      <c r="L31" s="397"/>
    </row>
    <row r="32" spans="1:13" ht="30" customHeight="1" x14ac:dyDescent="0.25">
      <c r="A32" s="77"/>
      <c r="B32" s="398"/>
      <c r="C32" s="400"/>
      <c r="D32" s="620" t="s">
        <v>53</v>
      </c>
      <c r="E32" s="620" t="str">
        <f>INDEX(VL_TDM!$E$11:$E$41,MATCH($D32,VL_TDM!$B$11:$B$41,0),1)</f>
        <v>Employer Telework Program</v>
      </c>
      <c r="F32" s="401" t="str">
        <f>INDEX(VL_TDM!$AC$11:$AC$41,MATCH($D32,VL_TDM!$B$11:$B$41,0),1)</f>
        <v>Project/Site</v>
      </c>
      <c r="G32" s="401" t="str">
        <f>INDEX(VL_TDM!$AD$11:$AD$41,MATCH($D32,VL_TDM!$B$11:$B$41,0),1)</f>
        <v>Employee commute trips</v>
      </c>
      <c r="H32" s="402" t="str">
        <f>IF(Conflict_Calc!BM17&gt;0,"Conflict with other strategy",INDEX(Calc!$F$11:$F$39,MATCH($D32,Calc!$C$11:$C$39,0),1))</f>
        <v/>
      </c>
      <c r="I32" s="401"/>
      <c r="J32" s="403" t="str">
        <f>IF(H32="","",IF("Not Active"=INDEX(Calc!$D$11:$D$39,MATCH($D32,Calc!$C$11:$C$39,0),1),"Excluded from total",""))</f>
        <v/>
      </c>
      <c r="K32" s="404"/>
      <c r="L32" s="397"/>
    </row>
    <row r="33" spans="1:12" ht="30" customHeight="1" x14ac:dyDescent="0.25">
      <c r="A33" s="77"/>
      <c r="B33" s="398"/>
      <c r="C33" s="400"/>
      <c r="D33" s="620" t="s">
        <v>26</v>
      </c>
      <c r="E33" s="620" t="str">
        <f>INDEX(VL_TDM!$E$11:$E$41,MATCH($D33,VL_TDM!$B$11:$B$41,0),1)</f>
        <v>Transit Oriented Development</v>
      </c>
      <c r="F33" s="401" t="str">
        <f>INDEX(VL_TDM!$AC$11:$AC$41,MATCH($D33,VL_TDM!$B$11:$B$41,0),1)</f>
        <v>Project/Site</v>
      </c>
      <c r="G33" s="401" t="str">
        <f>INDEX(VL_TDM!$AD$11:$AD$41,MATCH($D33,VL_TDM!$B$11:$B$41,0),1)</f>
        <v>Project-generated trips</v>
      </c>
      <c r="H33" s="402" t="str">
        <f>IF(Conflict_Calc!BM18&gt;0,"Conflict with other strategy",INDEX(Calc!$F$11:$F$39,MATCH($D33,Calc!$C$11:$C$39,0),1))</f>
        <v/>
      </c>
      <c r="I33" s="401"/>
      <c r="J33" s="403" t="str">
        <f>IF(H33="","",IF("Not Active"=INDEX(Calc!$D$11:$D$39,MATCH($D33,Calc!$C$11:$C$39,0),1),"Excluded from total",""))</f>
        <v/>
      </c>
      <c r="K33" s="404"/>
      <c r="L33" s="397"/>
    </row>
    <row r="34" spans="1:12" ht="30" customHeight="1" x14ac:dyDescent="0.25">
      <c r="A34" s="77"/>
      <c r="B34" s="398"/>
      <c r="C34" s="400"/>
      <c r="D34" s="620" t="s">
        <v>539</v>
      </c>
      <c r="E34" s="620" t="str">
        <f>INDEX(VL_TDM!$E$11:$E$41,MATCH($D34,VL_TDM!$B$11:$B$41,0),1)</f>
        <v>Increase Residential Density</v>
      </c>
      <c r="F34" s="401" t="str">
        <f>INDEX(VL_TDM!$AC$11:$AC$41,MATCH($D34,VL_TDM!$B$11:$B$41,0),1)</f>
        <v>Project/Site</v>
      </c>
      <c r="G34" s="401" t="str">
        <f>INDEX(VL_TDM!$AD$11:$AD$41,MATCH($D34,VL_TDM!$B$11:$B$41,0),1)</f>
        <v>Project-generated trips</v>
      </c>
      <c r="H34" s="402" t="str">
        <f>IF(Conflict_Calc!BM19&gt;0,"Conflict with other strategy",INDEX(Calc!$F$11:$F$39,MATCH($D34,Calc!$C$11:$C$39,0),1))</f>
        <v/>
      </c>
      <c r="I34" s="401"/>
      <c r="J34" s="403" t="str">
        <f>IF(H34="","",IF("Not Active"=INDEX(Calc!$D$11:$D$39,MATCH($D34,Calc!$C$11:$C$39,0),1),"Excluded from total",""))</f>
        <v/>
      </c>
      <c r="K34" s="404"/>
      <c r="L34" s="405"/>
    </row>
    <row r="35" spans="1:12" ht="30" customHeight="1" x14ac:dyDescent="0.25">
      <c r="A35" s="77"/>
      <c r="B35" s="398"/>
      <c r="C35" s="400"/>
      <c r="D35" s="620" t="s">
        <v>540</v>
      </c>
      <c r="E35" s="620" t="str">
        <f>INDEX(VL_TDM!$E$11:$E$41,MATCH($D35,VL_TDM!$B$11:$B$41,0),1)</f>
        <v>Increase Employment Density</v>
      </c>
      <c r="F35" s="401" t="str">
        <f>INDEX(VL_TDM!$AC$11:$AC$41,MATCH($D35,VL_TDM!$B$11:$B$41,0),1)</f>
        <v>Project/Site</v>
      </c>
      <c r="G35" s="401" t="str">
        <f>INDEX(VL_TDM!$AD$11:$AD$41,MATCH($D35,VL_TDM!$B$11:$B$41,0),1)</f>
        <v>Employee commute trips</v>
      </c>
      <c r="H35" s="402" t="str">
        <f>IF(Conflict_Calc!BM20&gt;0,"Conflict with other strategy",INDEX(Calc!$F$11:$F$39,MATCH($D35,Calc!$C$11:$C$39,0),1))</f>
        <v/>
      </c>
      <c r="I35" s="401"/>
      <c r="J35" s="403" t="str">
        <f>IF(H35="","",IF("Not Active"=INDEX(Calc!$D$11:$D$39,MATCH($D35,Calc!$C$11:$C$39,0),1),"Excluded from total",""))</f>
        <v/>
      </c>
      <c r="K35" s="404"/>
      <c r="L35" s="397"/>
    </row>
    <row r="36" spans="1:12" ht="30" customHeight="1" x14ac:dyDescent="0.25">
      <c r="A36" s="77"/>
      <c r="B36" s="398"/>
      <c r="C36" s="400"/>
      <c r="D36" s="620" t="s">
        <v>815</v>
      </c>
      <c r="E36" s="620" t="str">
        <f>INDEX(VL_TDM!$E$11:$E$41,MATCH($D36,VL_TDM!$B$11:$B$41,0),1)</f>
        <v>Integrate Affordable and Below Market Rate Housing</v>
      </c>
      <c r="F36" s="401" t="str">
        <f>INDEX(VL_TDM!$AC$11:$AC$41,MATCH($D36,VL_TDM!$B$11:$B$41,0),1)</f>
        <v>Neighborhood/City</v>
      </c>
      <c r="G36" s="401" t="str">
        <f>INDEX(VL_TDM!$AD$11:$AD$41,MATCH($D36,VL_TDM!$B$11:$B$41,0),1)</f>
        <v>All neighborhood/city trips</v>
      </c>
      <c r="H36" s="402" t="str">
        <f>IF(Conflict_Calc!BM21&gt;0,"Conflict with other strategy",INDEX(Calc!$F$11:$F$39,MATCH($D36,Calc!$C$11:$C$39,0),1))</f>
        <v/>
      </c>
      <c r="I36" s="401"/>
      <c r="J36" s="403" t="str">
        <f>IF(H36="","",IF("Not Active"=INDEX(Calc!$D$11:$D$39,MATCH($D36,Calc!$C$11:$C$39,0),1),"Excluded from total",""))</f>
        <v/>
      </c>
      <c r="K36" s="404"/>
      <c r="L36" s="397"/>
    </row>
    <row r="37" spans="1:12" ht="30" customHeight="1" x14ac:dyDescent="0.25">
      <c r="A37" s="77"/>
      <c r="B37" s="398"/>
      <c r="C37" s="400"/>
      <c r="D37" s="620" t="s">
        <v>933</v>
      </c>
      <c r="E37" s="620" t="str">
        <f>INDEX(VL_TDM!$E$11:$E$41,MATCH($D37,VL_TDM!$B$11:$B$41,0),1)</f>
        <v>Price Workplace Parking</v>
      </c>
      <c r="F37" s="401" t="str">
        <f>INDEX(VL_TDM!$AC$11:$AC$41,MATCH($D37,VL_TDM!$B$11:$B$41,0),1)</f>
        <v>Project/Site</v>
      </c>
      <c r="G37" s="401" t="str">
        <f>INDEX(VL_TDM!$AD$11:$AD$41,MATCH($D37,VL_TDM!$B$11:$B$41,0),1)</f>
        <v>Employee commute trips</v>
      </c>
      <c r="H37" s="402" t="str">
        <f>IF(Conflict_Calc!BM22&gt;0,"Conflict with other strategy",INDEX(Calc!$F$11:$F$39,MATCH($D37,Calc!$C$11:$C$39,0),1))</f>
        <v/>
      </c>
      <c r="I37" s="401"/>
      <c r="J37" s="403" t="str">
        <f>IF(H37="","",IF("Not Active"=INDEX(Calc!$D$11:$D$39,MATCH($D37,Calc!$C$11:$C$39,0),1),"Excluded from total",""))</f>
        <v/>
      </c>
      <c r="K37" s="404"/>
      <c r="L37" s="397"/>
    </row>
    <row r="38" spans="1:12" ht="30" customHeight="1" x14ac:dyDescent="0.25">
      <c r="A38" s="77"/>
      <c r="B38" s="398"/>
      <c r="C38" s="400"/>
      <c r="D38" s="620" t="s">
        <v>931</v>
      </c>
      <c r="E38" s="620" t="str">
        <f>INDEX(VL_TDM!$E$11:$E$41,MATCH($D38,VL_TDM!$B$11:$B$41,0),1)</f>
        <v>Unbundle Parking Costs from Property Cost</v>
      </c>
      <c r="F38" s="401" t="str">
        <f>INDEX(VL_TDM!$AC$11:$AC$41,MATCH($D38,VL_TDM!$B$11:$B$41,0),1)</f>
        <v>Project/Site</v>
      </c>
      <c r="G38" s="401" t="str">
        <f>INDEX(VL_TDM!$AD$11:$AD$41,MATCH($D38,VL_TDM!$B$11:$B$41,0),1)</f>
        <v>Project-generated trips</v>
      </c>
      <c r="H38" s="402" t="str">
        <f>IF(Conflict_Calc!BM23&gt;0,"Conflict with other strategy",INDEX(Calc!$F$11:$F$39,MATCH($D38,Calc!$C$11:$C$39,0),1))</f>
        <v/>
      </c>
      <c r="I38" s="401"/>
      <c r="J38" s="403" t="str">
        <f>IF(H38="","",IF("Not Active"=INDEX(Calc!$D$11:$D$39,MATCH($D38,Calc!$C$11:$C$39,0),1),"Excluded from total",""))</f>
        <v/>
      </c>
      <c r="K38" s="404"/>
      <c r="L38" s="397"/>
    </row>
    <row r="39" spans="1:12" ht="30" customHeight="1" x14ac:dyDescent="0.25">
      <c r="A39" s="77"/>
      <c r="B39" s="398"/>
      <c r="C39" s="400"/>
      <c r="D39" s="620" t="s">
        <v>28</v>
      </c>
      <c r="E39" s="620" t="str">
        <f>INDEX(VL_TDM!$E$11:$E$41,MATCH($D39,VL_TDM!$B$11:$B$41,0),1)</f>
        <v>Parking Cash Out</v>
      </c>
      <c r="F39" s="401" t="str">
        <f>INDEX(VL_TDM!$AC$11:$AC$41,MATCH($D39,VL_TDM!$B$11:$B$41,0),1)</f>
        <v>Project/Site</v>
      </c>
      <c r="G39" s="401" t="str">
        <f>INDEX(VL_TDM!$AD$11:$AD$41,MATCH($D39,VL_TDM!$B$11:$B$41,0),1)</f>
        <v>Employee commute trips</v>
      </c>
      <c r="H39" s="402" t="str">
        <f>IF(Conflict_Calc!BM24&gt;0,"Conflict with other strategy",INDEX(Calc!$F$11:$F$39,MATCH($D39,Calc!$C$11:$C$39,0),1))</f>
        <v/>
      </c>
      <c r="I39" s="401"/>
      <c r="J39" s="403" t="str">
        <f>IF(H39="","",IF("Not Active"=INDEX(Calc!$D$11:$D$39,MATCH($D39,Calc!$C$11:$C$39,0),1),"Excluded from total",""))</f>
        <v/>
      </c>
      <c r="K39" s="404"/>
      <c r="L39" s="397"/>
    </row>
    <row r="40" spans="1:12" ht="30" customHeight="1" x14ac:dyDescent="0.25">
      <c r="A40" s="77"/>
      <c r="B40" s="398"/>
      <c r="C40" s="400"/>
      <c r="D40" s="620" t="s">
        <v>572</v>
      </c>
      <c r="E40" s="620" t="str">
        <f>INDEX(VL_TDM!$E$11:$E$41,MATCH($D40,VL_TDM!$B$11:$B$41,0),1)</f>
        <v>Limit Parking Supply</v>
      </c>
      <c r="F40" s="401" t="str">
        <f>INDEX(VL_TDM!$AC$11:$AC$41,MATCH($D40,VL_TDM!$B$11:$B$41,0),1)</f>
        <v>Project/Site</v>
      </c>
      <c r="G40" s="401" t="str">
        <f>INDEX(VL_TDM!$AD$11:$AD$41,MATCH($D40,VL_TDM!$B$11:$B$41,0),1)</f>
        <v>Project-generated trips</v>
      </c>
      <c r="H40" s="402" t="str">
        <f>IF(Conflict_Calc!BM25&gt;0,"Conflict with other strategy",INDEX(Calc!$F$11:$F$39,MATCH($D40,Calc!$C$11:$C$39,0),1))</f>
        <v/>
      </c>
      <c r="I40" s="401"/>
      <c r="J40" s="403" t="str">
        <f>IF(H40="","",IF("Not Active"=INDEX(Calc!$D$11:$D$39,MATCH($D40,Calc!$C$11:$C$39,0),1),"Excluded from total",""))</f>
        <v/>
      </c>
      <c r="K40" s="404"/>
      <c r="L40" s="397"/>
    </row>
    <row r="41" spans="1:12" ht="30" customHeight="1" x14ac:dyDescent="0.25">
      <c r="A41" s="77"/>
      <c r="B41" s="398"/>
      <c r="C41" s="400"/>
      <c r="D41" s="620" t="s">
        <v>886</v>
      </c>
      <c r="E41" s="620" t="str">
        <f>INDEX(VL_TDM!$E$11:$E$41,MATCH($D41,VL_TDM!$B$11:$B$41,0),1)</f>
        <v>Provide Bike Parking</v>
      </c>
      <c r="F41" s="401" t="str">
        <f>INDEX(VL_TDM!$AC$11:$AC$41,MATCH($D41,VL_TDM!$B$11:$B$41,0),1)</f>
        <v>Project/Site</v>
      </c>
      <c r="G41" s="401" t="str">
        <f>INDEX(VL_TDM!$AD$11:$AD$41,MATCH($D41,VL_TDM!$B$11:$B$41,0),1)</f>
        <v>Project-generated trips</v>
      </c>
      <c r="H41" s="402" t="str">
        <f>IF(Conflict_Calc!BM34&gt;0,"Conflict with other strategy",INDEX(Calc!$F$11:$F$39,MATCH($D41,Calc!$C$11:$C$39,0),1))</f>
        <v/>
      </c>
      <c r="I41" s="401"/>
      <c r="J41" s="403" t="str">
        <f>IF(H41="","",IF("Not Active"=INDEX(Calc!$D$11:$D$39,MATCH($D41,Calc!$C$11:$C$39,0),1),"Excluded from total",""))</f>
        <v/>
      </c>
      <c r="K41" s="404"/>
      <c r="L41" s="397"/>
    </row>
    <row r="42" spans="1:12" ht="30" customHeight="1" x14ac:dyDescent="0.25">
      <c r="A42" s="77"/>
      <c r="B42" s="398"/>
      <c r="C42" s="400"/>
      <c r="D42" s="620" t="s">
        <v>29</v>
      </c>
      <c r="E42" s="620" t="str">
        <f>INDEX(VL_TDM!$E$11:$E$41,MATCH($D42,VL_TDM!$B$11:$B$41,0),1)</f>
        <v>Street Connectivity Improvement</v>
      </c>
      <c r="F42" s="401" t="str">
        <f>INDEX(VL_TDM!$AC$11:$AC$41,MATCH($D42,VL_TDM!$B$11:$B$41,0),1)</f>
        <v>Neighborhood/City</v>
      </c>
      <c r="G42" s="401" t="str">
        <f>INDEX(VL_TDM!$AD$11:$AD$41,MATCH($D42,VL_TDM!$B$11:$B$41,0),1)</f>
        <v>All neighborhood/city trips</v>
      </c>
      <c r="H42" s="402" t="str">
        <f>IF(Conflict_Calc!BM26&gt;0,"Conflict with other strategy",INDEX(Calc!$F$11:$F$39,MATCH($D42,Calc!$C$11:$C$39,0),1))</f>
        <v/>
      </c>
      <c r="I42" s="401"/>
      <c r="J42" s="403" t="str">
        <f>IF(H42="","",IF("Not Active"=INDEX(Calc!$D$11:$D$39,MATCH($D42,Calc!$C$11:$C$39,0),1),"Excluded from total",""))</f>
        <v/>
      </c>
      <c r="K42" s="404"/>
      <c r="L42" s="397"/>
    </row>
    <row r="43" spans="1:12" ht="30" customHeight="1" x14ac:dyDescent="0.25">
      <c r="A43" s="77"/>
      <c r="B43" s="398"/>
      <c r="C43" s="400"/>
      <c r="D43" s="620" t="s">
        <v>30</v>
      </c>
      <c r="E43" s="620" t="str">
        <f>INDEX(VL_TDM!$E$11:$E$41,MATCH($D43,VL_TDM!$B$11:$B$41,0),1)</f>
        <v>Pedestrian Facility Improvement</v>
      </c>
      <c r="F43" s="401" t="str">
        <f>INDEX(VL_TDM!$AC$11:$AC$41,MATCH($D43,VL_TDM!$B$11:$B$41,0),1)</f>
        <v>Neighborhood/City</v>
      </c>
      <c r="G43" s="401" t="str">
        <f>INDEX(VL_TDM!$AD$11:$AD$41,MATCH($D43,VL_TDM!$B$11:$B$41,0),1)</f>
        <v>All neighborhood/city trips</v>
      </c>
      <c r="H43" s="402" t="str">
        <f>IF(Conflict_Calc!BM27&gt;0,"Conflict with other strategy",INDEX(Calc!$F$11:$F$39,MATCH($D43,Calc!$C$11:$C$39,0),1))</f>
        <v/>
      </c>
      <c r="I43" s="401"/>
      <c r="J43" s="403" t="str">
        <f>IF(H43="","",IF("Not Active"=INDEX(Calc!$D$11:$D$39,MATCH($D43,Calc!$C$11:$C$39,0),1),"Excluded from total",""))</f>
        <v/>
      </c>
      <c r="K43" s="404"/>
      <c r="L43" s="397"/>
    </row>
    <row r="44" spans="1:12" ht="30" customHeight="1" x14ac:dyDescent="0.25">
      <c r="A44" s="77"/>
      <c r="B44" s="398"/>
      <c r="C44" s="400"/>
      <c r="D44" s="620" t="s">
        <v>31</v>
      </c>
      <c r="E44" s="620" t="str">
        <f>INDEX(VL_TDM!$E$11:$E$41,MATCH($D44,VL_TDM!$B$11:$B$41,0),1)</f>
        <v>Bikeway Network Expansion</v>
      </c>
      <c r="F44" s="401" t="str">
        <f>INDEX(VL_TDM!$AC$11:$AC$41,MATCH($D44,VL_TDM!$B$11:$B$41,0),1)</f>
        <v>Neighborhood/City</v>
      </c>
      <c r="G44" s="401" t="str">
        <f>INDEX(VL_TDM!$AD$11:$AD$41,MATCH($D44,VL_TDM!$B$11:$B$41,0),1)</f>
        <v>All neighborhood/city trips</v>
      </c>
      <c r="H44" s="402" t="str">
        <f>IF(Conflict_Calc!BM28&gt;0,"Conflict with other strategy",INDEX(Calc!$F$11:$F$39,MATCH($D44,Calc!$C$11:$C$39,0),1))</f>
        <v/>
      </c>
      <c r="I44" s="401"/>
      <c r="J44" s="403" t="str">
        <f>IF(H44="","",IF("Not Active"=INDEX(Calc!$D$11:$D$39,MATCH($D44,Calc!$C$11:$C$39,0),1),"Excluded from total",""))</f>
        <v/>
      </c>
      <c r="K44" s="404"/>
      <c r="L44" s="397"/>
    </row>
    <row r="45" spans="1:12" ht="30" customHeight="1" x14ac:dyDescent="0.25">
      <c r="A45" s="77"/>
      <c r="B45" s="398"/>
      <c r="C45" s="400"/>
      <c r="D45" s="620" t="s">
        <v>32</v>
      </c>
      <c r="E45" s="620" t="str">
        <f>INDEX(VL_TDM!$E$11:$E$41,MATCH($D45,VL_TDM!$B$11:$B$41,0),1)</f>
        <v>Bike Facility Improvement</v>
      </c>
      <c r="F45" s="401" t="str">
        <f>INDEX(VL_TDM!$AC$11:$AC$41,MATCH($D45,VL_TDM!$B$11:$B$41,0),1)</f>
        <v>Neighborhood/City</v>
      </c>
      <c r="G45" s="401" t="str">
        <f>INDEX(VL_TDM!$AD$11:$AD$41,MATCH($D45,VL_TDM!$B$11:$B$41,0),1)</f>
        <v>Trips on roadway with bikeway addition</v>
      </c>
      <c r="H45" s="402" t="str">
        <f>IF(Conflict_Calc!BM29&gt;0,"Conflict with other strategy",INDEX(Calc!$F$11:$F$39,MATCH($D45,Calc!$C$11:$C$39,0),1))</f>
        <v/>
      </c>
      <c r="I45" s="401"/>
      <c r="J45" s="403" t="str">
        <f>IF(H45="","",IF("Not Active"=INDEX(Calc!$D$11:$D$39,MATCH($D45,Calc!$C$11:$C$39,0),1),"Excluded from total",""))</f>
        <v/>
      </c>
      <c r="K45" s="404"/>
      <c r="L45" s="397"/>
    </row>
    <row r="46" spans="1:12" ht="30" customHeight="1" x14ac:dyDescent="0.25">
      <c r="A46" s="77"/>
      <c r="B46" s="398"/>
      <c r="C46" s="400"/>
      <c r="D46" s="620" t="s">
        <v>43</v>
      </c>
      <c r="E46" s="620" t="str">
        <f>INDEX(VL_TDM!$E$11:$E$41,MATCH($D46,VL_TDM!$B$11:$B$41,0),1)</f>
        <v>Bikeshare</v>
      </c>
      <c r="F46" s="401" t="str">
        <f>INDEX(VL_TDM!$AC$11:$AC$41,MATCH($D46,VL_TDM!$B$11:$B$41,0),1)</f>
        <v>Neighborhood/City</v>
      </c>
      <c r="G46" s="401" t="str">
        <f>INDEX(VL_TDM!$AD$11:$AD$41,MATCH($D46,VL_TDM!$B$11:$B$41,0),1)</f>
        <v>All neighborhood/city trips</v>
      </c>
      <c r="H46" s="402" t="str">
        <f>IF(Conflict_Calc!BM30&gt;0,"Conflict with other strategy",INDEX(Calc!$F$11:$F$39,MATCH($D46,Calc!$C$11:$C$39,0),1))</f>
        <v/>
      </c>
      <c r="I46" s="401"/>
      <c r="J46" s="403" t="str">
        <f>IF(H46="","",IF("Not Active"=INDEX(Calc!$D$11:$D$39,MATCH($D46,Calc!$C$11:$C$39,0),1),"Excluded from total",""))</f>
        <v/>
      </c>
      <c r="K46" s="404"/>
      <c r="L46" s="397"/>
    </row>
    <row r="47" spans="1:12" ht="30" customHeight="1" x14ac:dyDescent="0.25">
      <c r="A47" s="77"/>
      <c r="B47" s="398"/>
      <c r="C47" s="400"/>
      <c r="D47" s="620" t="s">
        <v>44</v>
      </c>
      <c r="E47" s="620" t="str">
        <f>INDEX(VL_TDM!$E$11:$E$41,MATCH($D47,VL_TDM!$B$11:$B$41,0),1)</f>
        <v>Carshare</v>
      </c>
      <c r="F47" s="401" t="str">
        <f>INDEX(VL_TDM!$AC$11:$AC$41,MATCH($D47,VL_TDM!$B$11:$B$41,0),1)</f>
        <v>Neighborhood/City</v>
      </c>
      <c r="G47" s="401" t="str">
        <f>INDEX(VL_TDM!$AD$11:$AD$41,MATCH($D47,VL_TDM!$B$11:$B$41,0),1)</f>
        <v>All neighborhood/city trips</v>
      </c>
      <c r="H47" s="402" t="str">
        <f>IF(Conflict_Calc!BM31&gt;0,"Conflict with other strategy",INDEX(Calc!$F$11:$F$39,MATCH($D47,Calc!$C$11:$C$39,0),1))</f>
        <v/>
      </c>
      <c r="I47" s="401"/>
      <c r="J47" s="403" t="str">
        <f>IF(H47="","",IF("Not Active"=INDEX(Calc!$D$11:$D$39,MATCH($D47,Calc!$C$11:$C$39,0),1),"Excluded from total",""))</f>
        <v/>
      </c>
      <c r="K47" s="404"/>
      <c r="L47" s="397"/>
    </row>
    <row r="48" spans="1:12" ht="30" customHeight="1" x14ac:dyDescent="0.25">
      <c r="A48" s="77"/>
      <c r="B48" s="398"/>
      <c r="C48" s="400"/>
      <c r="D48" s="620" t="s">
        <v>45</v>
      </c>
      <c r="E48" s="620" t="str">
        <f>INDEX(VL_TDM!$E$11:$E$41,MATCH($D48,VL_TDM!$B$11:$B$41,0),1)</f>
        <v>Community-Based Travel Planning</v>
      </c>
      <c r="F48" s="401" t="str">
        <f>INDEX(VL_TDM!$AC$11:$AC$41,MATCH($D48,VL_TDM!$B$11:$B$41,0),1)</f>
        <v>Neighborhood/City</v>
      </c>
      <c r="G48" s="401" t="str">
        <f>INDEX(VL_TDM!$AD$11:$AD$41,MATCH($D48,VL_TDM!$B$11:$B$41,0),1)</f>
        <v>All neighborhood/city trips</v>
      </c>
      <c r="H48" s="402" t="str">
        <f>IF(Conflict_Calc!BM32&gt;0,"Conflict with other strategy",INDEX(Calc!$F$11:$F$39,MATCH($D48,Calc!$C$11:$C$39,0),1))</f>
        <v/>
      </c>
      <c r="I48" s="401"/>
      <c r="J48" s="403" t="str">
        <f>IF(H48="","",IF("Not Active"=INDEX(Calc!$D$11:$D$39,MATCH($D48,Calc!$C$11:$C$39,0),1),"Excluded from total",""))</f>
        <v/>
      </c>
      <c r="K48" s="404"/>
      <c r="L48" s="397"/>
    </row>
    <row r="49" spans="1:12" ht="30" customHeight="1" x14ac:dyDescent="0.25">
      <c r="A49" s="77"/>
      <c r="B49" s="398"/>
      <c r="C49" s="400"/>
      <c r="D49" s="620" t="s">
        <v>576</v>
      </c>
      <c r="E49" s="620" t="str">
        <f>INDEX(VL_TDM!$E$11:$E$41,MATCH($D49,VL_TDM!$B$11:$B$41,0),1)</f>
        <v>Provide Neighborhood Traffic Calming Measures</v>
      </c>
      <c r="F49" s="401" t="str">
        <f>INDEX(VL_TDM!$AC$11:$AC$41,MATCH($D49,VL_TDM!$B$11:$B$41,0),1)</f>
        <v>Neighborhood/City</v>
      </c>
      <c r="G49" s="401" t="str">
        <f>INDEX(VL_TDM!$AD$11:$AD$41,MATCH($D49,VL_TDM!$B$11:$B$41,0),1)</f>
        <v>All neighborhood/city trips</v>
      </c>
      <c r="H49" s="402" t="str">
        <f>IF(Conflict_Calc!BM33&gt;0,"Conflict with other strategy",INDEX(Calc!$F$11:$F$39,MATCH($D49,Calc!$C$11:$C$39,0),1))</f>
        <v/>
      </c>
      <c r="I49" s="401"/>
      <c r="J49" s="403" t="str">
        <f>IF(H49="","",IF("Not Active"=INDEX(Calc!$D$11:$D$39,MATCH($D49,Calc!$C$11:$C$39,0),1),"Excluded from total",""))</f>
        <v/>
      </c>
      <c r="K49" s="404"/>
      <c r="L49" s="397"/>
    </row>
    <row r="50" spans="1:12" ht="30" customHeight="1" x14ac:dyDescent="0.25">
      <c r="A50" s="77"/>
      <c r="B50" s="398"/>
      <c r="C50" s="400"/>
      <c r="D50" s="620" t="s">
        <v>33</v>
      </c>
      <c r="E50" s="620" t="str">
        <f>INDEX(VL_TDM!$E$11:$E$41,MATCH($D50,VL_TDM!$B$11:$B$41,0),1)</f>
        <v>Transit Service Expansion</v>
      </c>
      <c r="F50" s="401" t="str">
        <f>INDEX(VL_TDM!$AC$11:$AC$41,MATCH($D50,VL_TDM!$B$11:$B$41,0),1)</f>
        <v>Neighborhood/City</v>
      </c>
      <c r="G50" s="401" t="str">
        <f>INDEX(VL_TDM!$AD$11:$AD$41,MATCH($D50,VL_TDM!$B$11:$B$41,0),1)</f>
        <v>All neighborhood/city trips</v>
      </c>
      <c r="H50" s="402" t="str">
        <f>IF(Conflict_Calc!BM35&gt;0,"Conflict with other strategy",INDEX(Calc!$F$11:$F$39,MATCH($D50,Calc!$C$11:$C$39,0),1))</f>
        <v/>
      </c>
      <c r="I50" s="401"/>
      <c r="J50" s="403" t="str">
        <f>IF(H50="","",IF("Not Active"=INDEX(Calc!$D$11:$D$39,MATCH($D50,Calc!$C$11:$C$39,0),1),"Excluded from total",""))</f>
        <v/>
      </c>
      <c r="K50" s="404"/>
      <c r="L50" s="397"/>
    </row>
    <row r="51" spans="1:12" ht="30" customHeight="1" x14ac:dyDescent="0.25">
      <c r="A51" s="77"/>
      <c r="B51" s="398"/>
      <c r="C51" s="400"/>
      <c r="D51" s="620" t="s">
        <v>34</v>
      </c>
      <c r="E51" s="620" t="str">
        <f>INDEX(VL_TDM!$E$11:$E$41,MATCH($D51,VL_TDM!$B$11:$B$41,0),1)</f>
        <v>Transit Frequency Improvements</v>
      </c>
      <c r="F51" s="401" t="str">
        <f>INDEX(VL_TDM!$AC$11:$AC$41,MATCH($D51,VL_TDM!$B$11:$B$41,0),1)</f>
        <v>Neighborhood/City</v>
      </c>
      <c r="G51" s="401" t="str">
        <f>INDEX(VL_TDM!$AD$11:$AD$41,MATCH($D51,VL_TDM!$B$11:$B$41,0),1)</f>
        <v>All neighborhood/city trips</v>
      </c>
      <c r="H51" s="402" t="str">
        <f>IF(Conflict_Calc!BM36&gt;0,"Conflict with other strategy",INDEX(Calc!$F$11:$F$39,MATCH($D51,Calc!$C$11:$C$39,0),1))</f>
        <v/>
      </c>
      <c r="I51" s="401"/>
      <c r="J51" s="403" t="str">
        <f>IF(H51="","",IF("Not Active"=INDEX(Calc!$D$11:$D$39,MATCH($D51,Calc!$C$11:$C$39,0),1),"Excluded from total",""))</f>
        <v/>
      </c>
      <c r="K51" s="404"/>
      <c r="L51" s="405"/>
    </row>
    <row r="52" spans="1:12" ht="30" customHeight="1" x14ac:dyDescent="0.25">
      <c r="A52" s="77"/>
      <c r="B52" s="398"/>
      <c r="C52" s="400"/>
      <c r="D52" s="620" t="s">
        <v>35</v>
      </c>
      <c r="E52" s="620" t="str">
        <f>INDEX(VL_TDM!$E$11:$E$41,MATCH($D52,VL_TDM!$B$11:$B$41,0),1)</f>
        <v>Transit-Supportive Treatments</v>
      </c>
      <c r="F52" s="401" t="str">
        <f>INDEX(VL_TDM!$AC$11:$AC$41,MATCH($D52,VL_TDM!$B$11:$B$41,0),1)</f>
        <v>Neighborhood/City</v>
      </c>
      <c r="G52" s="401" t="str">
        <f>INDEX(VL_TDM!$AD$11:$AD$41,MATCH($D52,VL_TDM!$B$11:$B$41,0),1)</f>
        <v>All neighborhood/city trips</v>
      </c>
      <c r="H52" s="402" t="str">
        <f>IF(Conflict_Calc!BM37&gt;0,"Conflict with other strategy",INDEX(Calc!$F$11:$F$39,MATCH($D52,Calc!$C$11:$C$39,0),1))</f>
        <v/>
      </c>
      <c r="I52" s="401"/>
      <c r="J52" s="403" t="str">
        <f>IF(H52="","",IF("Not Active"=INDEX(Calc!$D$11:$D$39,MATCH($D52,Calc!$C$11:$C$39,0),1),"Excluded from total",""))</f>
        <v/>
      </c>
      <c r="K52" s="404"/>
      <c r="L52" s="397"/>
    </row>
    <row r="53" spans="1:12" ht="30" customHeight="1" x14ac:dyDescent="0.25">
      <c r="A53" s="77"/>
      <c r="B53" s="398"/>
      <c r="C53" s="400"/>
      <c r="D53" s="620" t="s">
        <v>36</v>
      </c>
      <c r="E53" s="620" t="str">
        <f>INDEX(VL_TDM!$E$11:$E$41,MATCH($D53,VL_TDM!$B$11:$B$41,0),1)</f>
        <v>Transit Fare Reduction</v>
      </c>
      <c r="F53" s="401" t="str">
        <f>INDEX(VL_TDM!$AC$11:$AC$41,MATCH($D53,VL_TDM!$B$11:$B$41,0),1)</f>
        <v>Neighborhood/City</v>
      </c>
      <c r="G53" s="401" t="str">
        <f>INDEX(VL_TDM!$AD$11:$AD$41,MATCH($D53,VL_TDM!$B$11:$B$41,0),1)</f>
        <v>All neighborhood/city trips</v>
      </c>
      <c r="H53" s="402" t="str">
        <f>IF(Conflict_Calc!BM38&gt;0,"Conflict with other strategy",INDEX(Calc!$F$11:$F$39,MATCH($D53,Calc!$C$11:$C$39,0),1))</f>
        <v/>
      </c>
      <c r="I53" s="401"/>
      <c r="J53" s="403" t="str">
        <f>IF(H53="","",IF("Not Active"=INDEX(Calc!$D$11:$D$39,MATCH($D53,Calc!$C$11:$C$39,0),1),"Excluded from total",""))</f>
        <v/>
      </c>
      <c r="K53" s="404"/>
      <c r="L53" s="397"/>
    </row>
    <row r="54" spans="1:12" ht="30" customHeight="1" x14ac:dyDescent="0.25">
      <c r="A54" s="77"/>
      <c r="B54" s="398"/>
      <c r="C54" s="400"/>
      <c r="D54" s="620" t="s">
        <v>37</v>
      </c>
      <c r="E54" s="620" t="str">
        <f>INDEX(VL_TDM!$E$11:$E$41,MATCH($D54,VL_TDM!$B$11:$B$41,0),1)</f>
        <v>Microtransit NEV Shuttle</v>
      </c>
      <c r="F54" s="401" t="str">
        <f>INDEX(VL_TDM!$AC$11:$AC$41,MATCH($D54,VL_TDM!$B$11:$B$41,0),1)</f>
        <v>Neighborhood/City</v>
      </c>
      <c r="G54" s="401" t="str">
        <f>INDEX(VL_TDM!$AD$11:$AD$41,MATCH($D54,VL_TDM!$B$11:$B$41,0),1)</f>
        <v>All neighborhood/city trips</v>
      </c>
      <c r="H54" s="402" t="str">
        <f>IF(Conflict_Calc!BM39&gt;0,"Conflict with other strategy",INDEX(Calc!$F$11:$F$39,MATCH($D54,Calc!$C$11:$C$39,0),1))</f>
        <v/>
      </c>
      <c r="I54" s="401"/>
      <c r="J54" s="403" t="str">
        <f>IF(H54="","",IF("Not Active"=INDEX(Calc!$D$11:$D$39,MATCH($D54,Calc!$C$11:$C$39,0),1),"Excluded from total",""))</f>
        <v/>
      </c>
      <c r="K54" s="404"/>
      <c r="L54" s="397"/>
    </row>
    <row r="55" spans="1:12" ht="15.75" customHeight="1" thickBot="1" x14ac:dyDescent="0.3">
      <c r="A55" s="77"/>
      <c r="B55" s="398"/>
      <c r="C55" s="399"/>
      <c r="D55" s="399"/>
      <c r="E55" s="399"/>
      <c r="F55" s="389"/>
      <c r="G55" s="389"/>
      <c r="H55" s="406"/>
      <c r="I55" s="389"/>
      <c r="J55" s="381"/>
      <c r="K55" s="404"/>
      <c r="L55" s="405"/>
    </row>
    <row r="56" spans="1:12" ht="18" customHeight="1" thickBot="1" x14ac:dyDescent="0.35">
      <c r="A56" s="77"/>
      <c r="B56" s="407"/>
      <c r="C56" s="408"/>
      <c r="D56" s="408"/>
      <c r="E56" s="409" t="s">
        <v>172</v>
      </c>
      <c r="F56" s="410"/>
      <c r="G56" s="410"/>
      <c r="H56" s="411">
        <f>-Calc!J8</f>
        <v>0</v>
      </c>
      <c r="I56" s="376"/>
      <c r="J56" s="381"/>
      <c r="K56" s="412"/>
      <c r="L56" s="397"/>
    </row>
    <row r="57" spans="1:12" ht="7.35" customHeight="1" thickBot="1" x14ac:dyDescent="0.35">
      <c r="A57" s="77"/>
      <c r="B57" s="407"/>
      <c r="C57" s="408"/>
      <c r="D57" s="408"/>
      <c r="E57" s="376"/>
      <c r="F57" s="413"/>
      <c r="G57" s="413"/>
      <c r="H57" s="414"/>
      <c r="I57" s="376"/>
      <c r="J57" s="381"/>
      <c r="K57" s="412"/>
      <c r="L57" s="397"/>
    </row>
    <row r="58" spans="1:12" ht="18" customHeight="1" thickBot="1" x14ac:dyDescent="0.35">
      <c r="A58" s="77"/>
      <c r="B58" s="407"/>
      <c r="C58" s="408"/>
      <c r="D58" s="408"/>
      <c r="E58" s="415" t="s">
        <v>173</v>
      </c>
      <c r="F58" s="416"/>
      <c r="G58" s="416"/>
      <c r="H58" s="411">
        <f>-Calc!K8</f>
        <v>0</v>
      </c>
      <c r="I58" s="376"/>
      <c r="J58" s="381"/>
      <c r="K58" s="412"/>
      <c r="L58" s="397"/>
    </row>
    <row r="59" spans="1:12" ht="7.35" customHeight="1" thickBot="1" x14ac:dyDescent="0.35">
      <c r="A59" s="77"/>
      <c r="B59" s="407"/>
      <c r="C59" s="408"/>
      <c r="D59" s="408"/>
      <c r="E59" s="413"/>
      <c r="F59" s="413"/>
      <c r="G59" s="413"/>
      <c r="H59" s="417"/>
      <c r="I59" s="376"/>
      <c r="J59" s="381"/>
      <c r="K59" s="412"/>
      <c r="L59" s="397"/>
    </row>
    <row r="60" spans="1:12" ht="18" customHeight="1" thickBot="1" x14ac:dyDescent="0.35">
      <c r="A60" s="77"/>
      <c r="B60" s="407"/>
      <c r="C60" s="408"/>
      <c r="D60" s="408"/>
      <c r="E60" s="409" t="s">
        <v>924</v>
      </c>
      <c r="F60" s="410"/>
      <c r="G60" s="410"/>
      <c r="H60" s="411">
        <f>-Calc!I8</f>
        <v>0</v>
      </c>
      <c r="I60" s="376"/>
      <c r="J60" s="381"/>
      <c r="K60" s="412"/>
      <c r="L60" s="397"/>
    </row>
    <row r="61" spans="1:12" ht="7.35" customHeight="1" thickBot="1" x14ac:dyDescent="0.35">
      <c r="A61" s="77"/>
      <c r="B61" s="407"/>
      <c r="C61" s="408"/>
      <c r="D61" s="408"/>
      <c r="E61" s="413"/>
      <c r="F61" s="413"/>
      <c r="G61" s="413"/>
      <c r="H61" s="418"/>
      <c r="I61" s="376"/>
      <c r="J61" s="381"/>
      <c r="K61" s="412"/>
      <c r="L61" s="397"/>
    </row>
    <row r="62" spans="1:12" ht="18" customHeight="1" thickBot="1" x14ac:dyDescent="0.35">
      <c r="A62" s="77"/>
      <c r="B62" s="407"/>
      <c r="C62" s="408"/>
      <c r="D62" s="408"/>
      <c r="E62" s="415" t="s">
        <v>174</v>
      </c>
      <c r="F62" s="416"/>
      <c r="G62" s="416"/>
      <c r="H62" s="411">
        <f>-Calc!L8</f>
        <v>0</v>
      </c>
      <c r="I62" s="376"/>
      <c r="J62" s="381"/>
      <c r="K62" s="412"/>
      <c r="L62" s="397"/>
    </row>
    <row r="63" spans="1:12" x14ac:dyDescent="0.25">
      <c r="A63" s="78"/>
      <c r="B63" s="384"/>
      <c r="C63" s="385"/>
      <c r="D63" s="385"/>
      <c r="E63" s="385"/>
      <c r="F63" s="385"/>
      <c r="G63" s="385"/>
      <c r="H63" s="419"/>
      <c r="I63" s="385"/>
      <c r="J63" s="386"/>
      <c r="K63" s="387"/>
      <c r="L63" s="238"/>
    </row>
    <row r="64" spans="1:12" ht="21" customHeight="1" x14ac:dyDescent="0.25">
      <c r="A64" s="78"/>
      <c r="B64" s="420"/>
      <c r="C64" s="420"/>
      <c r="D64" s="420"/>
      <c r="E64" s="420"/>
      <c r="F64" s="421"/>
      <c r="G64" s="421"/>
      <c r="H64" s="421"/>
      <c r="I64" s="421"/>
      <c r="J64" s="420"/>
      <c r="K64" s="420"/>
      <c r="L64" s="78"/>
    </row>
    <row r="65" spans="1:12" ht="21" customHeight="1" x14ac:dyDescent="0.25">
      <c r="A65" s="78"/>
      <c r="B65" s="711" t="str">
        <f>CONCATENATE("Citations for all ", B23)</f>
        <v xml:space="preserve">Citations for all </v>
      </c>
      <c r="C65" s="712"/>
      <c r="D65" s="712"/>
      <c r="E65" s="712"/>
      <c r="F65" s="712"/>
      <c r="G65" s="712"/>
      <c r="H65" s="712"/>
      <c r="I65" s="712"/>
      <c r="J65" s="712"/>
      <c r="K65" s="713"/>
      <c r="L65" s="78"/>
    </row>
    <row r="66" spans="1:12" ht="15" customHeight="1" x14ac:dyDescent="0.25">
      <c r="A66" s="78"/>
      <c r="B66" s="422"/>
      <c r="C66" s="423"/>
      <c r="D66" s="423"/>
      <c r="E66" s="423"/>
      <c r="F66" s="423"/>
      <c r="G66" s="423"/>
      <c r="H66" s="423"/>
      <c r="I66" s="423"/>
      <c r="J66" s="423"/>
      <c r="K66" s="424"/>
      <c r="L66" s="91"/>
    </row>
    <row r="67" spans="1:12" ht="15" customHeight="1" x14ac:dyDescent="0.25">
      <c r="A67" s="78"/>
      <c r="B67" s="425"/>
      <c r="C67" s="426" t="s">
        <v>21</v>
      </c>
      <c r="D67" s="427" t="str">
        <f>INDEX(VL_TDM!$E$11:$E$41,MATCH($C67,VL_TDM!$B$11:$B$41,0),1)</f>
        <v>Voluntary Employer Commute Program</v>
      </c>
      <c r="E67" s="428"/>
      <c r="F67" s="428"/>
      <c r="G67" s="428"/>
      <c r="H67" s="428"/>
      <c r="I67" s="428"/>
      <c r="J67" s="428"/>
      <c r="K67" s="429"/>
      <c r="L67" s="91"/>
    </row>
    <row r="68" spans="1:12" ht="60" customHeight="1" x14ac:dyDescent="0.25">
      <c r="A68" s="78"/>
      <c r="B68" s="430"/>
      <c r="C68" s="709" t="str">
        <f>'1A VCTR program'!$C$27</f>
        <v>(1)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v>
      </c>
      <c r="D68" s="710"/>
      <c r="E68" s="710"/>
      <c r="F68" s="710"/>
      <c r="G68" s="710"/>
      <c r="H68" s="710"/>
      <c r="I68" s="710"/>
      <c r="J68" s="710"/>
      <c r="K68" s="429"/>
      <c r="L68" s="91"/>
    </row>
    <row r="69" spans="1:12" ht="15" customHeight="1" x14ac:dyDescent="0.25">
      <c r="A69" s="78"/>
      <c r="B69" s="430"/>
      <c r="C69" s="431"/>
      <c r="D69" s="431"/>
      <c r="E69" s="431"/>
      <c r="F69" s="431"/>
      <c r="G69" s="431"/>
      <c r="H69" s="431"/>
      <c r="I69" s="431"/>
      <c r="J69" s="431"/>
      <c r="K69" s="429"/>
      <c r="L69" s="91"/>
    </row>
    <row r="70" spans="1:12" ht="15" customHeight="1" x14ac:dyDescent="0.25">
      <c r="A70" s="78"/>
      <c r="B70" s="430"/>
      <c r="C70" s="426" t="s">
        <v>22</v>
      </c>
      <c r="D70" s="427" t="str">
        <f>INDEX(VL_TDM!$E$11:$E$41,MATCH($C70,VL_TDM!$B$11:$B$41,0),1)</f>
        <v>Mandatory Employer Commute Program</v>
      </c>
      <c r="E70" s="428"/>
      <c r="F70" s="428"/>
      <c r="G70" s="428"/>
      <c r="H70" s="428"/>
      <c r="I70" s="428"/>
      <c r="J70" s="428"/>
      <c r="K70" s="429"/>
      <c r="L70" s="91"/>
    </row>
    <row r="71" spans="1:12" ht="42.95" customHeight="1" x14ac:dyDescent="0.25">
      <c r="A71" s="78"/>
      <c r="B71" s="432"/>
      <c r="C71" s="709" t="str">
        <f>'1B CTR program'!$C$29</f>
        <v>(1) Nelson/Nygaard Consulting Associates. 2015. Genentech – South San Francisco Campus TDM and Parking Report. June. Available: http://ci-ssfca. granicus.com/MetaViewer.php?view_id=2&amp;clip_id=859&amp;meta_id=62028. Accessed: January 2021.</v>
      </c>
      <c r="D71" s="710"/>
      <c r="E71" s="710"/>
      <c r="F71" s="710"/>
      <c r="G71" s="710"/>
      <c r="H71" s="710"/>
      <c r="I71" s="710"/>
      <c r="J71" s="710"/>
      <c r="K71" s="396"/>
      <c r="L71" s="238"/>
    </row>
    <row r="72" spans="1:12" ht="15" customHeight="1" x14ac:dyDescent="0.25">
      <c r="A72" s="78"/>
      <c r="B72" s="425"/>
      <c r="C72" s="428"/>
      <c r="D72" s="428"/>
      <c r="E72" s="428"/>
      <c r="F72" s="428"/>
      <c r="G72" s="428"/>
      <c r="H72" s="428"/>
      <c r="I72" s="428"/>
      <c r="J72" s="428"/>
      <c r="K72" s="429"/>
      <c r="L72" s="91"/>
    </row>
    <row r="73" spans="1:12" ht="15" customHeight="1" x14ac:dyDescent="0.25">
      <c r="A73" s="78"/>
      <c r="B73" s="430"/>
      <c r="C73" s="426" t="s">
        <v>23</v>
      </c>
      <c r="D73" s="427" t="str">
        <f>INDEX(VL_TDM!$E$11:$E$41,MATCH($C73,VL_TDM!$B$11:$B$41,0),1)</f>
        <v>Employer Carpool Program</v>
      </c>
      <c r="E73" s="428"/>
      <c r="F73" s="428"/>
      <c r="G73" s="428"/>
      <c r="H73" s="428"/>
      <c r="I73" s="428"/>
      <c r="J73" s="428"/>
      <c r="K73" s="429"/>
      <c r="L73" s="91"/>
    </row>
    <row r="74" spans="1:12" ht="75" customHeight="1" x14ac:dyDescent="0.25">
      <c r="A74" s="78"/>
      <c r="B74" s="430"/>
      <c r="C74" s="709" t="str">
        <f>'1C carpool'!$C$22</f>
        <v>(1) San Diego Association of Governments (SANDAG). 2019. Mobility Management VMT Reduction
Calculator Tool – Design Document. June. Available:
https://www.icommutesd.com/docs/default-source/planning/tool-design-document_final_7-
17-19.pdf?sfvrsn=ec39eb3b_2. Accessed: January 2021.</v>
      </c>
      <c r="D74" s="710"/>
      <c r="E74" s="710"/>
      <c r="F74" s="710"/>
      <c r="G74" s="710"/>
      <c r="H74" s="710"/>
      <c r="I74" s="710"/>
      <c r="J74" s="710"/>
      <c r="K74" s="429"/>
      <c r="L74" s="91"/>
    </row>
    <row r="75" spans="1:12" ht="15" customHeight="1" x14ac:dyDescent="0.25">
      <c r="A75" s="78"/>
      <c r="B75" s="430"/>
      <c r="C75" s="431"/>
      <c r="D75" s="431"/>
      <c r="E75" s="431"/>
      <c r="F75" s="431"/>
      <c r="G75" s="431"/>
      <c r="H75" s="431"/>
      <c r="I75" s="431"/>
      <c r="J75" s="431"/>
      <c r="K75" s="433"/>
      <c r="L75" s="91"/>
    </row>
    <row r="76" spans="1:12" ht="15" customHeight="1" x14ac:dyDescent="0.25">
      <c r="A76" s="78"/>
      <c r="B76" s="432"/>
      <c r="C76" s="426" t="s">
        <v>760</v>
      </c>
      <c r="D76" s="427" t="str">
        <f>INDEX(VL_TDM!$E$11:$E$41,MATCH($C76,VL_TDM!$B$11:$B$41,0),1)</f>
        <v>Implement Subsidized or Discounted Transit Program (for Employees)</v>
      </c>
      <c r="E76" s="428"/>
      <c r="F76" s="428"/>
      <c r="G76" s="428"/>
      <c r="H76" s="428"/>
      <c r="I76" s="428"/>
      <c r="J76" s="428"/>
      <c r="K76" s="396"/>
      <c r="L76" s="238"/>
    </row>
    <row r="77" spans="1:12" ht="165" customHeight="1" x14ac:dyDescent="0.25">
      <c r="A77" s="78"/>
      <c r="B77" s="425"/>
      <c r="C77" s="709" t="str">
        <f>'1D1 transit subsidy (employees)'!$C$38</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77" s="710"/>
      <c r="E77" s="710"/>
      <c r="F77" s="710"/>
      <c r="G77" s="710"/>
      <c r="H77" s="710"/>
      <c r="I77" s="710"/>
      <c r="J77" s="710"/>
      <c r="K77" s="429"/>
      <c r="L77" s="91"/>
    </row>
    <row r="78" spans="1:12" ht="15" customHeight="1" x14ac:dyDescent="0.25">
      <c r="A78" s="78"/>
      <c r="B78" s="430"/>
      <c r="C78" s="431"/>
      <c r="D78" s="431"/>
      <c r="E78" s="431"/>
      <c r="F78" s="431"/>
      <c r="G78" s="431"/>
      <c r="H78" s="431"/>
      <c r="I78" s="431"/>
      <c r="J78" s="431"/>
      <c r="K78" s="433"/>
      <c r="L78" s="91"/>
    </row>
    <row r="79" spans="1:12" ht="15" customHeight="1" x14ac:dyDescent="0.25">
      <c r="A79" s="78"/>
      <c r="B79" s="432"/>
      <c r="C79" s="426" t="s">
        <v>761</v>
      </c>
      <c r="D79" s="427" t="str">
        <f>INDEX(VL_TDM!$E$11:$E$41,MATCH($C79,VL_TDM!$B$11:$B$41,0),1)</f>
        <v>Implement Subsidized or Discounted Transit Program (for Residents)</v>
      </c>
      <c r="E79" s="428"/>
      <c r="F79" s="428"/>
      <c r="G79" s="428"/>
      <c r="H79" s="428"/>
      <c r="I79" s="428"/>
      <c r="J79" s="428"/>
      <c r="K79" s="396"/>
      <c r="L79" s="238"/>
    </row>
    <row r="80" spans="1:12" ht="165" customHeight="1" x14ac:dyDescent="0.25">
      <c r="A80" s="78"/>
      <c r="B80" s="425"/>
      <c r="C80" s="709" t="str">
        <f>'1D2 transit subsidy (residents)'!$C$40</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80" s="710"/>
      <c r="E80" s="710"/>
      <c r="F80" s="710"/>
      <c r="G80" s="710"/>
      <c r="H80" s="710"/>
      <c r="I80" s="710"/>
      <c r="J80" s="710"/>
      <c r="K80" s="429"/>
      <c r="L80" s="91"/>
    </row>
    <row r="81" spans="1:12" ht="15" customHeight="1" x14ac:dyDescent="0.25">
      <c r="A81" s="78"/>
      <c r="B81" s="430"/>
      <c r="C81" s="431"/>
      <c r="D81" s="431"/>
      <c r="E81" s="431"/>
      <c r="F81" s="431"/>
      <c r="G81" s="431"/>
      <c r="H81" s="431"/>
      <c r="I81" s="431"/>
      <c r="J81" s="431"/>
      <c r="K81" s="433"/>
      <c r="L81" s="91"/>
    </row>
    <row r="82" spans="1:12" ht="15" customHeight="1" x14ac:dyDescent="0.25">
      <c r="A82" s="78"/>
      <c r="B82" s="430"/>
      <c r="C82" s="426" t="s">
        <v>25</v>
      </c>
      <c r="D82" s="427" t="str">
        <f>INDEX(VL_TDM!$E$11:$E$41,MATCH($C82,VL_TDM!$B$11:$B$41,0),1)</f>
        <v>Employer Vanpool Program</v>
      </c>
      <c r="E82" s="428"/>
      <c r="F82" s="428"/>
      <c r="G82" s="428"/>
      <c r="H82" s="428"/>
      <c r="I82" s="428"/>
      <c r="J82" s="428"/>
      <c r="K82" s="433"/>
      <c r="L82" s="91"/>
    </row>
    <row r="83" spans="1:12" ht="91.7" customHeight="1" x14ac:dyDescent="0.25">
      <c r="A83" s="78"/>
      <c r="B83" s="430"/>
      <c r="C83" s="709" t="str">
        <f>'1E vanpool'!$C$41</f>
        <v>(1)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v>
      </c>
      <c r="D83" s="710"/>
      <c r="E83" s="710"/>
      <c r="F83" s="710"/>
      <c r="G83" s="710"/>
      <c r="H83" s="710"/>
      <c r="I83" s="710"/>
      <c r="J83" s="710"/>
      <c r="K83" s="433"/>
      <c r="L83" s="91"/>
    </row>
    <row r="84" spans="1:12" ht="15" customHeight="1" x14ac:dyDescent="0.25">
      <c r="A84" s="78"/>
      <c r="B84" s="430"/>
      <c r="C84" s="431"/>
      <c r="D84" s="431"/>
      <c r="E84" s="431"/>
      <c r="F84" s="431"/>
      <c r="G84" s="431"/>
      <c r="H84" s="431"/>
      <c r="I84" s="431"/>
      <c r="J84" s="431"/>
      <c r="K84" s="433"/>
      <c r="L84" s="91"/>
    </row>
    <row r="85" spans="1:12" ht="15" customHeight="1" x14ac:dyDescent="0.25">
      <c r="A85" s="78"/>
      <c r="B85" s="432"/>
      <c r="C85" s="426" t="s">
        <v>53</v>
      </c>
      <c r="D85" s="427" t="str">
        <f>INDEX(VL_TDM!$E$11:$E$41,MATCH($C85,VL_TDM!$B$11:$B$41,0),1)</f>
        <v>Employer Telework Program</v>
      </c>
      <c r="E85" s="428"/>
      <c r="F85" s="428"/>
      <c r="G85" s="428"/>
      <c r="H85" s="428"/>
      <c r="I85" s="428"/>
      <c r="J85" s="428"/>
      <c r="K85" s="396"/>
      <c r="L85" s="238"/>
    </row>
    <row r="86" spans="1:12" ht="89.1" customHeight="1" x14ac:dyDescent="0.25">
      <c r="A86" s="78"/>
      <c r="B86" s="425"/>
      <c r="C86" s="709" t="str">
        <f>'1F telecommute'!$C$22</f>
        <v xml:space="preserve">(1). Cambridge Systematics. 2009. "Moving Cooler: An Analysis of Transportation Strategies for Reducing Greenhouse Gas Emissions." Technical Appendices. Prepared for the Urban Land Institute. www.reconnectingamerica.org/assets/Uploads/2009movingcoolerexecsumandappend.pdf
(2). California Air Pollution Control Officers Association. 2010. "Quantifying Greenhouse Gas Mitigation Measures." www.capcoa.org/wp-content/uploads/2010/11/CAPCOA-Quantification-Report-9-14-Final.pdf </v>
      </c>
      <c r="D86" s="710"/>
      <c r="E86" s="710"/>
      <c r="F86" s="710"/>
      <c r="G86" s="710"/>
      <c r="H86" s="710"/>
      <c r="I86" s="710"/>
      <c r="J86" s="710"/>
      <c r="K86" s="429"/>
      <c r="L86" s="91"/>
    </row>
    <row r="87" spans="1:12" ht="15" customHeight="1" x14ac:dyDescent="0.25">
      <c r="A87" s="78"/>
      <c r="B87" s="430"/>
      <c r="C87" s="431"/>
      <c r="D87" s="431"/>
      <c r="E87" s="431"/>
      <c r="F87" s="431"/>
      <c r="G87" s="431"/>
      <c r="H87" s="431"/>
      <c r="I87" s="431"/>
      <c r="J87" s="431"/>
      <c r="K87" s="433"/>
      <c r="L87" s="91"/>
    </row>
    <row r="88" spans="1:12" ht="15" customHeight="1" x14ac:dyDescent="0.25">
      <c r="A88" s="78"/>
      <c r="B88" s="430"/>
      <c r="C88" s="426" t="s">
        <v>26</v>
      </c>
      <c r="D88" s="427" t="str">
        <f>INDEX(VL_TDM!$E$11:$E$41,MATCH($C88,VL_TDM!$B$11:$B$41,0),1)</f>
        <v>Transit Oriented Development</v>
      </c>
      <c r="E88" s="428"/>
      <c r="F88" s="428"/>
      <c r="G88" s="428"/>
      <c r="H88" s="428"/>
      <c r="I88" s="428"/>
      <c r="J88" s="428"/>
      <c r="K88" s="433"/>
      <c r="L88" s="91"/>
    </row>
    <row r="89" spans="1:12" ht="144.94999999999999" customHeight="1" x14ac:dyDescent="0.25">
      <c r="A89" s="78"/>
      <c r="B89" s="430"/>
      <c r="C89" s="709" t="str">
        <f>'2A TOD'!$C$37</f>
        <v>(1)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v>
      </c>
      <c r="D89" s="710"/>
      <c r="E89" s="710"/>
      <c r="F89" s="710"/>
      <c r="G89" s="710"/>
      <c r="H89" s="710"/>
      <c r="I89" s="710"/>
      <c r="J89" s="710"/>
      <c r="K89" s="433"/>
      <c r="L89" s="91"/>
    </row>
    <row r="90" spans="1:12" ht="15" customHeight="1" x14ac:dyDescent="0.25">
      <c r="A90" s="78"/>
      <c r="B90" s="432"/>
      <c r="C90" s="381"/>
      <c r="D90" s="381"/>
      <c r="E90" s="381"/>
      <c r="F90" s="381"/>
      <c r="G90" s="395"/>
      <c r="H90" s="381"/>
      <c r="I90" s="434"/>
      <c r="J90" s="434"/>
      <c r="K90" s="396"/>
      <c r="L90" s="238"/>
    </row>
    <row r="91" spans="1:12" ht="15" customHeight="1" x14ac:dyDescent="0.25">
      <c r="A91" s="78"/>
      <c r="B91" s="425"/>
      <c r="C91" s="426" t="s">
        <v>539</v>
      </c>
      <c r="D91" s="427" t="str">
        <f>INDEX(VL_TDM!$E$11:$E$41,MATCH($C91,VL_TDM!$B$11:$B$41,0),1)</f>
        <v>Increase Residential Density</v>
      </c>
      <c r="E91" s="428"/>
      <c r="F91" s="428"/>
      <c r="G91" s="428"/>
      <c r="H91" s="428"/>
      <c r="I91" s="428"/>
      <c r="J91" s="428"/>
      <c r="K91" s="429"/>
      <c r="L91" s="91"/>
    </row>
    <row r="92" spans="1:12" ht="103.5" customHeight="1" x14ac:dyDescent="0.25">
      <c r="A92" s="78"/>
      <c r="B92" s="430"/>
      <c r="C92" s="709" t="str">
        <f>'2B1 Inc Res Dens'!$C$29</f>
        <v>(1)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92" s="710"/>
      <c r="E92" s="710"/>
      <c r="F92" s="710"/>
      <c r="G92" s="710"/>
      <c r="H92" s="710"/>
      <c r="I92" s="710"/>
      <c r="J92" s="710"/>
      <c r="K92" s="433"/>
      <c r="L92" s="91"/>
    </row>
    <row r="93" spans="1:12" ht="15" customHeight="1" x14ac:dyDescent="0.25">
      <c r="A93" s="78"/>
      <c r="B93" s="430"/>
      <c r="C93" s="431"/>
      <c r="D93" s="431"/>
      <c r="E93" s="431"/>
      <c r="F93" s="431"/>
      <c r="G93" s="431"/>
      <c r="H93" s="431"/>
      <c r="I93" s="431"/>
      <c r="J93" s="431"/>
      <c r="K93" s="433"/>
      <c r="L93" s="91"/>
    </row>
    <row r="94" spans="1:12" ht="15" customHeight="1" x14ac:dyDescent="0.25">
      <c r="A94" s="78"/>
      <c r="B94" s="430"/>
      <c r="C94" s="426" t="s">
        <v>540</v>
      </c>
      <c r="D94" s="427" t="str">
        <f>INDEX(VL_TDM!$E$11:$E$41,MATCH($C94,VL_TDM!$B$11:$B$41,0),1)</f>
        <v>Increase Employment Density</v>
      </c>
      <c r="E94" s="428"/>
      <c r="F94" s="428"/>
      <c r="G94" s="428"/>
      <c r="H94" s="428"/>
      <c r="I94" s="428"/>
      <c r="J94" s="428"/>
      <c r="K94" s="433"/>
      <c r="L94" s="91"/>
    </row>
    <row r="95" spans="1:12" ht="101.25" customHeight="1" x14ac:dyDescent="0.25">
      <c r="A95" s="78"/>
      <c r="B95" s="430"/>
      <c r="C95" s="709" t="str">
        <f>'2B2 Inc Emp Dens'!$C$29</f>
        <v>(1)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95" s="710"/>
      <c r="E95" s="710"/>
      <c r="F95" s="710"/>
      <c r="G95" s="710"/>
      <c r="H95" s="710"/>
      <c r="I95" s="710"/>
      <c r="J95" s="710"/>
      <c r="K95" s="433"/>
      <c r="L95" s="91"/>
    </row>
    <row r="96" spans="1:12" ht="15" customHeight="1" x14ac:dyDescent="0.25">
      <c r="A96" s="78"/>
      <c r="B96" s="430"/>
      <c r="C96" s="431"/>
      <c r="D96" s="431"/>
      <c r="E96" s="431"/>
      <c r="F96" s="431"/>
      <c r="G96" s="431"/>
      <c r="H96" s="431"/>
      <c r="I96" s="431"/>
      <c r="J96" s="431"/>
      <c r="K96" s="433"/>
      <c r="L96" s="91"/>
    </row>
    <row r="97" spans="1:12" ht="15" customHeight="1" x14ac:dyDescent="0.25">
      <c r="A97" s="78"/>
      <c r="B97" s="432"/>
      <c r="C97" s="426" t="s">
        <v>815</v>
      </c>
      <c r="D97" s="427" t="str">
        <f>INDEX(VL_TDM!$E$11:$E$41,MATCH($C97,VL_TDM!$B$11:$B$41,0),1)</f>
        <v>Integrate Affordable and Below Market Rate Housing</v>
      </c>
      <c r="E97" s="428"/>
      <c r="F97" s="428"/>
      <c r="G97" s="428"/>
      <c r="H97" s="428"/>
      <c r="I97" s="428"/>
      <c r="J97" s="428"/>
      <c r="K97" s="396"/>
      <c r="L97" s="238"/>
    </row>
    <row r="98" spans="1:12" ht="158.25" customHeight="1" x14ac:dyDescent="0.25">
      <c r="A98" s="78"/>
      <c r="B98" s="425"/>
      <c r="C98" s="709" t="str">
        <f>'2C affordable housing'!$C$24</f>
        <v>(1)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v>
      </c>
      <c r="D98" s="710"/>
      <c r="E98" s="710"/>
      <c r="F98" s="710"/>
      <c r="G98" s="710"/>
      <c r="H98" s="710"/>
      <c r="I98" s="710"/>
      <c r="J98" s="710"/>
      <c r="K98" s="429"/>
      <c r="L98" s="91"/>
    </row>
    <row r="99" spans="1:12" ht="15" customHeight="1" x14ac:dyDescent="0.25">
      <c r="A99" s="78"/>
      <c r="B99" s="430"/>
      <c r="C99" s="431"/>
      <c r="D99" s="431"/>
      <c r="E99" s="431"/>
      <c r="F99" s="431"/>
      <c r="G99" s="431"/>
      <c r="H99" s="431"/>
      <c r="I99" s="431"/>
      <c r="J99" s="431"/>
      <c r="K99" s="433"/>
      <c r="L99" s="91"/>
    </row>
    <row r="100" spans="1:12" ht="15" customHeight="1" x14ac:dyDescent="0.25">
      <c r="A100" s="78"/>
      <c r="B100" s="430"/>
      <c r="C100" s="426" t="s">
        <v>933</v>
      </c>
      <c r="D100" s="427" t="str">
        <f>INDEX(VL_TDM!$E$11:$E$41,MATCH($C100,VL_TDM!$B$11:$B$41,0),1)</f>
        <v>Price Workplace Parking</v>
      </c>
      <c r="E100" s="428"/>
      <c r="F100" s="428"/>
      <c r="G100" s="428"/>
      <c r="H100" s="428"/>
      <c r="I100" s="428"/>
      <c r="J100" s="428"/>
      <c r="K100" s="433"/>
      <c r="L100" s="91"/>
    </row>
    <row r="101" spans="1:12" ht="33" customHeight="1" x14ac:dyDescent="0.25">
      <c r="A101" s="78"/>
      <c r="B101" s="430"/>
      <c r="C101" s="709" t="str">
        <f>'3A1 price emp parking'!$C$32</f>
        <v xml:space="preserve">(1) Lehner, S., Stefanie, P. 2019. The Price Elasticity of Parking: A Meta-analysis. Transportation Research Part A: Policy and Practice 121 2019. Available: http://sustainabletransportationsc.org/garage/pdf/parking_elasticity.pdf. Accessed: January 2021. </v>
      </c>
      <c r="D101" s="710"/>
      <c r="E101" s="710"/>
      <c r="F101" s="710"/>
      <c r="G101" s="710"/>
      <c r="H101" s="710"/>
      <c r="I101" s="710"/>
      <c r="J101" s="710"/>
      <c r="K101" s="433"/>
      <c r="L101" s="91"/>
    </row>
    <row r="102" spans="1:12" x14ac:dyDescent="0.25">
      <c r="A102" s="78"/>
      <c r="B102" s="430"/>
      <c r="C102" s="431"/>
      <c r="D102" s="431"/>
      <c r="E102" s="431"/>
      <c r="F102" s="431"/>
      <c r="G102" s="431"/>
      <c r="H102" s="431"/>
      <c r="I102" s="431"/>
      <c r="J102" s="431"/>
      <c r="K102" s="433"/>
      <c r="L102" s="91"/>
    </row>
    <row r="103" spans="1:12" x14ac:dyDescent="0.25">
      <c r="A103" s="78"/>
      <c r="B103" s="430"/>
      <c r="C103" s="426" t="s">
        <v>931</v>
      </c>
      <c r="D103" s="427" t="str">
        <f>INDEX(VL_TDM!$E$11:$E$41,MATCH($C103,VL_TDM!$B$11:$B$41,0),1)</f>
        <v>Unbundle Parking Costs from Property Cost</v>
      </c>
      <c r="E103" s="428"/>
      <c r="F103" s="428"/>
      <c r="G103" s="428"/>
      <c r="H103" s="428"/>
      <c r="I103" s="428"/>
      <c r="J103" s="428"/>
      <c r="K103" s="433"/>
      <c r="L103" s="91"/>
    </row>
    <row r="104" spans="1:12" ht="94.5" customHeight="1" x14ac:dyDescent="0.25">
      <c r="A104" s="78"/>
      <c r="B104" s="430"/>
      <c r="C104" s="709" t="str">
        <f>'3A2 price res parking'!$C$34</f>
        <v>(1)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v>
      </c>
      <c r="D104" s="710"/>
      <c r="E104" s="710"/>
      <c r="F104" s="710"/>
      <c r="G104" s="710"/>
      <c r="H104" s="710"/>
      <c r="I104" s="710"/>
      <c r="J104" s="710"/>
      <c r="K104" s="433"/>
      <c r="L104" s="91"/>
    </row>
    <row r="105" spans="1:12" ht="15" customHeight="1" x14ac:dyDescent="0.25">
      <c r="A105" s="78"/>
      <c r="B105" s="430"/>
      <c r="C105" s="431"/>
      <c r="D105" s="431"/>
      <c r="E105" s="431"/>
      <c r="F105" s="431"/>
      <c r="G105" s="431"/>
      <c r="H105" s="431"/>
      <c r="I105" s="431"/>
      <c r="J105" s="431"/>
      <c r="K105" s="433"/>
      <c r="L105" s="91"/>
    </row>
    <row r="106" spans="1:12" ht="15" customHeight="1" x14ac:dyDescent="0.25">
      <c r="A106" s="78"/>
      <c r="B106" s="432"/>
      <c r="C106" s="426" t="s">
        <v>28</v>
      </c>
      <c r="D106" s="427" t="str">
        <f>INDEX(VL_TDM!$E$11:$E$41,MATCH($C106,VL_TDM!$B$11:$B$41,0),1)</f>
        <v>Parking Cash Out</v>
      </c>
      <c r="E106" s="428"/>
      <c r="F106" s="428"/>
      <c r="G106" s="428"/>
      <c r="H106" s="428"/>
      <c r="I106" s="428"/>
      <c r="J106" s="428"/>
      <c r="K106" s="396"/>
      <c r="L106" s="238"/>
    </row>
    <row r="107" spans="1:12" ht="45" customHeight="1" x14ac:dyDescent="0.25">
      <c r="A107" s="78"/>
      <c r="B107" s="425"/>
      <c r="C107" s="709" t="str">
        <f>'1B CTR program'!$C$29</f>
        <v>(1) Nelson/Nygaard Consulting Associates. 2015. Genentech – South San Francisco Campus TDM and Parking Report. June. Available: http://ci-ssfca. granicus.com/MetaViewer.php?view_id=2&amp;clip_id=859&amp;meta_id=62028. Accessed: January 2021.</v>
      </c>
      <c r="D107" s="710"/>
      <c r="E107" s="710"/>
      <c r="F107" s="710"/>
      <c r="G107" s="710"/>
      <c r="H107" s="710"/>
      <c r="I107" s="710"/>
      <c r="J107" s="710"/>
      <c r="K107" s="429"/>
      <c r="L107" s="91"/>
    </row>
    <row r="108" spans="1:12" ht="15" customHeight="1" x14ac:dyDescent="0.25">
      <c r="A108" s="78"/>
      <c r="B108" s="430"/>
      <c r="C108" s="428"/>
      <c r="D108" s="428"/>
      <c r="E108" s="428"/>
      <c r="F108" s="428"/>
      <c r="G108" s="428"/>
      <c r="H108" s="428"/>
      <c r="I108" s="428"/>
      <c r="J108" s="428"/>
      <c r="K108" s="433"/>
      <c r="L108" s="91"/>
    </row>
    <row r="109" spans="1:12" x14ac:dyDescent="0.25">
      <c r="A109" s="78"/>
      <c r="B109" s="430"/>
      <c r="C109" s="426" t="s">
        <v>886</v>
      </c>
      <c r="D109" s="427" t="str">
        <f>INDEX(VL_TDM!$E$11:$E$41,MATCH($C109,VL_TDM!$B$11:$B$41,0),1)</f>
        <v>Provide Bike Parking</v>
      </c>
      <c r="E109" s="428"/>
      <c r="F109" s="428"/>
      <c r="G109" s="428"/>
      <c r="H109" s="428"/>
      <c r="I109" s="428"/>
      <c r="J109" s="428"/>
      <c r="K109" s="433"/>
      <c r="L109" s="78"/>
    </row>
    <row r="110" spans="1:12" ht="122.25" customHeight="1" x14ac:dyDescent="0.25">
      <c r="A110" s="78"/>
      <c r="B110" s="430"/>
      <c r="C110" s="709" t="str">
        <f>'3D bike parking'!$C$46</f>
        <v>(1)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v>
      </c>
      <c r="D110" s="710"/>
      <c r="E110" s="710"/>
      <c r="F110" s="710"/>
      <c r="G110" s="710"/>
      <c r="H110" s="710"/>
      <c r="I110" s="710"/>
      <c r="J110" s="710"/>
      <c r="K110" s="433"/>
      <c r="L110" s="78"/>
    </row>
    <row r="111" spans="1:12" x14ac:dyDescent="0.25">
      <c r="A111" s="78"/>
      <c r="B111" s="430"/>
      <c r="C111" s="431"/>
      <c r="D111" s="431"/>
      <c r="E111" s="431"/>
      <c r="F111" s="431"/>
      <c r="G111" s="431"/>
      <c r="H111" s="431"/>
      <c r="I111" s="431"/>
      <c r="J111" s="431"/>
      <c r="K111" s="433"/>
      <c r="L111" s="78"/>
    </row>
    <row r="112" spans="1:12" ht="15" customHeight="1" x14ac:dyDescent="0.25">
      <c r="A112" s="78"/>
      <c r="B112" s="430"/>
      <c r="C112" s="426" t="s">
        <v>572</v>
      </c>
      <c r="D112" s="427" t="str">
        <f>INDEX(VL_TDM!$E$11:$E$41,MATCH($C112,VL_TDM!$B$11:$B$41,0),1)</f>
        <v>Limit Parking Supply</v>
      </c>
      <c r="E112" s="428"/>
      <c r="F112" s="428"/>
      <c r="G112" s="428"/>
      <c r="H112" s="428"/>
      <c r="I112" s="428"/>
      <c r="J112" s="428"/>
      <c r="K112" s="433"/>
      <c r="L112" s="91"/>
    </row>
    <row r="113" spans="1:12" ht="76.5" customHeight="1" x14ac:dyDescent="0.25">
      <c r="A113" s="78"/>
      <c r="B113" s="430"/>
      <c r="C113" s="709" t="str">
        <f>'3C limit parking'!$C$28</f>
        <v>(1)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v>
      </c>
      <c r="D113" s="710"/>
      <c r="E113" s="710"/>
      <c r="F113" s="710"/>
      <c r="G113" s="710"/>
      <c r="H113" s="710"/>
      <c r="I113" s="710"/>
      <c r="J113" s="710"/>
      <c r="K113" s="433"/>
      <c r="L113" s="91"/>
    </row>
    <row r="114" spans="1:12" ht="15" customHeight="1" x14ac:dyDescent="0.25">
      <c r="A114" s="78"/>
      <c r="B114" s="432"/>
      <c r="C114" s="431"/>
      <c r="D114" s="431"/>
      <c r="E114" s="431"/>
      <c r="F114" s="431"/>
      <c r="G114" s="431"/>
      <c r="H114" s="431"/>
      <c r="I114" s="431"/>
      <c r="J114" s="431"/>
      <c r="K114" s="396"/>
      <c r="L114" s="238"/>
    </row>
    <row r="115" spans="1:12" ht="15" customHeight="1" x14ac:dyDescent="0.25">
      <c r="A115" s="78"/>
      <c r="B115" s="425"/>
      <c r="C115" s="426" t="s">
        <v>29</v>
      </c>
      <c r="D115" s="427" t="str">
        <f>INDEX(VL_TDM!$E$11:$E$41,MATCH($C115,VL_TDM!$B$11:$B$41,0),1)</f>
        <v>Street Connectivity Improvement</v>
      </c>
      <c r="E115" s="428"/>
      <c r="F115" s="428"/>
      <c r="G115" s="428"/>
      <c r="H115" s="428"/>
      <c r="I115" s="428"/>
      <c r="J115" s="428"/>
      <c r="K115" s="429"/>
      <c r="L115" s="91"/>
    </row>
    <row r="116" spans="1:12" ht="111" customHeight="1" x14ac:dyDescent="0.25">
      <c r="A116" s="78"/>
      <c r="B116" s="430"/>
      <c r="C116" s="709" t="str">
        <f>'4A street connect'!$C$27</f>
        <v>(1)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v>
      </c>
      <c r="D116" s="710"/>
      <c r="E116" s="710"/>
      <c r="F116" s="710"/>
      <c r="G116" s="710"/>
      <c r="H116" s="710"/>
      <c r="I116" s="710"/>
      <c r="J116" s="710"/>
      <c r="K116" s="433"/>
      <c r="L116" s="91"/>
    </row>
    <row r="117" spans="1:12" ht="15" customHeight="1" x14ac:dyDescent="0.25">
      <c r="A117" s="78"/>
      <c r="B117" s="430"/>
      <c r="C117" s="431"/>
      <c r="D117" s="431"/>
      <c r="E117" s="431"/>
      <c r="F117" s="431"/>
      <c r="G117" s="431"/>
      <c r="H117" s="431"/>
      <c r="I117" s="431"/>
      <c r="J117" s="431"/>
      <c r="K117" s="433"/>
      <c r="L117" s="91"/>
    </row>
    <row r="118" spans="1:12" ht="15" customHeight="1" x14ac:dyDescent="0.25">
      <c r="A118" s="78"/>
      <c r="B118" s="430"/>
      <c r="C118" s="426" t="s">
        <v>30</v>
      </c>
      <c r="D118" s="427" t="str">
        <f>INDEX(VL_TDM!$E$11:$E$41,MATCH($C118,VL_TDM!$B$11:$B$41,0),1)</f>
        <v>Pedestrian Facility Improvement</v>
      </c>
      <c r="E118" s="428"/>
      <c r="F118" s="428"/>
      <c r="G118" s="428"/>
      <c r="H118" s="428"/>
      <c r="I118" s="428"/>
      <c r="J118" s="428"/>
      <c r="K118" s="396"/>
      <c r="L118" s="238"/>
    </row>
    <row r="119" spans="1:12" ht="120" customHeight="1" x14ac:dyDescent="0.25">
      <c r="A119" s="78"/>
      <c r="B119" s="430"/>
      <c r="C119" s="709" t="str">
        <f>'4B sidewalks'!$C$31</f>
        <v>(1)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v>
      </c>
      <c r="D119" s="710"/>
      <c r="E119" s="710"/>
      <c r="F119" s="710"/>
      <c r="G119" s="710"/>
      <c r="H119" s="710"/>
      <c r="I119" s="710"/>
      <c r="J119" s="710"/>
      <c r="K119" s="396"/>
      <c r="L119" s="238"/>
    </row>
    <row r="120" spans="1:12" ht="15" customHeight="1" x14ac:dyDescent="0.25">
      <c r="A120" s="78"/>
      <c r="B120" s="425"/>
      <c r="C120" s="431"/>
      <c r="D120" s="431"/>
      <c r="E120" s="431"/>
      <c r="F120" s="431"/>
      <c r="G120" s="431"/>
      <c r="H120" s="431"/>
      <c r="I120" s="431"/>
      <c r="J120" s="431"/>
      <c r="K120" s="429"/>
      <c r="L120" s="91"/>
    </row>
    <row r="121" spans="1:12" ht="15" customHeight="1" x14ac:dyDescent="0.25">
      <c r="A121" s="78"/>
      <c r="B121" s="430"/>
      <c r="C121" s="426" t="s">
        <v>31</v>
      </c>
      <c r="D121" s="427" t="str">
        <f>INDEX(VL_TDM!$E$11:$E$41,MATCH($C121,VL_TDM!$B$11:$B$41,0),1)</f>
        <v>Bikeway Network Expansion</v>
      </c>
      <c r="E121" s="428"/>
      <c r="F121" s="428"/>
      <c r="G121" s="428"/>
      <c r="H121" s="428"/>
      <c r="I121" s="428"/>
      <c r="J121" s="428"/>
      <c r="K121" s="433"/>
      <c r="L121" s="91"/>
    </row>
    <row r="122" spans="1:12" ht="117.75" customHeight="1" x14ac:dyDescent="0.25">
      <c r="A122" s="78"/>
      <c r="B122" s="430"/>
      <c r="C122" s="709" t="str">
        <f>'4C bike network'!$C$61</f>
        <v>(1)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v>
      </c>
      <c r="D122" s="710"/>
      <c r="E122" s="710"/>
      <c r="F122" s="710"/>
      <c r="G122" s="710"/>
      <c r="H122" s="710"/>
      <c r="I122" s="710"/>
      <c r="J122" s="710"/>
      <c r="K122" s="433"/>
      <c r="L122" s="91"/>
    </row>
    <row r="123" spans="1:12" ht="15" customHeight="1" x14ac:dyDescent="0.25">
      <c r="A123" s="78"/>
      <c r="B123" s="432"/>
      <c r="C123" s="431"/>
      <c r="D123" s="431"/>
      <c r="E123" s="431"/>
      <c r="F123" s="431"/>
      <c r="G123" s="431"/>
      <c r="H123" s="431"/>
      <c r="I123" s="431"/>
      <c r="J123" s="431"/>
      <c r="K123" s="396"/>
      <c r="L123" s="238"/>
    </row>
    <row r="124" spans="1:12" ht="15" customHeight="1" x14ac:dyDescent="0.25">
      <c r="A124" s="78"/>
      <c r="B124" s="425"/>
      <c r="C124" s="426" t="s">
        <v>32</v>
      </c>
      <c r="D124" s="427" t="str">
        <f>INDEX(VL_TDM!$E$11:$E$41,MATCH($C124,VL_TDM!$B$11:$B$41,0),1)</f>
        <v>Bike Facility Improvement</v>
      </c>
      <c r="E124" s="428"/>
      <c r="F124" s="428"/>
      <c r="G124" s="428"/>
      <c r="H124" s="428"/>
      <c r="I124" s="428"/>
      <c r="J124" s="428"/>
      <c r="K124" s="429"/>
      <c r="L124" s="91"/>
    </row>
    <row r="125" spans="1:12" ht="90" customHeight="1" x14ac:dyDescent="0.25">
      <c r="A125" s="78"/>
      <c r="B125" s="430"/>
      <c r="C125" s="709" t="str">
        <f>'4D bike project'!$C$60</f>
        <v>(1)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v>
      </c>
      <c r="D125" s="710"/>
      <c r="E125" s="710"/>
      <c r="F125" s="710"/>
      <c r="G125" s="710"/>
      <c r="H125" s="710"/>
      <c r="I125" s="710"/>
      <c r="J125" s="710"/>
      <c r="K125" s="433"/>
      <c r="L125" s="91"/>
    </row>
    <row r="126" spans="1:12" ht="15" customHeight="1" x14ac:dyDescent="0.25">
      <c r="A126" s="78"/>
      <c r="B126" s="430"/>
      <c r="C126" s="381"/>
      <c r="D126" s="381"/>
      <c r="E126" s="381"/>
      <c r="F126" s="381"/>
      <c r="G126" s="395"/>
      <c r="H126" s="381"/>
      <c r="I126" s="434"/>
      <c r="J126" s="434"/>
      <c r="K126" s="433"/>
      <c r="L126" s="91"/>
    </row>
    <row r="127" spans="1:12" ht="15" customHeight="1" x14ac:dyDescent="0.25">
      <c r="A127" s="78"/>
      <c r="B127" s="430"/>
      <c r="C127" s="426" t="s">
        <v>43</v>
      </c>
      <c r="D127" s="427" t="str">
        <f>INDEX(VL_TDM!$E$11:$E$41,MATCH($C127,VL_TDM!$B$11:$B$41,0),1)</f>
        <v>Bikeshare</v>
      </c>
      <c r="E127" s="428"/>
      <c r="F127" s="428"/>
      <c r="G127" s="428"/>
      <c r="H127" s="428"/>
      <c r="I127" s="428"/>
      <c r="J127" s="428"/>
      <c r="K127" s="433"/>
      <c r="L127" s="91"/>
    </row>
    <row r="128" spans="1:12" ht="230.1" customHeight="1" x14ac:dyDescent="0.25">
      <c r="A128" s="78"/>
      <c r="B128" s="430"/>
      <c r="C128" s="709" t="str">
        <f>'4E bikeshare'!$C$39</f>
        <v>(1)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v>
      </c>
      <c r="D128" s="710"/>
      <c r="E128" s="710"/>
      <c r="F128" s="710"/>
      <c r="G128" s="710"/>
      <c r="H128" s="710"/>
      <c r="I128" s="710"/>
      <c r="J128" s="710"/>
      <c r="K128" s="433"/>
      <c r="L128" s="78"/>
    </row>
    <row r="129" spans="1:12" ht="15" customHeight="1" x14ac:dyDescent="0.25">
      <c r="A129" s="78"/>
      <c r="B129" s="430"/>
      <c r="C129" s="431"/>
      <c r="D129" s="431"/>
      <c r="E129" s="431"/>
      <c r="F129" s="431"/>
      <c r="G129" s="431"/>
      <c r="H129" s="431"/>
      <c r="I129" s="431"/>
      <c r="J129" s="431"/>
      <c r="K129" s="433"/>
      <c r="L129" s="78"/>
    </row>
    <row r="130" spans="1:12" x14ac:dyDescent="0.25">
      <c r="A130" s="78"/>
      <c r="B130" s="430"/>
      <c r="C130" s="426" t="s">
        <v>44</v>
      </c>
      <c r="D130" s="427" t="str">
        <f>INDEX(VL_TDM!$E$11:$E$41,MATCH($C130,VL_TDM!$B$11:$B$41,0),1)</f>
        <v>Carshare</v>
      </c>
      <c r="E130" s="428"/>
      <c r="F130" s="428"/>
      <c r="G130" s="428"/>
      <c r="H130" s="428"/>
      <c r="I130" s="428"/>
      <c r="J130" s="428"/>
      <c r="K130" s="433"/>
      <c r="L130" s="78"/>
    </row>
    <row r="131" spans="1:12" ht="129.94999999999999" customHeight="1" x14ac:dyDescent="0.25">
      <c r="A131" s="78"/>
      <c r="B131" s="430"/>
      <c r="C131" s="709" t="str">
        <f>'4F carshare'!$C$28</f>
        <v>(1)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v>
      </c>
      <c r="D131" s="710"/>
      <c r="E131" s="710"/>
      <c r="F131" s="710"/>
      <c r="G131" s="710"/>
      <c r="H131" s="710"/>
      <c r="I131" s="710"/>
      <c r="J131" s="710"/>
      <c r="K131" s="433"/>
      <c r="L131" s="78"/>
    </row>
    <row r="132" spans="1:12" x14ac:dyDescent="0.25">
      <c r="A132" s="78"/>
      <c r="B132" s="430"/>
      <c r="C132" s="431"/>
      <c r="D132" s="431"/>
      <c r="E132" s="431"/>
      <c r="F132" s="431"/>
      <c r="G132" s="431"/>
      <c r="H132" s="431"/>
      <c r="I132" s="431"/>
      <c r="J132" s="431"/>
      <c r="K132" s="433"/>
      <c r="L132" s="78"/>
    </row>
    <row r="133" spans="1:12" x14ac:dyDescent="0.25">
      <c r="A133" s="78"/>
      <c r="B133" s="430"/>
      <c r="C133" s="426" t="s">
        <v>45</v>
      </c>
      <c r="D133" s="427" t="str">
        <f>INDEX(VL_TDM!$E$11:$E$41,MATCH($C133,VL_TDM!$B$11:$B$41,0),1)</f>
        <v>Community-Based Travel Planning</v>
      </c>
      <c r="E133" s="428"/>
      <c r="F133" s="428"/>
      <c r="G133" s="428"/>
      <c r="H133" s="428"/>
      <c r="I133" s="428"/>
      <c r="J133" s="428"/>
      <c r="K133" s="433"/>
      <c r="L133" s="78"/>
    </row>
    <row r="134" spans="1:12" ht="30" customHeight="1" x14ac:dyDescent="0.25">
      <c r="A134" s="78"/>
      <c r="B134" s="430"/>
      <c r="C134" s="709" t="str">
        <f>'4G CBTP'!$C$27</f>
        <v>(1) Metropolitan Transportation Commission (MTC). 2021. Plan Bay Area 2050, Supplemental Report. (forthcoming)</v>
      </c>
      <c r="D134" s="710"/>
      <c r="E134" s="710"/>
      <c r="F134" s="710"/>
      <c r="G134" s="710"/>
      <c r="H134" s="710"/>
      <c r="I134" s="710"/>
      <c r="J134" s="710"/>
      <c r="K134" s="433"/>
      <c r="L134" s="78"/>
    </row>
    <row r="135" spans="1:12" x14ac:dyDescent="0.25">
      <c r="A135" s="78"/>
      <c r="B135" s="430"/>
      <c r="C135" s="431"/>
      <c r="D135" s="431"/>
      <c r="E135" s="431"/>
      <c r="F135" s="431"/>
      <c r="G135" s="431"/>
      <c r="H135" s="431"/>
      <c r="I135" s="431"/>
      <c r="J135" s="431"/>
      <c r="K135" s="433"/>
      <c r="L135" s="78"/>
    </row>
    <row r="136" spans="1:12" x14ac:dyDescent="0.25">
      <c r="A136" s="78"/>
      <c r="B136" s="430"/>
      <c r="C136" s="426" t="s">
        <v>33</v>
      </c>
      <c r="D136" s="427" t="str">
        <f>INDEX(VL_TDM!$E$11:$E$41,MATCH($C136,VL_TDM!$B$11:$B$41,0),1)</f>
        <v>Transit Service Expansion</v>
      </c>
      <c r="E136" s="428"/>
      <c r="F136" s="428"/>
      <c r="G136" s="428"/>
      <c r="H136" s="428"/>
      <c r="I136" s="428"/>
      <c r="J136" s="428"/>
      <c r="K136" s="433"/>
      <c r="L136" s="78"/>
    </row>
    <row r="137" spans="1:12" ht="104.1" customHeight="1" x14ac:dyDescent="0.25">
      <c r="A137" s="78"/>
      <c r="B137" s="430"/>
      <c r="C137" s="709" t="str">
        <f>'5A T network exp'!$C$37</f>
        <v>(1)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v>
      </c>
      <c r="D137" s="710"/>
      <c r="E137" s="710"/>
      <c r="F137" s="710"/>
      <c r="G137" s="710"/>
      <c r="H137" s="710"/>
      <c r="I137" s="710"/>
      <c r="J137" s="710"/>
      <c r="K137" s="433"/>
      <c r="L137" s="78"/>
    </row>
    <row r="138" spans="1:12" x14ac:dyDescent="0.25">
      <c r="A138" s="78"/>
      <c r="B138" s="430"/>
      <c r="C138" s="431"/>
      <c r="D138" s="431"/>
      <c r="E138" s="431"/>
      <c r="F138" s="431"/>
      <c r="G138" s="431"/>
      <c r="H138" s="431"/>
      <c r="I138" s="431"/>
      <c r="J138" s="431"/>
      <c r="K138" s="433"/>
      <c r="L138" s="78"/>
    </row>
    <row r="139" spans="1:12" x14ac:dyDescent="0.25">
      <c r="A139" s="78"/>
      <c r="B139" s="430"/>
      <c r="C139" s="426" t="s">
        <v>34</v>
      </c>
      <c r="D139" s="427" t="str">
        <f>INDEX(VL_TDM!$E$11:$E$41,MATCH($C139,VL_TDM!$B$11:$B$41,0),1)</f>
        <v>Transit Frequency Improvements</v>
      </c>
      <c r="E139" s="428"/>
      <c r="F139" s="428"/>
      <c r="G139" s="428"/>
      <c r="H139" s="428"/>
      <c r="I139" s="428"/>
      <c r="J139" s="428"/>
      <c r="K139" s="433"/>
      <c r="L139" s="78"/>
    </row>
    <row r="140" spans="1:12" ht="194.45" customHeight="1" x14ac:dyDescent="0.25">
      <c r="A140" s="78"/>
      <c r="B140" s="430"/>
      <c r="C140" s="709" t="str">
        <f>'5B T freq'!$C$44</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140" s="710"/>
      <c r="E140" s="710"/>
      <c r="F140" s="710"/>
      <c r="G140" s="710"/>
      <c r="H140" s="710"/>
      <c r="I140" s="710"/>
      <c r="J140" s="710"/>
      <c r="K140" s="433"/>
      <c r="L140" s="78"/>
    </row>
    <row r="141" spans="1:12" x14ac:dyDescent="0.25">
      <c r="A141" s="78"/>
      <c r="B141" s="430"/>
      <c r="C141" s="431"/>
      <c r="D141" s="431"/>
      <c r="E141" s="431"/>
      <c r="F141" s="431"/>
      <c r="G141" s="431"/>
      <c r="H141" s="431"/>
      <c r="I141" s="431"/>
      <c r="J141" s="431"/>
      <c r="K141" s="433"/>
      <c r="L141" s="78"/>
    </row>
    <row r="142" spans="1:12" x14ac:dyDescent="0.25">
      <c r="A142" s="78"/>
      <c r="B142" s="430"/>
      <c r="C142" s="426" t="s">
        <v>35</v>
      </c>
      <c r="D142" s="427" t="str">
        <f>INDEX(VL_TDM!$E$11:$E$41,MATCH($C142,VL_TDM!$B$11:$B$41,0),1)</f>
        <v>Transit-Supportive Treatments</v>
      </c>
      <c r="E142" s="428"/>
      <c r="F142" s="428"/>
      <c r="G142" s="428"/>
      <c r="H142" s="428"/>
      <c r="I142" s="428"/>
      <c r="J142" s="428"/>
      <c r="K142" s="433"/>
      <c r="L142" s="78"/>
    </row>
    <row r="143" spans="1:12" ht="180" customHeight="1" x14ac:dyDescent="0.25">
      <c r="A143" s="78"/>
      <c r="B143" s="430"/>
      <c r="C143" s="709" t="str">
        <f>'5C T treatments'!$C$45</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v>
      </c>
      <c r="D143" s="710"/>
      <c r="E143" s="710"/>
      <c r="F143" s="710"/>
      <c r="G143" s="710"/>
      <c r="H143" s="710"/>
      <c r="I143" s="710"/>
      <c r="J143" s="710"/>
      <c r="K143" s="433"/>
      <c r="L143" s="78"/>
    </row>
    <row r="144" spans="1:12" x14ac:dyDescent="0.25">
      <c r="A144" s="78"/>
      <c r="B144" s="430"/>
      <c r="C144" s="381"/>
      <c r="D144" s="381"/>
      <c r="E144" s="381"/>
      <c r="F144" s="381"/>
      <c r="G144" s="395"/>
      <c r="H144" s="381"/>
      <c r="I144" s="434"/>
      <c r="J144" s="434"/>
      <c r="K144" s="433"/>
      <c r="L144" s="78"/>
    </row>
    <row r="145" spans="1:12" x14ac:dyDescent="0.25">
      <c r="A145" s="78"/>
      <c r="B145" s="430"/>
      <c r="C145" s="426" t="s">
        <v>36</v>
      </c>
      <c r="D145" s="427" t="str">
        <f>INDEX(VL_TDM!$E$11:$E$41,MATCH($C145,VL_TDM!$B$11:$B$41,0),1)</f>
        <v>Transit Fare Reduction</v>
      </c>
      <c r="E145" s="428"/>
      <c r="F145" s="428"/>
      <c r="G145" s="428"/>
      <c r="H145" s="428"/>
      <c r="I145" s="428"/>
      <c r="J145" s="428"/>
      <c r="K145" s="433"/>
      <c r="L145" s="78"/>
    </row>
    <row r="146" spans="1:12" ht="200.1" customHeight="1" x14ac:dyDescent="0.25">
      <c r="A146" s="78"/>
      <c r="B146" s="430"/>
      <c r="C146" s="709" t="str">
        <f>'5D T fare reduction'!$C$46</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146" s="710"/>
      <c r="E146" s="710"/>
      <c r="F146" s="710"/>
      <c r="G146" s="710"/>
      <c r="H146" s="710"/>
      <c r="I146" s="710"/>
      <c r="J146" s="710"/>
      <c r="K146" s="433"/>
      <c r="L146" s="78"/>
    </row>
    <row r="147" spans="1:12" x14ac:dyDescent="0.25">
      <c r="A147" s="78"/>
      <c r="B147" s="430"/>
      <c r="C147" s="431"/>
      <c r="D147" s="431"/>
      <c r="E147" s="431"/>
      <c r="F147" s="431"/>
      <c r="G147" s="431"/>
      <c r="H147" s="431"/>
      <c r="I147" s="431"/>
      <c r="J147" s="431"/>
      <c r="K147" s="433"/>
      <c r="L147" s="78"/>
    </row>
    <row r="148" spans="1:12" x14ac:dyDescent="0.25">
      <c r="A148" s="78"/>
      <c r="B148" s="430"/>
      <c r="C148" s="426" t="s">
        <v>37</v>
      </c>
      <c r="D148" s="427" t="str">
        <f>INDEX(VL_TDM!$E$11:$E$41,MATCH($C148,VL_TDM!$B$11:$B$41,0),1)</f>
        <v>Microtransit NEV Shuttle</v>
      </c>
      <c r="E148" s="428"/>
      <c r="F148" s="428"/>
      <c r="G148" s="428"/>
      <c r="H148" s="428"/>
      <c r="I148" s="428"/>
      <c r="J148" s="428"/>
      <c r="K148" s="433"/>
      <c r="L148" s="78"/>
    </row>
    <row r="149" spans="1:12" ht="60" customHeight="1" x14ac:dyDescent="0.25">
      <c r="A149" s="78"/>
      <c r="B149" s="430"/>
      <c r="C149" s="709" t="str">
        <f>'5E microtransit'!$C$40</f>
        <v>(1) WSP. 2019. “Draft TDM Off-Model Methodology—March 2019 Revision.” Memo to SANDAG.
(2) Alameda CTC Travel Demand Forecasting Model scenario run (May 2019 version; base year 2020).</v>
      </c>
      <c r="D149" s="710"/>
      <c r="E149" s="710"/>
      <c r="F149" s="710"/>
      <c r="G149" s="710"/>
      <c r="H149" s="710"/>
      <c r="I149" s="710"/>
      <c r="J149" s="710"/>
      <c r="K149" s="433"/>
      <c r="L149" s="78"/>
    </row>
    <row r="150" spans="1:12" x14ac:dyDescent="0.25">
      <c r="A150" s="78"/>
      <c r="B150" s="430"/>
      <c r="C150" s="431"/>
      <c r="D150" s="431"/>
      <c r="E150" s="431"/>
      <c r="F150" s="431"/>
      <c r="G150" s="431"/>
      <c r="H150" s="431"/>
      <c r="I150" s="431"/>
      <c r="J150" s="431"/>
      <c r="K150" s="433"/>
      <c r="L150" s="78"/>
    </row>
    <row r="151" spans="1:12" x14ac:dyDescent="0.25">
      <c r="A151" s="78"/>
      <c r="B151" s="435"/>
      <c r="C151" s="436"/>
      <c r="D151" s="436"/>
      <c r="E151" s="436"/>
      <c r="F151" s="436"/>
      <c r="G151" s="436"/>
      <c r="H151" s="436"/>
      <c r="I151" s="436"/>
      <c r="J151" s="436"/>
      <c r="K151" s="437"/>
      <c r="L151" s="78"/>
    </row>
    <row r="152" spans="1:12" x14ac:dyDescent="0.25">
      <c r="A152" s="78"/>
      <c r="B152" s="78"/>
      <c r="C152" s="78"/>
      <c r="D152" s="78"/>
      <c r="E152" s="78"/>
      <c r="F152" s="78"/>
      <c r="G152" s="78"/>
      <c r="H152" s="78"/>
      <c r="I152" s="78"/>
      <c r="J152" s="78"/>
      <c r="K152" s="78"/>
      <c r="L152" s="78"/>
    </row>
  </sheetData>
  <sheetProtection algorithmName="SHA-512" hashValue="a6xskDJrER2s6qZGFRm926xHkqZ4BIhLfFmI/Z0eADJdC7CV70fjyaWbtKsX0VfKPPgP53dAtRtzoPAVBsgPqg==" saltValue="td6fo93pR/Oe5ZdJiAbTBg==" spinCount="100000" sheet="1" objects="1" scenarios="1" selectLockedCells="1"/>
  <mergeCells count="33">
    <mergeCell ref="B6:K6"/>
    <mergeCell ref="B21:K21"/>
    <mergeCell ref="B2:K2"/>
    <mergeCell ref="J4:K4"/>
    <mergeCell ref="B65:K65"/>
    <mergeCell ref="C101:J101"/>
    <mergeCell ref="C107:J107"/>
    <mergeCell ref="C113:J113"/>
    <mergeCell ref="C119:J119"/>
    <mergeCell ref="C122:J122"/>
    <mergeCell ref="C116:J116"/>
    <mergeCell ref="C104:J104"/>
    <mergeCell ref="C86:J86"/>
    <mergeCell ref="C89:J89"/>
    <mergeCell ref="C92:J92"/>
    <mergeCell ref="C95:J95"/>
    <mergeCell ref="C98:J98"/>
    <mergeCell ref="C68:J68"/>
    <mergeCell ref="C71:J71"/>
    <mergeCell ref="C74:J74"/>
    <mergeCell ref="C77:J77"/>
    <mergeCell ref="C83:J83"/>
    <mergeCell ref="C80:J80"/>
    <mergeCell ref="C125:J125"/>
    <mergeCell ref="C128:J128"/>
    <mergeCell ref="C131:J131"/>
    <mergeCell ref="C134:J134"/>
    <mergeCell ref="C110:J110"/>
    <mergeCell ref="C137:J137"/>
    <mergeCell ref="C140:J140"/>
    <mergeCell ref="C143:J143"/>
    <mergeCell ref="C146:J146"/>
    <mergeCell ref="C149:J149"/>
  </mergeCells>
  <conditionalFormatting sqref="C26:J37 C39:J54">
    <cfRule type="expression" dxfId="85" priority="7">
      <formula>$H26="Conflict with other strategy"</formula>
    </cfRule>
  </conditionalFormatting>
  <conditionalFormatting sqref="B4:G4">
    <cfRule type="expression" dxfId="84" priority="6">
      <formula>$B4&lt;&gt;""</formula>
    </cfRule>
  </conditionalFormatting>
  <conditionalFormatting sqref="H20">
    <cfRule type="expression" dxfId="83" priority="5">
      <formula>H20="See Strategy Conflicts"</formula>
    </cfRule>
  </conditionalFormatting>
  <conditionalFormatting sqref="H26:H37 H39:H54">
    <cfRule type="expression" dxfId="82" priority="4">
      <formula>J26="Excluded from total"</formula>
    </cfRule>
  </conditionalFormatting>
  <conditionalFormatting sqref="C38:D38 F38:J38">
    <cfRule type="expression" dxfId="81" priority="3">
      <formula>$H38="Conflict with other strategy"</formula>
    </cfRule>
  </conditionalFormatting>
  <conditionalFormatting sqref="H38">
    <cfRule type="expression" dxfId="80" priority="2">
      <formula>J38="Excluded from total"</formula>
    </cfRule>
  </conditionalFormatting>
  <conditionalFormatting sqref="D37:E38">
    <cfRule type="expression" dxfId="79" priority="1">
      <formula>$H37="Conflict with other strategy"</formula>
    </cfRule>
  </conditionalFormatting>
  <hyperlinks>
    <hyperlink ref="J4" location="Main!A1" display="Return to Main" xr:uid="{A8E876F7-A22D-43E9-A77B-38631D951F6F}"/>
    <hyperlink ref="D26" location="'1A VCTR program'!A1" display="1A" xr:uid="{3581A845-2320-45C8-BFD9-6E1D73721983}"/>
    <hyperlink ref="D27" location="'1B CTR program'!A1" display="1B" xr:uid="{D22925DB-EB82-4D66-91EE-B31CE972C642}"/>
    <hyperlink ref="D28" location="'1C carpool'!A1" display="1C" xr:uid="{037A293D-396C-4F2B-83B0-DF36A0AAE3F1}"/>
    <hyperlink ref="D31" location="'1E vanpool'!A1" display="1E" xr:uid="{5879CDF8-CFFE-4768-B5C2-C4E39C996EC3}"/>
    <hyperlink ref="D32" location="'1F telecommute'!A1" display="1F" xr:uid="{5D88F02B-40B0-4EF3-8D8C-FD16AB50DADB}"/>
    <hyperlink ref="D33" location="'2A TOD'!A1" display="2A" xr:uid="{36DCA8DE-3BFF-4569-A11A-B8F27937099D}"/>
    <hyperlink ref="D34" location="'2B1 Inc Res Dens'!A1" display="2B1" xr:uid="{7D191C89-70C7-4405-8510-BDB55723F512}"/>
    <hyperlink ref="D35" location="'2B2 Inc Emp Dens'!A1" display="2B2" xr:uid="{01D40D92-6BCA-4449-8D45-FDB93DFF1DCC}"/>
    <hyperlink ref="D36" location="'2C affordable housing'!A1" display="2C" xr:uid="{2037AF51-A78B-4C36-B751-83A0413D43BF}"/>
    <hyperlink ref="D39" location="'3B parking cash-out'!A1" display="3B" xr:uid="{A3787BB4-89AB-4905-AF80-E9ACB97F49B8}"/>
    <hyperlink ref="D40" location="'3C limit parking'!A1" display="3C" xr:uid="{FDC5C8E8-90F9-4479-BB08-B1F38F6AA2A3}"/>
    <hyperlink ref="D42" location="'4A street connect'!A1" display="4A" xr:uid="{1EF73BE7-3554-438B-AC40-8ACA5632CF83}"/>
    <hyperlink ref="D43" location="'4B sidewalks'!A1" display="4B" xr:uid="{F9F6AABF-1CB3-4A37-970D-5358D91B75D6}"/>
    <hyperlink ref="D44" location="'4C bike network'!A1" display="4C" xr:uid="{90110EC1-BF40-4C72-8042-D2009B205F5C}"/>
    <hyperlink ref="D45" location="'4D bike project'!A1" display="4D" xr:uid="{3F30F79F-BAB9-4CE2-8C9B-549AAE51420F}"/>
    <hyperlink ref="D46" location="'4E bikeshare'!A1" display="4E" xr:uid="{4669A8C8-0532-4361-A129-650208A87A5D}"/>
    <hyperlink ref="D47" location="'4F carshare'!A1" display="4F" xr:uid="{180B61ED-3871-439D-8724-3F07445ECE7F}"/>
    <hyperlink ref="D48" location="'4G CBTP'!A1" display="4G" xr:uid="{D2D10F2F-F5C3-4AED-9CA4-E196AA359167}"/>
    <hyperlink ref="D49" location="'4H traffic calming'!A1" display="4H" xr:uid="{1DC93921-9AA9-4A91-8787-EBA86BCA1B64}"/>
    <hyperlink ref="D41" location="'3D bike parking'!A1" display="3D" xr:uid="{5FEDE701-7A17-49C8-912A-C2053811F01C}"/>
    <hyperlink ref="D50" location="'5A T network exp'!A1" display="5A" xr:uid="{9084597A-AFDB-4DF2-B75A-7FD00F1D19B3}"/>
    <hyperlink ref="D54" location="'5E microtransit'!A1" display="5E" xr:uid="{A2A8EEBC-5B28-4A70-88EC-DC8536F33870}"/>
    <hyperlink ref="D53" location="'5D T fare reduction'!A1" display="5D" xr:uid="{22CC88D9-9D18-4DE3-9579-605E81659C29}"/>
    <hyperlink ref="D52" location="'5C T treatments'!A1" display="5C" xr:uid="{C59C5B04-3B51-4696-86C3-51B2A67D1815}"/>
    <hyperlink ref="D51" location="'5B T freq'!A1" display="5B" xr:uid="{BC534D63-3C04-4420-9F22-40F98A12BE70}"/>
    <hyperlink ref="E26" location="'1A VCTR program'!A1" display="'1A VCTR program'!A1" xr:uid="{98EF24D0-BBDE-4436-BC1A-E99965A5C090}"/>
    <hyperlink ref="E27" location="'1B CTR program'!A1" display="'1B CTR program'!A1" xr:uid="{0B98D2DF-8BB0-4E1B-81A8-C6B9980A7065}"/>
    <hyperlink ref="E28" location="'1C carpool'!A1" display="'1C carpool'!A1" xr:uid="{4507700F-ADF7-4C01-9B49-CFAF9D763BDA}"/>
    <hyperlink ref="E31" location="'1E vanpool'!A1" display="'1E vanpool'!A1" xr:uid="{9A2E1146-A9FF-4D91-BD44-589BBC0481F9}"/>
    <hyperlink ref="E32" location="'1F telecommute'!A1" display="'1F telecommute'!A1" xr:uid="{73C2749D-8530-4BC7-9740-973893BD28C2}"/>
    <hyperlink ref="E33" location="'2A TOD'!A1" display="'2A TOD'!A1" xr:uid="{CA1BB0A6-6823-44BB-B80E-F41E5D3EAD36}"/>
    <hyperlink ref="E34" location="'2B1 Inc Res Dens'!A1" display="'2B1 Inc Res Dens'!A1" xr:uid="{E9F8D55F-23CC-4905-BD55-42C1BB3DDD3B}"/>
    <hyperlink ref="E35" location="'2B2 Inc Emp Dens'!A1" display="'2B2 Inc Emp Dens'!A1" xr:uid="{9805AC02-8705-4224-84F1-00253FEA9FCE}"/>
    <hyperlink ref="E36" location="'2C affordable housing'!A1" display="'2C affordable housing'!A1" xr:uid="{8FF158B7-86C5-4911-9A50-B0921B6774C2}"/>
    <hyperlink ref="E39" location="'3B parking cash-out'!A1" display="'3B parking cash-out'!A1" xr:uid="{A286624A-1E99-4AEF-9732-F1D544245178}"/>
    <hyperlink ref="E40" location="'3C limit parking'!A1" display="'3C limit parking'!A1" xr:uid="{21838A3F-9709-422E-BFE3-25B36DA5101A}"/>
    <hyperlink ref="E42" location="'4A street connect'!A1" display="'4A street connect'!A1" xr:uid="{1B284C5C-4326-4366-AAC7-DCE2E2E83FB0}"/>
    <hyperlink ref="E43" location="'4B sidewalks'!A1" display="'4B sidewalks'!A1" xr:uid="{8B83EE94-3EEC-4AA3-B880-6E616C40A200}"/>
    <hyperlink ref="E44" location="'4C bike network'!A1" display="'4C bike network'!A1" xr:uid="{1DCD9BF3-290A-44DC-B007-2FB550441F75}"/>
    <hyperlink ref="E45" location="'4D bike project'!A1" display="'4D bike project'!A1" xr:uid="{CB567610-E20B-4749-B8AE-7D9C32A2BC95}"/>
    <hyperlink ref="E46" location="'4E bikeshare'!A1" display="'4E bikeshare'!A1" xr:uid="{5742CD01-139D-4BE3-BFA9-1C1DC53F7A3D}"/>
    <hyperlink ref="E47" location="'4F carshare'!A1" display="'4F carshare'!A1" xr:uid="{3211489D-694F-4C8C-8097-8400870D9DFA}"/>
    <hyperlink ref="E48" location="'4G CBTP'!A1" display="'4G CBTP'!A1" xr:uid="{D5CEC4BA-50DA-41D1-93F1-702DB17C2DDD}"/>
    <hyperlink ref="E49" location="'4H traffic calming'!A1" display="'4H traffic calming'!A1" xr:uid="{EF967F47-8008-4996-9F5C-20AAC779B58E}"/>
    <hyperlink ref="E41" location="'3D bike parking'!A1" display="'3D bike parking'!A1" xr:uid="{26A2D0EE-31B4-41AF-9AD2-B284B754B81B}"/>
    <hyperlink ref="E50" location="'5A T network exp'!A1" display="'5A T network exp'!A1" xr:uid="{367AA9A3-9BB2-4764-895C-E146CABC5685}"/>
    <hyperlink ref="E51" location="'5B T freq'!A1" display="'5B T freq'!A1" xr:uid="{824747FE-0E7C-4A10-BB08-A73DDBF01FCC}"/>
    <hyperlink ref="E52" location="'5C T treatments'!A1" display="'5C T treatments'!A1" xr:uid="{3EF06E1C-32D0-4C0D-B178-B3FE0F852BED}"/>
    <hyperlink ref="E53" location="'5D T fare reduction'!A1" display="'5D T fare reduction'!A1" xr:uid="{6FB3E2CC-EEC1-4F23-B9AB-C92020A9088F}"/>
    <hyperlink ref="E54" location="'5E microtransit'!A1" display="'5E microtransit'!A1" xr:uid="{EFE669E2-9C92-4FBC-BD3C-05C90EF5589A}"/>
    <hyperlink ref="E29" location="'1D1 transit subsidy (employees)'!A1" display="'1D1 transit subsidy (employees)'!A1" xr:uid="{BC9F60CC-699B-4D6A-A3C9-34AB321095C5}"/>
    <hyperlink ref="D29" location="'1D1 transit subsidy (employees)'!A1" display="1D1" xr:uid="{4D8D5D36-6EE2-45FA-8727-A8206765794F}"/>
    <hyperlink ref="E30" location="'1D2 transit subsidy (residents)'!A1" display="'1D2 transit subsidy (residents)'!A1" xr:uid="{06CE7E66-5D2E-4358-8AC7-BB7E7BB4337E}"/>
    <hyperlink ref="D30" location="'1D2 transit subsidy (residents)'!A1" display="1D2" xr:uid="{DB2B51C2-4012-44FB-A683-AA144A53F848}"/>
    <hyperlink ref="H20" location="'Conflict Info'!A1" display="'Conflict Info'!A1" xr:uid="{B10FF864-741E-4156-BE9A-9D00BF59B044}"/>
    <hyperlink ref="D37" location="'3A1 price emp parking'!A1" display="3A1" xr:uid="{F4C5C9CF-2AF5-4667-97E7-3436B5E89C90}"/>
    <hyperlink ref="E37" location="'3A1 price emp parking'!A1" display="'3A1 price emp parking'!A1" xr:uid="{BAA2DC59-907B-4790-A18A-52DEE0AB4F72}"/>
    <hyperlink ref="D38" location="'3A2 price res parking'!A1" display="3A2" xr:uid="{5E20B5A1-C9FA-4AD2-8254-EC770C479E09}"/>
    <hyperlink ref="E38" location="'3A2 price res parking'!A1" display="'3A2 price res parking'!A1" xr:uid="{40A014D1-1A7B-4E2B-B08E-4BAB4A643D49}"/>
  </hyperlinks>
  <pageMargins left="0.25" right="0.25" top="0.25" bottom="0.25" header="0.3" footer="0.25"/>
  <pageSetup scale="58" fitToHeight="0" orientation="portrait" r:id="rId1"/>
  <rowBreaks count="4" manualBreakCount="4">
    <brk id="63" max="16383" man="1"/>
    <brk id="95" max="16383" man="1"/>
    <brk id="125" max="16383" man="1"/>
    <brk id="143" max="1638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0099"/>
  </sheetPr>
  <dimension ref="A1:M62"/>
  <sheetViews>
    <sheetView showGridLines="0" showRowColHeaders="0" topLeftCell="A9" zoomScaleNormal="100" workbookViewId="0">
      <selection activeCell="E12" sqref="E12:F12"/>
    </sheetView>
  </sheetViews>
  <sheetFormatPr defaultColWidth="0" defaultRowHeight="15" zeroHeight="1" x14ac:dyDescent="0.25"/>
  <cols>
    <col min="1" max="1" width="4.42578125" style="115" customWidth="1"/>
    <col min="2" max="2" width="8.85546875" style="115" customWidth="1"/>
    <col min="3" max="3" width="23.42578125" style="115" customWidth="1"/>
    <col min="4" max="4" width="31.42578125" style="115" customWidth="1"/>
    <col min="5" max="5" width="27.42578125" style="115" customWidth="1"/>
    <col min="6" max="6" width="11.5703125" style="115" customWidth="1"/>
    <col min="7" max="7" width="5.5703125" style="115" customWidth="1"/>
    <col min="8" max="8" width="19.140625" style="116" customWidth="1"/>
    <col min="9" max="9" width="17.5703125" style="115" customWidth="1"/>
    <col min="10" max="10" width="8.85546875" style="115" customWidth="1"/>
    <col min="11" max="11" width="4.5703125" style="115" customWidth="1"/>
    <col min="12" max="13" width="19.85546875" style="92" hidden="1" customWidth="1"/>
    <col min="14" max="16384" width="8.85546875" style="92" hidden="1"/>
  </cols>
  <sheetData>
    <row r="1" spans="1:11" hidden="1" x14ac:dyDescent="0.25">
      <c r="A1" s="77"/>
      <c r="B1" s="77"/>
      <c r="C1" s="77"/>
      <c r="D1" s="77"/>
      <c r="E1" s="77"/>
      <c r="F1" s="77"/>
      <c r="G1" s="77"/>
      <c r="H1" s="103"/>
      <c r="I1" s="77"/>
      <c r="J1" s="77"/>
      <c r="K1" s="77"/>
    </row>
    <row r="2" spans="1:11" ht="22.35" hidden="1" customHeight="1" x14ac:dyDescent="0.25">
      <c r="A2" s="77"/>
      <c r="B2" s="77"/>
      <c r="C2" s="77"/>
      <c r="D2" s="77"/>
      <c r="E2" s="77"/>
      <c r="F2" s="77"/>
      <c r="G2" s="77"/>
      <c r="H2" s="103"/>
      <c r="I2" s="77"/>
      <c r="J2" s="77"/>
      <c r="K2" s="77"/>
    </row>
    <row r="3" spans="1:11" ht="22.35" customHeight="1" x14ac:dyDescent="0.25">
      <c r="A3" s="77"/>
      <c r="B3" s="51"/>
      <c r="C3" s="77"/>
      <c r="D3" s="77"/>
      <c r="E3" s="77"/>
      <c r="F3" s="77"/>
      <c r="G3" s="77"/>
      <c r="H3" s="103"/>
      <c r="I3" s="77"/>
      <c r="J3" s="77"/>
      <c r="K3" s="77"/>
    </row>
    <row r="4" spans="1:11" ht="18.75" x14ac:dyDescent="0.25">
      <c r="A4" s="239" t="s">
        <v>32</v>
      </c>
      <c r="B4" s="788" t="str">
        <f>A4&amp;". "&amp;INDEX(VL_TDM!$E$11:$E$41,MATCH($A$4,VL_TDM!$B$11:$B$41,0),1)</f>
        <v>4D. Bike Facility Improvement</v>
      </c>
      <c r="C4" s="722"/>
      <c r="D4" s="722"/>
      <c r="E4" s="722"/>
      <c r="F4" s="722"/>
      <c r="G4" s="722"/>
      <c r="H4" s="722"/>
      <c r="I4" s="722"/>
      <c r="J4" s="723"/>
      <c r="K4" s="77"/>
    </row>
    <row r="5" spans="1:11" ht="15" customHeight="1" x14ac:dyDescent="0.25">
      <c r="A5" s="77"/>
      <c r="B5" s="85"/>
      <c r="C5" s="110"/>
      <c r="D5" s="110"/>
      <c r="E5" s="110"/>
      <c r="F5" s="110"/>
      <c r="G5" s="98"/>
      <c r="H5" s="100"/>
      <c r="I5" s="98"/>
      <c r="J5" s="83"/>
      <c r="K5" s="77"/>
    </row>
    <row r="6" spans="1:11" ht="15" customHeight="1" x14ac:dyDescent="0.25">
      <c r="A6" s="77"/>
      <c r="B6" s="85"/>
      <c r="C6" s="98" t="s">
        <v>1</v>
      </c>
      <c r="D6" s="462" t="str">
        <f>INDEX(VL_TDM!$AC$11:$AC$41,MATCH($A$4,VL_TDM!$B$11:$B$41,0),1)</f>
        <v>Neighborhood/City</v>
      </c>
      <c r="E6" s="462"/>
      <c r="F6" s="100"/>
      <c r="G6" s="100"/>
      <c r="H6" s="100"/>
      <c r="I6" s="617" t="s">
        <v>89</v>
      </c>
      <c r="J6" s="83"/>
      <c r="K6" s="77"/>
    </row>
    <row r="7" spans="1:11" ht="15" customHeight="1" x14ac:dyDescent="0.25">
      <c r="A7" s="77"/>
      <c r="B7" s="85"/>
      <c r="C7" s="109" t="s">
        <v>2</v>
      </c>
      <c r="D7" s="113" t="str">
        <f>INDEX(VL_TDM!$AD$11:$AD$41,MATCH($A$4,VL_TDM!$B$11:$B$41,0),1)</f>
        <v>Trips on roadway with bikeway addition</v>
      </c>
      <c r="E7" s="113"/>
      <c r="F7" s="100"/>
      <c r="G7" s="100"/>
      <c r="H7" s="98"/>
      <c r="I7" s="617" t="s">
        <v>105</v>
      </c>
      <c r="J7" s="83"/>
      <c r="K7" s="77"/>
    </row>
    <row r="8" spans="1:11" ht="15" customHeight="1" x14ac:dyDescent="0.25">
      <c r="A8" s="77"/>
      <c r="B8" s="85"/>
      <c r="C8" s="109" t="s">
        <v>149</v>
      </c>
      <c r="D8" s="114">
        <f>INDEX(VL_TDM!$AE$11:$AE$41,MATCH($A$4,VL_TDM!$B$11:$B$41,0),1)</f>
        <v>5.0000000000000001E-3</v>
      </c>
      <c r="E8" s="110"/>
      <c r="F8" s="110"/>
      <c r="G8" s="98"/>
      <c r="H8" s="100"/>
      <c r="I8" s="98"/>
      <c r="J8" s="83"/>
      <c r="K8" s="77"/>
    </row>
    <row r="9" spans="1:11" ht="15" customHeight="1" x14ac:dyDescent="0.25">
      <c r="A9" s="77"/>
      <c r="B9" s="85"/>
      <c r="C9" s="98"/>
      <c r="D9" s="98"/>
      <c r="E9" s="98"/>
      <c r="F9" s="98"/>
      <c r="G9" s="98"/>
      <c r="H9" s="100"/>
      <c r="I9" s="98"/>
      <c r="J9" s="83"/>
      <c r="K9" s="77"/>
    </row>
    <row r="10" spans="1:11" ht="69.95" customHeight="1" x14ac:dyDescent="0.25">
      <c r="A10" s="77"/>
      <c r="B10" s="85"/>
      <c r="C10" s="724" t="str">
        <f>INDEX(VL_TDM!$AF$11:$AF$41,MATCH($A$4,VL_TDM!$B$11:$B$41,0),1)</f>
        <v>This strategy will construct or improve a single bicycle lane facility that connects to a larger existing bikeway network. Providing bicycle infrastructure helps to improve biking conditions within an area. This encourages a mode shift on the roadway parallel to the bicycle facility from vehicles to bicycles, displacing VMT and thus reducing GHG emissions. When constructing or improving a bicycle facility, a best practice is to consider local or state bike lane width standards.</v>
      </c>
      <c r="D10" s="710"/>
      <c r="E10" s="710"/>
      <c r="F10" s="710"/>
      <c r="G10" s="710"/>
      <c r="H10" s="710"/>
      <c r="I10" s="710"/>
      <c r="J10" s="83"/>
      <c r="K10" s="77"/>
    </row>
    <row r="11" spans="1:11" ht="15" customHeight="1" x14ac:dyDescent="0.25">
      <c r="A11" s="77"/>
      <c r="B11" s="85"/>
      <c r="C11" s="98"/>
      <c r="D11" s="98"/>
      <c r="E11" s="98"/>
      <c r="F11" s="98"/>
      <c r="G11" s="98"/>
      <c r="H11" s="100"/>
      <c r="I11" s="98"/>
      <c r="J11" s="83"/>
      <c r="K11" s="77"/>
    </row>
    <row r="12" spans="1:11" ht="15" customHeight="1" x14ac:dyDescent="0.25">
      <c r="A12" s="122"/>
      <c r="B12" s="85"/>
      <c r="C12" s="104" t="s">
        <v>108</v>
      </c>
      <c r="D12" s="105"/>
      <c r="E12" s="798"/>
      <c r="F12" s="798"/>
      <c r="G12" s="98"/>
      <c r="H12" s="109" t="s">
        <v>0</v>
      </c>
      <c r="I12" s="98"/>
      <c r="J12" s="83"/>
      <c r="K12" s="77"/>
    </row>
    <row r="13" spans="1:11" ht="30" customHeight="1" x14ac:dyDescent="0.25">
      <c r="A13" s="122"/>
      <c r="B13" s="85"/>
      <c r="C13" s="104" t="s">
        <v>109</v>
      </c>
      <c r="D13" s="104"/>
      <c r="E13" s="261"/>
      <c r="F13" s="261"/>
      <c r="G13" s="261"/>
      <c r="H13" s="717" t="str">
        <f>IF(AND(NOT(ISBLANK(E12)),E12=VL_REF!BY11),"Use Strategy 4C, Bikeway Network Expansion.","")</f>
        <v/>
      </c>
      <c r="I13" s="717"/>
      <c r="J13" s="83"/>
      <c r="K13" s="77"/>
    </row>
    <row r="14" spans="1:11" ht="30" customHeight="1" x14ac:dyDescent="0.25">
      <c r="A14" s="123"/>
      <c r="B14" s="85"/>
      <c r="C14" s="104"/>
      <c r="D14" s="104"/>
      <c r="E14" s="261"/>
      <c r="F14" s="261"/>
      <c r="G14" s="261"/>
      <c r="H14" s="717" t="str">
        <f>IF(AND(E12&lt;&gt;"",'4C bike network'!E12&lt;&gt;"",E12&lt;&gt;'4C bike network'!E12),"User input mismatches input for same question on strategy 4C page. Reconcile.","")</f>
        <v/>
      </c>
      <c r="I14" s="717"/>
      <c r="J14" s="83"/>
      <c r="K14" s="77"/>
    </row>
    <row r="15" spans="1:11" x14ac:dyDescent="0.25">
      <c r="A15" s="77"/>
      <c r="B15" s="85"/>
      <c r="C15" s="104"/>
      <c r="D15" s="105"/>
      <c r="E15" s="98"/>
      <c r="F15" s="98"/>
      <c r="G15" s="100"/>
      <c r="H15" s="473"/>
      <c r="I15" s="98"/>
      <c r="J15" s="83"/>
      <c r="K15" s="77"/>
    </row>
    <row r="16" spans="1:11" ht="15" customHeight="1" x14ac:dyDescent="0.25">
      <c r="A16" s="77"/>
      <c r="B16" s="85"/>
      <c r="C16" s="104" t="s">
        <v>712</v>
      </c>
      <c r="D16" s="104"/>
      <c r="E16" s="262"/>
      <c r="F16" s="560" t="str">
        <f>IF(K16="Use Capcoa 2021",VL_REF!$T$3,IF(ISBLANK(Location),"",INDEX(VL_TAZ!$O$9:$AD$9,1,MATCH($C16,VL_TAZ!$O$10:$AD$10,0))))</f>
        <v/>
      </c>
      <c r="G16" s="100"/>
      <c r="H16" s="98" t="str">
        <f>CONCATENATE("Alameda CTC model",IF(NOT(ISBLANK(F18)),", overridden",""))</f>
        <v>Alameda CTC model</v>
      </c>
      <c r="I16" s="98"/>
      <c r="J16" s="83"/>
      <c r="K16" s="239" t="s">
        <v>683</v>
      </c>
    </row>
    <row r="17" spans="1:11" ht="7.35" customHeight="1" x14ac:dyDescent="0.25">
      <c r="A17" s="77"/>
      <c r="B17" s="85"/>
      <c r="C17" s="104"/>
      <c r="D17" s="105"/>
      <c r="E17" s="98"/>
      <c r="F17" s="98"/>
      <c r="G17" s="100"/>
      <c r="H17" s="263"/>
      <c r="I17" s="98"/>
      <c r="J17" s="83"/>
      <c r="K17" s="239"/>
    </row>
    <row r="18" spans="1:11" ht="15" customHeight="1" x14ac:dyDescent="0.25">
      <c r="A18" s="77"/>
      <c r="B18" s="85"/>
      <c r="C18" s="104" t="s">
        <v>711</v>
      </c>
      <c r="D18" s="105"/>
      <c r="E18" s="528"/>
      <c r="F18" s="63"/>
      <c r="G18" s="100"/>
      <c r="H18" s="265" t="s">
        <v>11</v>
      </c>
      <c r="I18" s="98"/>
      <c r="J18" s="83"/>
      <c r="K18" s="239"/>
    </row>
    <row r="19" spans="1:11" ht="7.35" customHeight="1" x14ac:dyDescent="0.25">
      <c r="A19" s="77"/>
      <c r="B19" s="85"/>
      <c r="C19" s="104"/>
      <c r="D19" s="105"/>
      <c r="E19" s="98"/>
      <c r="F19" s="98"/>
      <c r="G19" s="100"/>
      <c r="H19" s="98"/>
      <c r="I19" s="98"/>
      <c r="J19" s="83"/>
      <c r="K19" s="239"/>
    </row>
    <row r="20" spans="1:11" x14ac:dyDescent="0.25">
      <c r="A20" s="77"/>
      <c r="B20" s="85"/>
      <c r="C20" s="104" t="s">
        <v>713</v>
      </c>
      <c r="D20" s="105"/>
      <c r="E20" s="98"/>
      <c r="F20" s="529" t="str">
        <f>IF(ISBLANK(F18),F16,F18)</f>
        <v/>
      </c>
      <c r="G20" s="98"/>
      <c r="H20" s="109" t="s">
        <v>10</v>
      </c>
      <c r="I20" s="98"/>
      <c r="J20" s="83"/>
      <c r="K20" s="240"/>
    </row>
    <row r="21" spans="1:11" ht="7.35" customHeight="1" x14ac:dyDescent="0.25">
      <c r="A21" s="77"/>
      <c r="B21" s="85"/>
      <c r="C21" s="104"/>
      <c r="D21" s="105"/>
      <c r="E21" s="98"/>
      <c r="F21" s="98"/>
      <c r="G21" s="100"/>
      <c r="H21" s="109"/>
      <c r="I21" s="98"/>
      <c r="J21" s="83"/>
      <c r="K21" s="239"/>
    </row>
    <row r="22" spans="1:11" ht="15" customHeight="1" x14ac:dyDescent="0.25">
      <c r="A22" s="77"/>
      <c r="B22" s="85"/>
      <c r="C22" s="104" t="s">
        <v>714</v>
      </c>
      <c r="D22" s="105"/>
      <c r="E22" s="98"/>
      <c r="F22" s="560" t="str">
        <f>IF(K22="Use Capcoa 2021",VL_REF!$U$3,IF(ISBLANK(Location),"",INDEX(VL_TAZ!$O$9:$AD$9,1,MATCH($C22,VL_TAZ!$O$10:$AD$10,0))))</f>
        <v/>
      </c>
      <c r="G22" s="100"/>
      <c r="H22" s="98" t="str">
        <f>CONCATENATE("Alameda CTC model",IF(NOT(ISBLANK(F24)),", overridden",""))</f>
        <v>Alameda CTC model</v>
      </c>
      <c r="I22" s="98"/>
      <c r="J22" s="83"/>
      <c r="K22" s="239" t="s">
        <v>683</v>
      </c>
    </row>
    <row r="23" spans="1:11" ht="7.35" customHeight="1" x14ac:dyDescent="0.25">
      <c r="A23" s="77"/>
      <c r="B23" s="85"/>
      <c r="C23" s="104"/>
      <c r="D23" s="105"/>
      <c r="E23" s="98"/>
      <c r="F23" s="98"/>
      <c r="G23" s="100"/>
      <c r="H23" s="263"/>
      <c r="I23" s="98"/>
      <c r="J23" s="83"/>
      <c r="K23" s="77"/>
    </row>
    <row r="24" spans="1:11" ht="15" customHeight="1" x14ac:dyDescent="0.25">
      <c r="A24" s="77"/>
      <c r="B24" s="85"/>
      <c r="C24" s="104" t="s">
        <v>715</v>
      </c>
      <c r="D24" s="105"/>
      <c r="E24" s="528"/>
      <c r="F24" s="63"/>
      <c r="G24" s="100"/>
      <c r="H24" s="265" t="s">
        <v>11</v>
      </c>
      <c r="I24" s="98"/>
      <c r="J24" s="83"/>
      <c r="K24" s="77"/>
    </row>
    <row r="25" spans="1:11" ht="7.35" customHeight="1" x14ac:dyDescent="0.25">
      <c r="A25" s="77"/>
      <c r="B25" s="85"/>
      <c r="C25" s="104"/>
      <c r="D25" s="105"/>
      <c r="E25" s="98"/>
      <c r="F25" s="98"/>
      <c r="G25" s="100"/>
      <c r="H25" s="98"/>
      <c r="I25" s="98"/>
      <c r="J25" s="83"/>
      <c r="K25" s="77"/>
    </row>
    <row r="26" spans="1:11" x14ac:dyDescent="0.25">
      <c r="A26" s="77"/>
      <c r="B26" s="85"/>
      <c r="C26" s="104" t="s">
        <v>717</v>
      </c>
      <c r="D26" s="105"/>
      <c r="E26" s="465"/>
      <c r="F26" s="529" t="str">
        <f>IF(ISBLANK(F24),F22,F24)</f>
        <v/>
      </c>
      <c r="G26" s="98"/>
      <c r="H26" s="109" t="s">
        <v>10</v>
      </c>
      <c r="I26" s="98"/>
      <c r="J26" s="83"/>
      <c r="K26" s="78"/>
    </row>
    <row r="27" spans="1:11" ht="7.35" customHeight="1" x14ac:dyDescent="0.25">
      <c r="A27" s="77"/>
      <c r="B27" s="85"/>
      <c r="C27" s="104"/>
      <c r="D27" s="105"/>
      <c r="E27" s="465"/>
      <c r="F27" s="98"/>
      <c r="G27" s="100"/>
      <c r="H27" s="109"/>
      <c r="I27" s="98"/>
      <c r="J27" s="83"/>
      <c r="K27" s="77"/>
    </row>
    <row r="28" spans="1:11" ht="15" customHeight="1" x14ac:dyDescent="0.25">
      <c r="A28" s="77"/>
      <c r="B28" s="85"/>
      <c r="C28" s="800" t="s">
        <v>718</v>
      </c>
      <c r="D28" s="800"/>
      <c r="E28" s="465"/>
      <c r="F28" s="193"/>
      <c r="G28" s="100"/>
      <c r="H28" s="109" t="s">
        <v>0</v>
      </c>
      <c r="I28" s="98"/>
      <c r="J28" s="83"/>
      <c r="K28" s="78"/>
    </row>
    <row r="29" spans="1:11" ht="7.35" customHeight="1" x14ac:dyDescent="0.25">
      <c r="A29" s="77"/>
      <c r="B29" s="85"/>
      <c r="C29" s="105"/>
      <c r="D29" s="555"/>
      <c r="E29" s="465"/>
      <c r="F29" s="100"/>
      <c r="G29" s="100"/>
      <c r="H29" s="98"/>
      <c r="I29" s="98"/>
      <c r="J29" s="83"/>
      <c r="K29" s="77"/>
    </row>
    <row r="30" spans="1:11" ht="15" customHeight="1" x14ac:dyDescent="0.25">
      <c r="A30" s="77"/>
      <c r="B30" s="85"/>
      <c r="C30" s="105" t="s">
        <v>294</v>
      </c>
      <c r="D30" s="555"/>
      <c r="E30" s="465"/>
      <c r="F30" s="64"/>
      <c r="G30" s="100"/>
      <c r="H30" s="265" t="s">
        <v>0</v>
      </c>
      <c r="I30" s="98"/>
      <c r="J30" s="83"/>
      <c r="K30" s="77"/>
    </row>
    <row r="31" spans="1:11" ht="7.35" customHeight="1" x14ac:dyDescent="0.25">
      <c r="A31" s="77"/>
      <c r="B31" s="85"/>
      <c r="C31" s="105"/>
      <c r="D31" s="555"/>
      <c r="E31" s="465"/>
      <c r="F31" s="100"/>
      <c r="G31" s="100"/>
      <c r="H31" s="98"/>
      <c r="I31" s="98"/>
      <c r="J31" s="83"/>
      <c r="K31" s="77"/>
    </row>
    <row r="32" spans="1:11" ht="15" customHeight="1" x14ac:dyDescent="0.25">
      <c r="A32" s="77"/>
      <c r="B32" s="85"/>
      <c r="C32" s="105" t="s">
        <v>719</v>
      </c>
      <c r="D32" s="555"/>
      <c r="E32" s="465"/>
      <c r="F32" s="197"/>
      <c r="G32" s="100"/>
      <c r="H32" s="109" t="s">
        <v>0</v>
      </c>
      <c r="I32" s="98"/>
      <c r="J32" s="83"/>
      <c r="K32" s="77"/>
    </row>
    <row r="33" spans="1:11" ht="7.35" customHeight="1" x14ac:dyDescent="0.25">
      <c r="A33" s="77"/>
      <c r="B33" s="85"/>
      <c r="C33" s="105"/>
      <c r="D33" s="555"/>
      <c r="E33" s="465"/>
      <c r="F33" s="100"/>
      <c r="G33" s="100"/>
      <c r="H33" s="98"/>
      <c r="I33" s="98"/>
      <c r="J33" s="83"/>
      <c r="K33" s="77"/>
    </row>
    <row r="34" spans="1:11" ht="15" customHeight="1" x14ac:dyDescent="0.25">
      <c r="A34" s="77"/>
      <c r="B34" s="85"/>
      <c r="C34" s="105" t="s">
        <v>660</v>
      </c>
      <c r="D34" s="555"/>
      <c r="E34" s="465"/>
      <c r="F34" s="242" t="e">
        <f>IF(VL_TAZ!$Z$9=1,"Yes","No")</f>
        <v>#N/A</v>
      </c>
      <c r="G34" s="100"/>
      <c r="H34" s="98" t="s">
        <v>888</v>
      </c>
      <c r="I34" s="98"/>
      <c r="J34" s="83"/>
      <c r="K34" s="77"/>
    </row>
    <row r="35" spans="1:11" ht="7.35" customHeight="1" x14ac:dyDescent="0.25">
      <c r="A35" s="77"/>
      <c r="B35" s="85"/>
      <c r="C35" s="105"/>
      <c r="D35" s="555"/>
      <c r="E35" s="465"/>
      <c r="F35" s="100"/>
      <c r="G35" s="100"/>
      <c r="H35" s="98"/>
      <c r="I35" s="98"/>
      <c r="J35" s="83"/>
      <c r="K35" s="77"/>
    </row>
    <row r="36" spans="1:11" ht="15" customHeight="1" x14ac:dyDescent="0.25">
      <c r="A36" s="77"/>
      <c r="B36" s="85"/>
      <c r="C36" s="105" t="s">
        <v>655</v>
      </c>
      <c r="D36" s="555"/>
      <c r="E36" s="465"/>
      <c r="F36" s="242" t="e">
        <f>IF(VL_TAZ!$AA$9&gt;=250000,"Yes","No")</f>
        <v>#N/A</v>
      </c>
      <c r="G36" s="100"/>
      <c r="H36" s="98" t="s">
        <v>888</v>
      </c>
      <c r="I36" s="98"/>
      <c r="J36" s="83"/>
      <c r="K36" s="77"/>
    </row>
    <row r="37" spans="1:11" ht="7.35" customHeight="1" x14ac:dyDescent="0.25">
      <c r="A37" s="77"/>
      <c r="B37" s="85"/>
      <c r="C37" s="105"/>
      <c r="D37" s="555"/>
      <c r="E37" s="465"/>
      <c r="F37" s="100"/>
      <c r="G37" s="100"/>
      <c r="H37" s="98"/>
      <c r="I37" s="98"/>
      <c r="J37" s="83"/>
      <c r="K37" s="77"/>
    </row>
    <row r="38" spans="1:11" ht="15" customHeight="1" x14ac:dyDescent="0.25">
      <c r="A38" s="77"/>
      <c r="B38" s="85"/>
      <c r="C38" s="105" t="s">
        <v>720</v>
      </c>
      <c r="D38" s="555"/>
      <c r="E38" s="465"/>
      <c r="F38" s="64"/>
      <c r="G38" s="100"/>
      <c r="H38" s="265" t="s">
        <v>0</v>
      </c>
      <c r="I38" s="98"/>
      <c r="J38" s="83"/>
      <c r="K38" s="77"/>
    </row>
    <row r="39" spans="1:11" ht="7.35" customHeight="1" x14ac:dyDescent="0.25">
      <c r="A39" s="77"/>
      <c r="B39" s="85"/>
      <c r="C39" s="105"/>
      <c r="D39" s="555"/>
      <c r="E39" s="465"/>
      <c r="F39" s="100"/>
      <c r="G39" s="100"/>
      <c r="H39" s="98"/>
      <c r="I39" s="98"/>
      <c r="J39" s="83"/>
      <c r="K39" s="77"/>
    </row>
    <row r="40" spans="1:11" ht="15" customHeight="1" x14ac:dyDescent="0.25">
      <c r="A40" s="77"/>
      <c r="B40" s="85"/>
      <c r="C40" s="105" t="s">
        <v>721</v>
      </c>
      <c r="D40" s="555"/>
      <c r="E40" s="465"/>
      <c r="F40" s="64"/>
      <c r="G40" s="100"/>
      <c r="H40" s="265" t="s">
        <v>0</v>
      </c>
      <c r="I40" s="98"/>
      <c r="J40" s="83"/>
      <c r="K40" s="77"/>
    </row>
    <row r="41" spans="1:11" ht="7.35" customHeight="1" x14ac:dyDescent="0.25">
      <c r="A41" s="77"/>
      <c r="B41" s="85"/>
      <c r="C41" s="105"/>
      <c r="D41" s="555"/>
      <c r="E41" s="465"/>
      <c r="F41" s="100"/>
      <c r="G41" s="100"/>
      <c r="H41" s="98"/>
      <c r="I41" s="98"/>
      <c r="J41" s="83"/>
      <c r="K41" s="77"/>
    </row>
    <row r="42" spans="1:11" ht="15" customHeight="1" x14ac:dyDescent="0.25">
      <c r="A42" s="77"/>
      <c r="B42" s="85"/>
      <c r="C42" s="105" t="s">
        <v>722</v>
      </c>
      <c r="D42" s="555"/>
      <c r="E42" s="801"/>
      <c r="F42" s="802"/>
      <c r="G42" s="100"/>
      <c r="H42" s="265" t="s">
        <v>0</v>
      </c>
      <c r="I42" s="630" t="s">
        <v>925</v>
      </c>
      <c r="J42" s="83"/>
      <c r="K42" s="77"/>
    </row>
    <row r="43" spans="1:11" ht="7.35" customHeight="1" x14ac:dyDescent="0.25">
      <c r="A43" s="77"/>
      <c r="B43" s="85"/>
      <c r="C43" s="105"/>
      <c r="D43" s="555"/>
      <c r="E43" s="465"/>
      <c r="F43" s="100"/>
      <c r="G43" s="100"/>
      <c r="H43" s="98"/>
      <c r="I43" s="98"/>
      <c r="J43" s="83"/>
      <c r="K43" s="77"/>
    </row>
    <row r="44" spans="1:11" ht="15" customHeight="1" x14ac:dyDescent="0.25">
      <c r="A44" s="77"/>
      <c r="B44" s="85"/>
      <c r="C44" s="800" t="s">
        <v>553</v>
      </c>
      <c r="D44" s="800"/>
      <c r="E44" s="465"/>
      <c r="F44" s="468" t="e">
        <f>VL_REF!AC3</f>
        <v>#N/A</v>
      </c>
      <c r="G44" s="100"/>
      <c r="H44" s="109" t="s">
        <v>10</v>
      </c>
      <c r="I44" s="98"/>
      <c r="J44" s="83"/>
      <c r="K44" s="78"/>
    </row>
    <row r="45" spans="1:11" ht="7.35" customHeight="1" x14ac:dyDescent="0.25">
      <c r="A45" s="77"/>
      <c r="B45" s="85"/>
      <c r="C45" s="105"/>
      <c r="D45" s="555"/>
      <c r="E45" s="465"/>
      <c r="F45" s="100"/>
      <c r="G45" s="100"/>
      <c r="H45" s="98"/>
      <c r="I45" s="98"/>
      <c r="J45" s="83"/>
      <c r="K45" s="77"/>
    </row>
    <row r="46" spans="1:11" ht="15" customHeight="1" x14ac:dyDescent="0.25">
      <c r="A46" s="77"/>
      <c r="B46" s="85"/>
      <c r="C46" s="800" t="s">
        <v>723</v>
      </c>
      <c r="D46" s="800"/>
      <c r="E46" s="465"/>
      <c r="F46" s="468">
        <f>VL_REF!AL3</f>
        <v>0</v>
      </c>
      <c r="G46" s="100"/>
      <c r="H46" s="109" t="s">
        <v>10</v>
      </c>
      <c r="I46" s="98"/>
      <c r="J46" s="83"/>
      <c r="K46" s="78"/>
    </row>
    <row r="47" spans="1:11" ht="7.35" customHeight="1" x14ac:dyDescent="0.25">
      <c r="A47" s="77"/>
      <c r="B47" s="85"/>
      <c r="C47" s="105"/>
      <c r="D47" s="555"/>
      <c r="E47" s="465"/>
      <c r="F47" s="100"/>
      <c r="G47" s="100"/>
      <c r="H47" s="98"/>
      <c r="I47" s="98"/>
      <c r="J47" s="83"/>
      <c r="K47" s="77"/>
    </row>
    <row r="48" spans="1:11" ht="15" customHeight="1" x14ac:dyDescent="0.25">
      <c r="A48" s="77"/>
      <c r="B48" s="85"/>
      <c r="C48" s="800" t="s">
        <v>554</v>
      </c>
      <c r="D48" s="800"/>
      <c r="E48" s="465"/>
      <c r="F48" s="468" t="e">
        <f>VL_REF!AS3</f>
        <v>#N/A</v>
      </c>
      <c r="G48" s="100"/>
      <c r="H48" s="109" t="s">
        <v>10</v>
      </c>
      <c r="I48" s="98"/>
      <c r="J48" s="83"/>
      <c r="K48" s="78"/>
    </row>
    <row r="49" spans="1:11" ht="7.35" customHeight="1" x14ac:dyDescent="0.25">
      <c r="A49" s="77"/>
      <c r="B49" s="85"/>
      <c r="C49" s="104"/>
      <c r="D49" s="105"/>
      <c r="E49" s="465"/>
      <c r="F49" s="98"/>
      <c r="G49" s="100"/>
      <c r="H49" s="263"/>
      <c r="I49" s="98"/>
      <c r="J49" s="83"/>
      <c r="K49" s="77"/>
    </row>
    <row r="50" spans="1:11" ht="15" customHeight="1" x14ac:dyDescent="0.25">
      <c r="A50" s="77"/>
      <c r="B50" s="85"/>
      <c r="C50" s="104" t="s">
        <v>556</v>
      </c>
      <c r="D50" s="104"/>
      <c r="E50" s="465"/>
      <c r="F50" s="468">
        <v>200</v>
      </c>
      <c r="G50" s="100"/>
      <c r="H50" s="108" t="s">
        <v>7</v>
      </c>
      <c r="I50" s="98"/>
      <c r="J50" s="83"/>
      <c r="K50" s="78"/>
    </row>
    <row r="51" spans="1:11" ht="7.35" customHeight="1" x14ac:dyDescent="0.25">
      <c r="A51" s="77"/>
      <c r="B51" s="85"/>
      <c r="C51" s="104"/>
      <c r="D51" s="105"/>
      <c r="E51" s="465"/>
      <c r="F51" s="98"/>
      <c r="G51" s="100"/>
      <c r="H51" s="263"/>
      <c r="I51" s="98"/>
      <c r="J51" s="83"/>
      <c r="K51" s="77"/>
    </row>
    <row r="52" spans="1:11" ht="15" customHeight="1" x14ac:dyDescent="0.25">
      <c r="A52" s="77"/>
      <c r="B52" s="85"/>
      <c r="C52" s="790" t="s">
        <v>557</v>
      </c>
      <c r="D52" s="791"/>
      <c r="E52" s="465"/>
      <c r="F52" s="468">
        <v>365</v>
      </c>
      <c r="G52" s="100"/>
      <c r="H52" s="108" t="s">
        <v>7</v>
      </c>
      <c r="I52" s="98"/>
      <c r="J52" s="83"/>
      <c r="K52" s="78"/>
    </row>
    <row r="53" spans="1:11" ht="15" customHeight="1" x14ac:dyDescent="0.25">
      <c r="A53" s="77"/>
      <c r="B53" s="85"/>
      <c r="C53" s="104"/>
      <c r="D53" s="105"/>
      <c r="E53" s="105"/>
      <c r="F53" s="105"/>
      <c r="G53" s="105"/>
      <c r="H53" s="263"/>
      <c r="I53" s="98"/>
      <c r="J53" s="83"/>
      <c r="K53" s="77"/>
    </row>
    <row r="54" spans="1:11" ht="7.35" customHeight="1" x14ac:dyDescent="0.25">
      <c r="A54" s="77"/>
      <c r="B54" s="85"/>
      <c r="C54" s="104"/>
      <c r="D54" s="105"/>
      <c r="E54" s="98"/>
      <c r="F54" s="98"/>
      <c r="G54" s="100"/>
      <c r="H54" s="98"/>
      <c r="I54" s="98"/>
      <c r="J54" s="83"/>
      <c r="K54" s="77"/>
    </row>
    <row r="55" spans="1:11" ht="15" customHeight="1" x14ac:dyDescent="0.25">
      <c r="A55" s="77"/>
      <c r="B55" s="85"/>
      <c r="C55" s="104" t="s">
        <v>5</v>
      </c>
      <c r="D55" s="104"/>
      <c r="E55" s="262"/>
      <c r="F55" s="129" t="str">
        <f>IF(OR(F20="",F26="",E12="",E12=VL_REF!BY11),"",IFERROR(MAX(-D8,-F28*(((F50/F52)*(F44+F46)*F48*F20)/F26)),""))</f>
        <v/>
      </c>
      <c r="G55" s="470"/>
      <c r="H55" s="53" t="b">
        <v>0</v>
      </c>
      <c r="I55" s="207" t="str">
        <f>IF(OR(H55=TRUE,F55=""),"Not Active","Active")</f>
        <v>Not Active</v>
      </c>
      <c r="J55" s="83"/>
      <c r="K55" s="124"/>
    </row>
    <row r="56" spans="1:11" ht="15" customHeight="1" x14ac:dyDescent="0.25">
      <c r="A56" s="77"/>
      <c r="B56" s="85"/>
      <c r="C56" s="98"/>
      <c r="D56" s="98"/>
      <c r="E56" s="98"/>
      <c r="F56" s="98"/>
      <c r="G56" s="98"/>
      <c r="H56" s="100"/>
      <c r="I56" s="98"/>
      <c r="J56" s="83"/>
      <c r="K56" s="125"/>
    </row>
    <row r="57" spans="1:11" ht="51.95" customHeight="1" x14ac:dyDescent="0.25">
      <c r="A57" s="77"/>
      <c r="B57" s="85"/>
      <c r="C57" s="763" t="str">
        <f>"Formula:  % Change in VMT =  " &amp; SUBSTITUTE("- " &amp; C28 &amp; " *((( " &amp; C50 &amp; " / " &amp; C52 &amp; " )*( " &amp; C44 &amp; " + " &amp; C46 &amp; " )* " &amp; C48 &amp; " * " &amp; C20 &amp; " )/ " &amp; C26 &amp; " )"," used for calculation","")</f>
        <v>Formula:  % Change in VMT =  - % of neighborhood/city VMT on parallel roadway *((( Annual days of use of new facility / Days per year )*( Active transportation adjustment factor + Credit for activity centers near project )* Growth factor adjustment for facility type * One-way bicycle trip length (miles) )/ One-way vehicle trip length in neighborhood/city (miles) )</v>
      </c>
      <c r="D57" s="792"/>
      <c r="E57" s="792"/>
      <c r="F57" s="792"/>
      <c r="G57" s="792"/>
      <c r="H57" s="792"/>
      <c r="I57" s="793"/>
      <c r="J57" s="83"/>
      <c r="K57" s="125"/>
    </row>
    <row r="58" spans="1:11" ht="15" customHeight="1" x14ac:dyDescent="0.25">
      <c r="A58" s="77"/>
      <c r="B58" s="85"/>
      <c r="C58" s="532"/>
      <c r="D58" s="518"/>
      <c r="E58" s="518"/>
      <c r="F58" s="518"/>
      <c r="G58" s="518"/>
      <c r="H58" s="518"/>
      <c r="I58" s="518"/>
      <c r="J58" s="83"/>
      <c r="K58" s="125"/>
    </row>
    <row r="59" spans="1:11" ht="15" customHeight="1" x14ac:dyDescent="0.25">
      <c r="A59" s="77"/>
      <c r="B59" s="85"/>
      <c r="C59" s="98" t="s">
        <v>6</v>
      </c>
      <c r="D59" s="98"/>
      <c r="E59" s="98"/>
      <c r="F59" s="98"/>
      <c r="G59" s="98"/>
      <c r="H59" s="100"/>
      <c r="I59" s="98"/>
      <c r="J59" s="83"/>
      <c r="K59" s="77"/>
    </row>
    <row r="60" spans="1:11" ht="99.95" customHeight="1" x14ac:dyDescent="0.25">
      <c r="A60" s="77"/>
      <c r="B60" s="85"/>
      <c r="C60" s="718" t="str">
        <f>INDEX(VL_TDM!$AG$11:$AG$41,MATCH($A$4,VL_TDM!$B$11:$B$41,0),1)</f>
        <v>(1)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v>
      </c>
      <c r="D60" s="789"/>
      <c r="E60" s="789"/>
      <c r="F60" s="789"/>
      <c r="G60" s="789"/>
      <c r="H60" s="789"/>
      <c r="I60" s="789"/>
      <c r="J60" s="83"/>
      <c r="K60" s="77"/>
    </row>
    <row r="61" spans="1:11" ht="15" customHeight="1" x14ac:dyDescent="0.25">
      <c r="A61" s="77"/>
      <c r="B61" s="101"/>
      <c r="C61" s="226"/>
      <c r="D61" s="226"/>
      <c r="E61" s="226"/>
      <c r="F61" s="226"/>
      <c r="G61" s="226"/>
      <c r="H61" s="471"/>
      <c r="I61" s="226"/>
      <c r="J61" s="472"/>
      <c r="K61" s="77"/>
    </row>
    <row r="62" spans="1:11" ht="22.35" customHeight="1" x14ac:dyDescent="0.25">
      <c r="A62" s="77"/>
      <c r="B62" s="77"/>
      <c r="C62" s="77"/>
      <c r="D62" s="77"/>
      <c r="E62" s="77"/>
      <c r="F62" s="78"/>
      <c r="G62" s="78"/>
      <c r="H62" s="78"/>
      <c r="I62" s="78"/>
      <c r="J62" s="77"/>
      <c r="K62" s="77"/>
    </row>
  </sheetData>
  <sheetProtection algorithmName="SHA-512" hashValue="7AKkz01TJ+Nu2fAicfAGZCfFw4yHhVJ8hVOao3JbdXPaVz4R1S0B/4wKmjo2oArlx/iPJBVzlVwmfZR5ayUhcw==" saltValue="dOS7pkb6INq5iMBMUVPIcA==" spinCount="100000" sheet="1" objects="1" scenarios="1" selectLockedCells="1"/>
  <mergeCells count="13">
    <mergeCell ref="C60:I60"/>
    <mergeCell ref="B4:J4"/>
    <mergeCell ref="C10:I10"/>
    <mergeCell ref="E12:F12"/>
    <mergeCell ref="H13:I13"/>
    <mergeCell ref="C28:D28"/>
    <mergeCell ref="E42:F42"/>
    <mergeCell ref="C44:D44"/>
    <mergeCell ref="C46:D46"/>
    <mergeCell ref="C48:D48"/>
    <mergeCell ref="C57:I57"/>
    <mergeCell ref="C52:D52"/>
    <mergeCell ref="H14:I14"/>
  </mergeCells>
  <conditionalFormatting sqref="F55">
    <cfRule type="expression" dxfId="19" priority="28">
      <formula>-ROUND($D$8,3)=ROUND($F$55,3)</formula>
    </cfRule>
    <cfRule type="expression" dxfId="18" priority="29">
      <formula>AND(F55&lt;&gt;"",F55&gt;0)</formula>
    </cfRule>
  </conditionalFormatting>
  <dataValidations count="2">
    <dataValidation type="decimal" allowBlank="1" showErrorMessage="1" error="Value must be between 0 and 30,000." promptTitle="Restriction" prompt="Annual Average Daily Traffic (two-way traffic volume in trips/day on road parallel to proposed bike lane) cannot exceed 30,000 (2)." sqref="F28 F30 F32 F38 F40" xr:uid="{00000000-0002-0000-1100-000000000000}">
      <formula1>0</formula1>
      <formula2>30000</formula2>
    </dataValidation>
    <dataValidation type="decimal" operator="greaterThanOrEqual" allowBlank="1" showErrorMessage="1" errorTitle="Restriction" error="Value must not be negative_x000a_" promptTitle="Option" prompt="The user may override the above default community SOV mode share in this cell. Leave blank otherwise." sqref="F24 F18" xr:uid="{00000000-0002-0000-1100-000001000000}">
      <formula1>0</formula1>
    </dataValidation>
  </dataValidations>
  <hyperlinks>
    <hyperlink ref="I7" location="Results!A1" display="Results Summary" xr:uid="{00000000-0004-0000-1100-000000000000}"/>
    <hyperlink ref="I6" location="Main!L65" display="Return to Main É" xr:uid="{00000000-0004-0000-1100-000001000000}"/>
    <hyperlink ref="I42" r:id="rId1" display="Info on faciility types" xr:uid="{1C9D5728-D743-4700-A5E9-8CB76C7713C9}"/>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0355" r:id="rId5" name="Check Box 3">
              <controlPr defaultSize="0" autoFill="0" autoLine="0" autoPict="0" altText="Exclude From Results Summary">
                <anchor moveWithCells="1">
                  <from>
                    <xdr:col>7</xdr:col>
                    <xdr:colOff>0</xdr:colOff>
                    <xdr:row>53</xdr:row>
                    <xdr:rowOff>66675</xdr:rowOff>
                  </from>
                  <to>
                    <xdr:col>8</xdr:col>
                    <xdr:colOff>9525</xdr:colOff>
                    <xdr:row>55</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00000000-0002-0000-1100-000002000000}">
          <x14:formula1>
            <xm:f>VL_REF!$BY$11:$BY$13</xm:f>
          </x14:formula1>
          <xm:sqref>E12:F12</xm:sqref>
        </x14:dataValidation>
        <x14:dataValidation type="list" allowBlank="1" showInputMessage="1" showErrorMessage="1" xr:uid="{1BA91F23-F242-43B0-AA08-F3EFC2A0F0A3}">
          <x14:formula1>
            <xm:f>VL_REF!$AW$11:$AW$14</xm:f>
          </x14:formula1>
          <xm:sqref>E42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000099"/>
  </sheetPr>
  <dimension ref="A1:Q41"/>
  <sheetViews>
    <sheetView showGridLines="0" showRowColHeaders="0" topLeftCell="A3" zoomScaleNormal="100" workbookViewId="0">
      <selection activeCell="F12" sqref="F12"/>
    </sheetView>
  </sheetViews>
  <sheetFormatPr defaultColWidth="0" defaultRowHeight="15" zeroHeight="1" x14ac:dyDescent="0.25"/>
  <cols>
    <col min="1" max="1" width="4.42578125" style="115" customWidth="1"/>
    <col min="2" max="2" width="8.85546875" style="115" customWidth="1"/>
    <col min="3" max="3" width="22" style="115" customWidth="1"/>
    <col min="4" max="4" width="49" style="115" customWidth="1"/>
    <col min="5" max="5" width="17.42578125" style="115" customWidth="1"/>
    <col min="6" max="6" width="10.5703125" style="115" customWidth="1"/>
    <col min="7" max="7" width="6" style="115" customWidth="1"/>
    <col min="8" max="8" width="18.5703125" style="116" customWidth="1"/>
    <col min="9" max="9" width="17.5703125" style="115" customWidth="1"/>
    <col min="10" max="10" width="8.85546875" style="115" customWidth="1"/>
    <col min="11" max="11" width="4.5703125" style="115" customWidth="1"/>
    <col min="12" max="13" width="14.5703125" style="92" hidden="1" customWidth="1"/>
    <col min="14" max="17" width="0" style="92" hidden="1" customWidth="1"/>
    <col min="18" max="16384" width="8.85546875" style="92" hidden="1"/>
  </cols>
  <sheetData>
    <row r="1" spans="1:11" hidden="1" x14ac:dyDescent="0.25">
      <c r="A1" s="77"/>
      <c r="B1" s="77"/>
      <c r="C1" s="77"/>
      <c r="D1" s="77"/>
      <c r="E1" s="77"/>
      <c r="F1" s="77"/>
      <c r="G1" s="77"/>
      <c r="H1" s="103"/>
      <c r="I1" s="77"/>
      <c r="J1" s="77"/>
      <c r="K1" s="77"/>
    </row>
    <row r="2" spans="1:11" hidden="1" x14ac:dyDescent="0.25">
      <c r="A2" s="77"/>
      <c r="B2" s="77"/>
      <c r="C2" s="77"/>
      <c r="D2" s="77"/>
      <c r="E2" s="77"/>
      <c r="F2" s="77"/>
      <c r="G2" s="77"/>
      <c r="H2" s="103"/>
      <c r="I2" s="77"/>
      <c r="J2" s="77"/>
      <c r="K2" s="77"/>
    </row>
    <row r="3" spans="1:11" ht="22.35" customHeight="1" x14ac:dyDescent="0.25">
      <c r="A3" s="77"/>
      <c r="B3" s="51"/>
      <c r="C3" s="77"/>
      <c r="D3" s="77"/>
      <c r="E3" s="77"/>
      <c r="F3" s="77"/>
      <c r="G3" s="77"/>
      <c r="H3" s="103"/>
      <c r="I3" s="77"/>
      <c r="J3" s="77"/>
      <c r="K3" s="77"/>
    </row>
    <row r="4" spans="1:11" ht="18.75" x14ac:dyDescent="0.25">
      <c r="A4" s="239" t="s">
        <v>43</v>
      </c>
      <c r="B4" s="788" t="str">
        <f>A4&amp;". "&amp;INDEX(VL_TDM!$E$11:$E$41,MATCH($A$4,VL_TDM!$B$11:$B$41,0),1)</f>
        <v>4E. Bikeshare</v>
      </c>
      <c r="C4" s="722"/>
      <c r="D4" s="722"/>
      <c r="E4" s="722"/>
      <c r="F4" s="722"/>
      <c r="G4" s="722"/>
      <c r="H4" s="722"/>
      <c r="I4" s="722"/>
      <c r="J4" s="723"/>
      <c r="K4" s="77"/>
    </row>
    <row r="5" spans="1:11" ht="15" customHeight="1" x14ac:dyDescent="0.25">
      <c r="A5" s="77"/>
      <c r="B5" s="85"/>
      <c r="C5" s="110"/>
      <c r="D5" s="110"/>
      <c r="E5" s="110"/>
      <c r="F5" s="110"/>
      <c r="G5" s="98"/>
      <c r="H5" s="100"/>
      <c r="I5" s="98"/>
      <c r="J5" s="83"/>
      <c r="K5" s="77"/>
    </row>
    <row r="6" spans="1:11" ht="15" customHeight="1" x14ac:dyDescent="0.25">
      <c r="A6" s="77"/>
      <c r="B6" s="85"/>
      <c r="C6" s="98" t="s">
        <v>1</v>
      </c>
      <c r="D6" s="462" t="str">
        <f>INDEX(VL_TDM!$AC$11:$AC$41,MATCH($A$4,VL_TDM!$B$11:$B$41,0),1)</f>
        <v>Neighborhood/City</v>
      </c>
      <c r="E6" s="100"/>
      <c r="F6" s="100"/>
      <c r="G6" s="100"/>
      <c r="H6" s="100"/>
      <c r="I6" s="617" t="s">
        <v>89</v>
      </c>
      <c r="J6" s="83"/>
      <c r="K6" s="77"/>
    </row>
    <row r="7" spans="1:11" ht="15" customHeight="1" x14ac:dyDescent="0.25">
      <c r="A7" s="77"/>
      <c r="B7" s="85"/>
      <c r="C7" s="109" t="s">
        <v>2</v>
      </c>
      <c r="D7" s="113" t="str">
        <f>INDEX(VL_TDM!$AD$11:$AD$41,MATCH($A$4,VL_TDM!$B$11:$B$41,0),1)</f>
        <v>All neighborhood/city trips</v>
      </c>
      <c r="E7" s="100"/>
      <c r="F7" s="100"/>
      <c r="G7" s="100"/>
      <c r="H7" s="98"/>
      <c r="I7" s="617" t="s">
        <v>105</v>
      </c>
      <c r="J7" s="83"/>
      <c r="K7" s="77"/>
    </row>
    <row r="8" spans="1:11" ht="15" customHeight="1" x14ac:dyDescent="0.25">
      <c r="A8" s="77"/>
      <c r="B8" s="85"/>
      <c r="C8" s="109" t="s">
        <v>149</v>
      </c>
      <c r="D8" s="114">
        <f>INDEX(VL_TDM!$AE$11:$AE$41,MATCH($A$4,VL_TDM!$B$11:$B$41,0),1)</f>
        <v>1E-3</v>
      </c>
      <c r="E8" s="110"/>
      <c r="F8" s="110"/>
      <c r="G8" s="98"/>
      <c r="H8" s="100"/>
      <c r="I8" s="98"/>
      <c r="J8" s="83"/>
      <c r="K8" s="77"/>
    </row>
    <row r="9" spans="1:11" ht="15" customHeight="1" x14ac:dyDescent="0.25">
      <c r="A9" s="77"/>
      <c r="B9" s="85"/>
      <c r="C9" s="98"/>
      <c r="D9" s="98"/>
      <c r="E9" s="98"/>
      <c r="F9" s="98"/>
      <c r="G9" s="98"/>
      <c r="H9" s="100"/>
      <c r="I9" s="98"/>
      <c r="J9" s="83"/>
      <c r="K9" s="77"/>
    </row>
    <row r="10" spans="1:11" ht="90" customHeight="1" x14ac:dyDescent="0.25">
      <c r="A10" s="77"/>
      <c r="B10" s="85"/>
      <c r="C10" s="724" t="str">
        <f>INDEX(VL_TDM!$AF$11:$AF$41,MATCH($A$4,VL_TDM!$B$11:$B$41,0),1)</f>
        <v>This strategy will establish a bikeshare program. Bikeshare programs provide users with on-demand access to bikes for short-term rentals. This encourages a mode shift from vehicles to bicycles, displacing VMT and thus reducing GHG emissions. There are two primary types of pedal bikeshare programs: docked (station-based) and dockless (free-floating). When implementing a bikeshare program, a best practice is to discount bikeshare membership and dedicate bikeshare parking to encourage use of the service.</v>
      </c>
      <c r="D10" s="710"/>
      <c r="E10" s="710"/>
      <c r="F10" s="710"/>
      <c r="G10" s="710"/>
      <c r="H10" s="710"/>
      <c r="I10" s="710"/>
      <c r="J10" s="83"/>
      <c r="K10" s="77"/>
    </row>
    <row r="11" spans="1:11" ht="15" customHeight="1" x14ac:dyDescent="0.25">
      <c r="A11" s="77"/>
      <c r="B11" s="85"/>
      <c r="C11" s="98"/>
      <c r="D11" s="98"/>
      <c r="E11" s="98"/>
      <c r="F11" s="98"/>
      <c r="G11" s="98"/>
      <c r="H11" s="100"/>
      <c r="I11" s="98"/>
      <c r="J11" s="83"/>
      <c r="K11" s="77"/>
    </row>
    <row r="12" spans="1:11" ht="15" customHeight="1" x14ac:dyDescent="0.25">
      <c r="A12" s="77"/>
      <c r="B12" s="85"/>
      <c r="C12" s="104" t="s">
        <v>724</v>
      </c>
      <c r="D12" s="261"/>
      <c r="E12" s="98"/>
      <c r="F12" s="72"/>
      <c r="G12" s="100"/>
      <c r="H12" s="262" t="s">
        <v>0</v>
      </c>
      <c r="I12" s="98"/>
      <c r="J12" s="83"/>
      <c r="K12" s="78"/>
    </row>
    <row r="13" spans="1:11" ht="7.35" customHeight="1" x14ac:dyDescent="0.25">
      <c r="A13" s="77"/>
      <c r="B13" s="85"/>
      <c r="C13" s="104"/>
      <c r="D13" s="261"/>
      <c r="E13" s="98"/>
      <c r="F13" s="98"/>
      <c r="G13" s="100"/>
      <c r="H13" s="263"/>
      <c r="I13" s="98"/>
      <c r="J13" s="83"/>
      <c r="K13" s="77"/>
    </row>
    <row r="14" spans="1:11" ht="15" customHeight="1" x14ac:dyDescent="0.25">
      <c r="A14" s="77"/>
      <c r="B14" s="85"/>
      <c r="C14" s="104" t="s">
        <v>725</v>
      </c>
      <c r="D14" s="262"/>
      <c r="E14" s="465"/>
      <c r="F14" s="72"/>
      <c r="G14" s="100"/>
      <c r="H14" s="262" t="s">
        <v>0</v>
      </c>
      <c r="I14" s="98"/>
      <c r="J14" s="83"/>
      <c r="K14" s="78"/>
    </row>
    <row r="15" spans="1:11" ht="7.35" customHeight="1" x14ac:dyDescent="0.25">
      <c r="A15" s="77"/>
      <c r="B15" s="85"/>
      <c r="C15" s="104"/>
      <c r="D15" s="261"/>
      <c r="E15" s="98"/>
      <c r="F15" s="98"/>
      <c r="G15" s="100"/>
      <c r="H15" s="263"/>
      <c r="I15" s="98"/>
      <c r="J15" s="83"/>
      <c r="K15" s="77"/>
    </row>
    <row r="16" spans="1:11" ht="15" customHeight="1" x14ac:dyDescent="0.25">
      <c r="A16" s="77"/>
      <c r="B16" s="85"/>
      <c r="C16" s="104" t="s">
        <v>558</v>
      </c>
      <c r="D16" s="261"/>
      <c r="E16" s="465"/>
      <c r="F16" s="561">
        <v>2.1000000000000001E-2</v>
      </c>
      <c r="G16" s="100"/>
      <c r="H16" s="262" t="s">
        <v>877</v>
      </c>
      <c r="I16" s="98"/>
      <c r="J16" s="83"/>
      <c r="K16" s="78"/>
    </row>
    <row r="17" spans="1:11" ht="7.35" customHeight="1" x14ac:dyDescent="0.25">
      <c r="A17" s="77"/>
      <c r="B17" s="85"/>
      <c r="C17" s="104"/>
      <c r="D17" s="261"/>
      <c r="E17" s="98"/>
      <c r="F17" s="98"/>
      <c r="G17" s="100"/>
      <c r="H17" s="263"/>
      <c r="I17" s="98"/>
      <c r="J17" s="83"/>
      <c r="K17" s="77"/>
    </row>
    <row r="18" spans="1:11" ht="15" customHeight="1" x14ac:dyDescent="0.25">
      <c r="A18" s="77"/>
      <c r="B18" s="85"/>
      <c r="C18" s="104" t="s">
        <v>561</v>
      </c>
      <c r="D18" s="261"/>
      <c r="E18" s="262"/>
      <c r="F18" s="560">
        <v>2.7</v>
      </c>
      <c r="G18" s="100"/>
      <c r="H18" s="262" t="s">
        <v>876</v>
      </c>
      <c r="I18" s="98"/>
      <c r="J18" s="83"/>
      <c r="K18" s="78"/>
    </row>
    <row r="19" spans="1:11" ht="7.35" customHeight="1" x14ac:dyDescent="0.25">
      <c r="A19" s="77"/>
      <c r="B19" s="85"/>
      <c r="C19" s="104"/>
      <c r="D19" s="261"/>
      <c r="E19" s="262"/>
      <c r="F19" s="562"/>
      <c r="G19" s="100"/>
      <c r="H19" s="109"/>
      <c r="I19" s="98"/>
      <c r="J19" s="83"/>
      <c r="K19" s="77"/>
    </row>
    <row r="20" spans="1:11" ht="15" customHeight="1" x14ac:dyDescent="0.25">
      <c r="A20" s="77"/>
      <c r="B20" s="85"/>
      <c r="C20" s="104" t="s">
        <v>714</v>
      </c>
      <c r="D20" s="261"/>
      <c r="E20" s="262"/>
      <c r="F20" s="560" t="e">
        <f>IF(K20="Use Capcoa 2021",VL_REF!$U$3,INDEX(VL_TAZ!$O$9:$AD$9,1,MATCH($C20,VL_TAZ!$O$10:$AD$10,0)))</f>
        <v>#N/A</v>
      </c>
      <c r="G20" s="100"/>
      <c r="H20" s="98" t="str">
        <f>CONCATENATE("Alameda CTC model",IF(NOT(ISBLANK(F22)),", overridden",""))</f>
        <v>Alameda CTC model</v>
      </c>
      <c r="I20" s="98"/>
      <c r="J20" s="83"/>
      <c r="K20" s="239" t="s">
        <v>683</v>
      </c>
    </row>
    <row r="21" spans="1:11" ht="7.35" customHeight="1" x14ac:dyDescent="0.25">
      <c r="A21" s="77"/>
      <c r="B21" s="85"/>
      <c r="C21" s="104"/>
      <c r="D21" s="261"/>
      <c r="E21" s="262"/>
      <c r="F21" s="98"/>
      <c r="G21" s="100"/>
      <c r="H21" s="263"/>
      <c r="I21" s="98"/>
      <c r="J21" s="83"/>
      <c r="K21" s="239"/>
    </row>
    <row r="22" spans="1:11" ht="15" customHeight="1" x14ac:dyDescent="0.25">
      <c r="A22" s="77"/>
      <c r="B22" s="85"/>
      <c r="C22" s="104" t="s">
        <v>715</v>
      </c>
      <c r="D22" s="98"/>
      <c r="E22" s="262"/>
      <c r="F22" s="62"/>
      <c r="G22" s="100"/>
      <c r="H22" s="265" t="s">
        <v>11</v>
      </c>
      <c r="I22" s="98"/>
      <c r="J22" s="83"/>
      <c r="K22" s="239"/>
    </row>
    <row r="23" spans="1:11" ht="7.35" customHeight="1" x14ac:dyDescent="0.25">
      <c r="A23" s="77"/>
      <c r="B23" s="85"/>
      <c r="C23" s="104"/>
      <c r="D23" s="98"/>
      <c r="E23" s="262"/>
      <c r="F23" s="98"/>
      <c r="G23" s="100"/>
      <c r="H23" s="98"/>
      <c r="I23" s="98"/>
      <c r="J23" s="83"/>
      <c r="K23" s="239"/>
    </row>
    <row r="24" spans="1:11" x14ac:dyDescent="0.25">
      <c r="A24" s="77"/>
      <c r="B24" s="85"/>
      <c r="C24" s="104" t="s">
        <v>717</v>
      </c>
      <c r="D24" s="98"/>
      <c r="E24" s="262"/>
      <c r="F24" s="529" t="e">
        <f>IF(ISBLANK(F22),F20,F22)</f>
        <v>#N/A</v>
      </c>
      <c r="G24" s="100"/>
      <c r="H24" s="109" t="s">
        <v>10</v>
      </c>
      <c r="I24" s="98"/>
      <c r="J24" s="83"/>
      <c r="K24" s="240"/>
    </row>
    <row r="25" spans="1:11" ht="7.35" customHeight="1" x14ac:dyDescent="0.25">
      <c r="A25" s="77"/>
      <c r="B25" s="85"/>
      <c r="C25" s="104"/>
      <c r="D25" s="98"/>
      <c r="E25" s="262"/>
      <c r="F25" s="100"/>
      <c r="G25" s="100"/>
      <c r="H25" s="109"/>
      <c r="I25" s="98"/>
      <c r="J25" s="83"/>
      <c r="K25" s="239"/>
    </row>
    <row r="26" spans="1:11" ht="15" customHeight="1" x14ac:dyDescent="0.25">
      <c r="A26" s="77"/>
      <c r="B26" s="85"/>
      <c r="C26" s="104" t="s">
        <v>712</v>
      </c>
      <c r="D26" s="261"/>
      <c r="E26" s="262"/>
      <c r="F26" s="560" t="e">
        <f>IF(K26="Use Capcoa 2021",1.4,INDEX(VL_TAZ!$O$9:$AD$9,1,MATCH($C26,VL_TAZ!$O$10:$AD$10,0)))</f>
        <v>#N/A</v>
      </c>
      <c r="G26" s="100"/>
      <c r="H26" s="98" t="str">
        <f>CONCATENATE("Alameda CTC model",IF(NOT(ISBLANK(F28)),", overridden",""))</f>
        <v>Alameda CTC model</v>
      </c>
      <c r="I26" s="98"/>
      <c r="J26" s="83"/>
      <c r="K26" s="239" t="s">
        <v>683</v>
      </c>
    </row>
    <row r="27" spans="1:11" ht="7.35" customHeight="1" x14ac:dyDescent="0.25">
      <c r="A27" s="77"/>
      <c r="B27" s="85"/>
      <c r="C27" s="104"/>
      <c r="D27" s="261"/>
      <c r="E27" s="98"/>
      <c r="F27" s="98"/>
      <c r="G27" s="100"/>
      <c r="H27" s="263"/>
      <c r="I27" s="98"/>
      <c r="J27" s="83"/>
      <c r="K27" s="77"/>
    </row>
    <row r="28" spans="1:11" ht="15" customHeight="1" x14ac:dyDescent="0.25">
      <c r="A28" s="77"/>
      <c r="B28" s="85"/>
      <c r="C28" s="104" t="s">
        <v>711</v>
      </c>
      <c r="D28" s="261"/>
      <c r="E28" s="98"/>
      <c r="F28" s="63"/>
      <c r="G28" s="100"/>
      <c r="H28" s="265" t="s">
        <v>11</v>
      </c>
      <c r="I28" s="98"/>
      <c r="J28" s="83"/>
      <c r="K28" s="77"/>
    </row>
    <row r="29" spans="1:11" ht="7.35" customHeight="1" x14ac:dyDescent="0.25">
      <c r="A29" s="77"/>
      <c r="B29" s="85"/>
      <c r="C29" s="104"/>
      <c r="D29" s="261"/>
      <c r="E29" s="98"/>
      <c r="F29" s="98"/>
      <c r="G29" s="100"/>
      <c r="H29" s="98"/>
      <c r="I29" s="98"/>
      <c r="J29" s="83"/>
      <c r="K29" s="77"/>
    </row>
    <row r="30" spans="1:11" ht="15" customHeight="1" x14ac:dyDescent="0.25">
      <c r="A30" s="77"/>
      <c r="B30" s="85"/>
      <c r="C30" s="104" t="s">
        <v>713</v>
      </c>
      <c r="D30" s="261"/>
      <c r="E30" s="98"/>
      <c r="F30" s="529" t="e">
        <f>IF(ISBLANK(F28),F26,F28)</f>
        <v>#N/A</v>
      </c>
      <c r="G30" s="98"/>
      <c r="H30" s="109" t="s">
        <v>10</v>
      </c>
      <c r="I30" s="98"/>
      <c r="J30" s="83"/>
      <c r="K30" s="78"/>
    </row>
    <row r="31" spans="1:11" ht="15" customHeight="1" x14ac:dyDescent="0.25">
      <c r="A31" s="77"/>
      <c r="B31" s="85"/>
      <c r="C31" s="104"/>
      <c r="D31" s="261"/>
      <c r="E31" s="98"/>
      <c r="F31" s="98"/>
      <c r="G31" s="100"/>
      <c r="H31" s="263"/>
      <c r="I31" s="98"/>
      <c r="J31" s="83"/>
      <c r="K31" s="77"/>
    </row>
    <row r="32" spans="1:11" ht="15" customHeight="1" x14ac:dyDescent="0.25">
      <c r="A32" s="77"/>
      <c r="B32" s="85"/>
      <c r="C32" s="104" t="s">
        <v>559</v>
      </c>
      <c r="D32" s="261"/>
      <c r="E32" s="98"/>
      <c r="F32" s="563">
        <v>50</v>
      </c>
      <c r="G32" s="100"/>
      <c r="H32" s="262" t="s">
        <v>863</v>
      </c>
      <c r="I32" s="98"/>
      <c r="J32" s="83"/>
      <c r="K32" s="78"/>
    </row>
    <row r="33" spans="1:17" ht="26.25" customHeight="1" x14ac:dyDescent="0.25">
      <c r="A33" s="77"/>
      <c r="B33" s="85"/>
      <c r="C33" s="104"/>
      <c r="D33" s="261"/>
      <c r="E33" s="98"/>
      <c r="F33" s="98"/>
      <c r="G33" s="100"/>
      <c r="H33" s="263"/>
      <c r="I33" s="98"/>
      <c r="J33" s="83"/>
      <c r="K33" s="77"/>
    </row>
    <row r="34" spans="1:17" ht="15" customHeight="1" x14ac:dyDescent="0.25">
      <c r="A34" s="77"/>
      <c r="B34" s="85"/>
      <c r="C34" s="104" t="s">
        <v>5</v>
      </c>
      <c r="D34" s="261"/>
      <c r="E34" s="262"/>
      <c r="F34" s="129" t="str">
        <f>IF(OR(F12="",F14=""),"",IFERROR(MAX(-D8,-1*(((F14-F12)*F16*F32*F30)/(F18*F24))),""))</f>
        <v/>
      </c>
      <c r="G34" s="470"/>
      <c r="H34" s="53" t="b">
        <v>0</v>
      </c>
      <c r="I34" s="207" t="str">
        <f>IF(OR(H34=TRUE,F34=""),"Not Active","Active")</f>
        <v>Not Active</v>
      </c>
      <c r="J34" s="83"/>
      <c r="K34" s="77"/>
    </row>
    <row r="35" spans="1:17" ht="15" customHeight="1" x14ac:dyDescent="0.25">
      <c r="A35" s="77"/>
      <c r="B35" s="85"/>
      <c r="C35" s="98"/>
      <c r="D35" s="98"/>
      <c r="E35" s="98"/>
      <c r="F35" s="98"/>
      <c r="G35" s="98"/>
      <c r="H35" s="100"/>
      <c r="I35" s="98"/>
      <c r="J35" s="83"/>
      <c r="K35" s="77"/>
    </row>
    <row r="36" spans="1:17" ht="51.95" customHeight="1" x14ac:dyDescent="0.25">
      <c r="A36" s="77"/>
      <c r="B36" s="85"/>
      <c r="C36" s="763" t="str">
        <f>"Formula:  % Change in VMT =  " &amp; SUBSTITUTE("-1*((( " &amp; C14 &amp; " - " &amp; C12 &amp; " )* " &amp; C16 &amp; " * " &amp; C32 &amp; " * " &amp; C30 &amp; " )/( " &amp; C18 &amp; " * " &amp; C24 &amp; " ))"," used for calculation","")</f>
        <v>Formula:  % Change in VMT =  -1*((( % of residences in neighborhood/city with access to bikeshare system with strategy - % of residences in neighborhood/city with access to bikeshare system without strategy )* Daily bikeshare trips per person * Vehicle to bikeshare substitution rate * One-way bicycle trip length (miles) )/( Daily vehicle trips per person * One-way vehicle trip length in neighborhood/city (miles) ))</v>
      </c>
      <c r="D36" s="792"/>
      <c r="E36" s="792"/>
      <c r="F36" s="792"/>
      <c r="G36" s="792"/>
      <c r="H36" s="792"/>
      <c r="I36" s="793"/>
      <c r="J36" s="83"/>
      <c r="K36" s="77"/>
    </row>
    <row r="37" spans="1:17" ht="15" customHeight="1" x14ac:dyDescent="0.25">
      <c r="A37" s="77"/>
      <c r="B37" s="85"/>
      <c r="C37" s="98"/>
      <c r="D37" s="98"/>
      <c r="E37" s="98"/>
      <c r="F37" s="98"/>
      <c r="G37" s="98"/>
      <c r="H37" s="100"/>
      <c r="I37" s="98"/>
      <c r="J37" s="83"/>
      <c r="K37" s="77"/>
    </row>
    <row r="38" spans="1:17" ht="15" customHeight="1" x14ac:dyDescent="0.25">
      <c r="A38" s="77"/>
      <c r="B38" s="85"/>
      <c r="C38" s="98" t="s">
        <v>6</v>
      </c>
      <c r="D38" s="98"/>
      <c r="E38" s="98"/>
      <c r="F38" s="98"/>
      <c r="G38" s="98"/>
      <c r="H38" s="100"/>
      <c r="I38" s="98"/>
      <c r="J38" s="83"/>
      <c r="K38" s="77"/>
    </row>
    <row r="39" spans="1:17" ht="270" customHeight="1" x14ac:dyDescent="0.25">
      <c r="A39" s="77"/>
      <c r="B39" s="85"/>
      <c r="C39" s="747" t="str">
        <f>INDEX(VL_TDM!$AG$11:$AG$41,MATCH($A$4,VL_TDM!$B$11:$B$41,0),1)</f>
        <v>(1)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v>
      </c>
      <c r="D39" s="719"/>
      <c r="E39" s="719"/>
      <c r="F39" s="719"/>
      <c r="G39" s="719"/>
      <c r="H39" s="719"/>
      <c r="I39" s="719"/>
      <c r="J39" s="83"/>
      <c r="K39" s="77"/>
    </row>
    <row r="40" spans="1:17" ht="15" customHeight="1" x14ac:dyDescent="0.25">
      <c r="A40" s="77"/>
      <c r="B40" s="101"/>
      <c r="C40" s="564"/>
      <c r="D40" s="564"/>
      <c r="E40" s="564"/>
      <c r="F40" s="564"/>
      <c r="G40" s="565"/>
      <c r="H40" s="565"/>
      <c r="I40" s="565"/>
      <c r="J40" s="472"/>
      <c r="K40" s="77"/>
    </row>
    <row r="41" spans="1:17" ht="22.35" customHeight="1" x14ac:dyDescent="0.25">
      <c r="A41" s="77"/>
      <c r="B41" s="77"/>
      <c r="C41" s="77"/>
      <c r="D41" s="77"/>
      <c r="E41" s="77"/>
      <c r="F41" s="77"/>
      <c r="G41" s="77"/>
      <c r="H41" s="103"/>
      <c r="I41" s="77"/>
      <c r="J41" s="77"/>
      <c r="K41" s="77"/>
      <c r="Q41" s="566"/>
    </row>
  </sheetData>
  <sheetProtection algorithmName="SHA-512" hashValue="bMbm3w4KPcoYaI9GIi5F7PxfGFsPb885GwA9CXNso8TTIK1tEH0Z7IdjOGwfLDTrQs1WgL24gbRlUMO483aj0Q==" saltValue="wkB8MSastZimj9IXCYJvUg==" spinCount="100000" sheet="1" objects="1" scenarios="1" selectLockedCells="1"/>
  <mergeCells count="4">
    <mergeCell ref="B4:J4"/>
    <mergeCell ref="C10:I10"/>
    <mergeCell ref="C36:I36"/>
    <mergeCell ref="C39:I39"/>
  </mergeCells>
  <conditionalFormatting sqref="F34">
    <cfRule type="expression" dxfId="17" priority="20">
      <formula>-ROUND($D$8,3)=ROUND($F$34,3)</formula>
    </cfRule>
    <cfRule type="expression" dxfId="16" priority="24">
      <formula>AND(F34&lt;&gt;"",F34&gt;0)</formula>
    </cfRule>
  </conditionalFormatting>
  <dataValidations count="3">
    <dataValidation type="decimal" allowBlank="1" showErrorMessage="1" errorTitle="Restriction" error="Value must be between 0% and 100%_x000a_" promptTitle="Restriction" prompt="Value must be between 0% and 100%_x000a_" sqref="F14 F12" xr:uid="{00000000-0002-0000-1200-000000000000}">
      <formula1>0</formula1>
      <formula2>1</formula2>
    </dataValidation>
    <dataValidation type="decimal" operator="greaterThanOrEqual" allowBlank="1" showErrorMessage="1" errorTitle="Restriction" error="Value must not be negative" promptTitle="Option" prompt="The user may override the above default community SOV mode share in this cell. Leave blank otherwise." sqref="F22" xr:uid="{00000000-0002-0000-1200-000001000000}">
      <formula1>0</formula1>
    </dataValidation>
    <dataValidation type="decimal" operator="greaterThanOrEqual" allowBlank="1" showErrorMessage="1" errorTitle="Restriction" error="Value must not be negative_x000a_" promptTitle="Option" prompt="The user may override the above default community SOV mode share in this cell. Leave blank otherwise." sqref="F28" xr:uid="{844046A6-63DE-4C26-84F9-DEF5AE30348C}">
      <formula1>0</formula1>
    </dataValidation>
  </dataValidations>
  <hyperlinks>
    <hyperlink ref="I7" location="Results!A1" display="Results Summary" xr:uid="{00000000-0004-0000-1200-000001000000}"/>
    <hyperlink ref="I6" location="Main!L65" display="Return to Main É" xr:uid="{00000000-0004-0000-1200-000002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9" r:id="rId4" name="Check Box 5">
              <controlPr defaultSize="0" autoFill="0" autoLine="0" autoPict="0" altText="Exclude From Results Summary">
                <anchor moveWithCells="1">
                  <from>
                    <xdr:col>7</xdr:col>
                    <xdr:colOff>0</xdr:colOff>
                    <xdr:row>32</xdr:row>
                    <xdr:rowOff>333375</xdr:rowOff>
                  </from>
                  <to>
                    <xdr:col>8</xdr:col>
                    <xdr:colOff>28575</xdr:colOff>
                    <xdr:row>34</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0099"/>
  </sheetPr>
  <dimension ref="A1:M30"/>
  <sheetViews>
    <sheetView showGridLines="0" showRowColHeaders="0" topLeftCell="A3" zoomScaleNormal="100" workbookViewId="0">
      <selection activeCell="F13" sqref="F13"/>
    </sheetView>
  </sheetViews>
  <sheetFormatPr defaultColWidth="0" defaultRowHeight="15" zeroHeight="1" x14ac:dyDescent="0.25"/>
  <cols>
    <col min="1" max="1" width="4.42578125" style="115" customWidth="1"/>
    <col min="2" max="2" width="8.85546875" style="115" customWidth="1"/>
    <col min="3" max="3" width="20" style="115" customWidth="1"/>
    <col min="4" max="4" width="22" style="115" customWidth="1"/>
    <col min="5" max="5" width="37.5703125" style="115" customWidth="1"/>
    <col min="6" max="6" width="10.5703125" style="115" customWidth="1"/>
    <col min="7" max="7" width="5.5703125" style="115" customWidth="1"/>
    <col min="8" max="8" width="20.42578125" style="116" customWidth="1"/>
    <col min="9" max="9" width="17.5703125" style="115" customWidth="1"/>
    <col min="10" max="10" width="8.85546875" style="115" customWidth="1"/>
    <col min="11" max="11" width="4.5703125" style="115" customWidth="1"/>
    <col min="12" max="13" width="39.42578125" style="92" hidden="1" customWidth="1"/>
    <col min="14" max="16384" width="8.85546875" style="92" hidden="1"/>
  </cols>
  <sheetData>
    <row r="1" spans="1:11" hidden="1" x14ac:dyDescent="0.25">
      <c r="A1" s="77"/>
      <c r="B1" s="77"/>
      <c r="C1" s="77"/>
      <c r="D1" s="77"/>
      <c r="E1" s="77"/>
      <c r="F1" s="77"/>
      <c r="G1" s="77"/>
      <c r="H1" s="103"/>
      <c r="I1" s="77"/>
      <c r="J1" s="77"/>
      <c r="K1" s="77"/>
    </row>
    <row r="2" spans="1:11" hidden="1" x14ac:dyDescent="0.25">
      <c r="A2" s="77"/>
      <c r="B2" s="77"/>
      <c r="C2" s="77"/>
      <c r="D2" s="77"/>
      <c r="E2" s="77"/>
      <c r="F2" s="77"/>
      <c r="G2" s="77"/>
      <c r="H2" s="103"/>
      <c r="I2" s="77"/>
      <c r="J2" s="77"/>
      <c r="K2" s="77"/>
    </row>
    <row r="3" spans="1:11" ht="22.35" customHeight="1" x14ac:dyDescent="0.25">
      <c r="A3" s="77"/>
      <c r="B3" s="51"/>
      <c r="C3" s="77"/>
      <c r="D3" s="77"/>
      <c r="E3" s="77"/>
      <c r="F3" s="77"/>
      <c r="G3" s="77"/>
      <c r="H3" s="103"/>
      <c r="I3" s="77"/>
      <c r="J3" s="77"/>
      <c r="K3" s="77"/>
    </row>
    <row r="4" spans="1:11" ht="18.75" x14ac:dyDescent="0.25">
      <c r="A4" s="239" t="s">
        <v>44</v>
      </c>
      <c r="B4" s="788" t="str">
        <f>A4&amp;". "&amp;INDEX(VL_TDM!$E$11:$E$41,MATCH($A$4,VL_TDM!$B$11:$B$41,0),1)</f>
        <v>4F. Carshare</v>
      </c>
      <c r="C4" s="722"/>
      <c r="D4" s="722"/>
      <c r="E4" s="722"/>
      <c r="F4" s="722"/>
      <c r="G4" s="722"/>
      <c r="H4" s="722"/>
      <c r="I4" s="722"/>
      <c r="J4" s="723"/>
    </row>
    <row r="5" spans="1:11" ht="15" customHeight="1" x14ac:dyDescent="0.25">
      <c r="A5" s="77"/>
      <c r="B5" s="85"/>
      <c r="C5" s="110"/>
      <c r="D5" s="110"/>
      <c r="E5" s="110"/>
      <c r="F5" s="110"/>
      <c r="G5" s="98"/>
      <c r="H5" s="100"/>
      <c r="I5" s="98"/>
      <c r="J5" s="83"/>
      <c r="K5" s="77"/>
    </row>
    <row r="6" spans="1:11" ht="15" customHeight="1" x14ac:dyDescent="0.25">
      <c r="A6" s="77"/>
      <c r="B6" s="85"/>
      <c r="C6" s="98" t="s">
        <v>1</v>
      </c>
      <c r="D6" s="462" t="str">
        <f>INDEX(VL_TDM!$AC$11:$AC$41,MATCH($A$4,VL_TDM!$B$11:$B$41,0),1)</f>
        <v>Neighborhood/City</v>
      </c>
      <c r="E6" s="100"/>
      <c r="F6" s="100"/>
      <c r="G6" s="100"/>
      <c r="H6" s="100"/>
      <c r="I6" s="617" t="s">
        <v>89</v>
      </c>
      <c r="J6" s="83"/>
      <c r="K6" s="77"/>
    </row>
    <row r="7" spans="1:11" ht="15" customHeight="1" x14ac:dyDescent="0.25">
      <c r="A7" s="77"/>
      <c r="B7" s="85"/>
      <c r="C7" s="109" t="s">
        <v>2</v>
      </c>
      <c r="D7" s="113" t="str">
        <f>INDEX(VL_TDM!$AD$11:$AD$41,MATCH($A$4,VL_TDM!$B$11:$B$41,0),1)</f>
        <v>All neighborhood/city trips</v>
      </c>
      <c r="E7" s="100"/>
      <c r="F7" s="100"/>
      <c r="G7" s="100"/>
      <c r="H7" s="98"/>
      <c r="I7" s="617" t="s">
        <v>105</v>
      </c>
      <c r="J7" s="83"/>
      <c r="K7" s="77"/>
    </row>
    <row r="8" spans="1:11" ht="15" customHeight="1" x14ac:dyDescent="0.25">
      <c r="A8" s="77"/>
      <c r="B8" s="85"/>
      <c r="C8" s="109" t="s">
        <v>149</v>
      </c>
      <c r="D8" s="114">
        <f>INDEX(VL_TDM!$AE$11:$AE$41,MATCH($A$4,VL_TDM!$B$11:$B$41,0),1)</f>
        <v>7.0000000000000001E-3</v>
      </c>
      <c r="E8" s="110"/>
      <c r="F8" s="110"/>
      <c r="G8" s="98"/>
      <c r="H8" s="100"/>
      <c r="I8" s="98"/>
      <c r="J8" s="83"/>
      <c r="K8" s="77"/>
    </row>
    <row r="9" spans="1:11" ht="15" customHeight="1" x14ac:dyDescent="0.25">
      <c r="A9" s="77"/>
      <c r="B9" s="85"/>
      <c r="C9" s="98"/>
      <c r="D9" s="98"/>
      <c r="E9" s="98"/>
      <c r="F9" s="98"/>
      <c r="G9" s="98"/>
      <c r="H9" s="100"/>
      <c r="I9" s="98"/>
      <c r="J9" s="83"/>
      <c r="K9" s="77"/>
    </row>
    <row r="10" spans="1:11" ht="80.099999999999994" customHeight="1" x14ac:dyDescent="0.25">
      <c r="A10" s="77"/>
      <c r="B10" s="85"/>
      <c r="C10" s="724" t="str">
        <f>INDEX(VL_TDM!$AF$11:$AF$41,MATCH($A$4,VL_TDM!$B$11:$B$41,0),1)</f>
        <v>This strategy will increase carshare access in the user’s neighborhood/city by deploying carshare vehicles. Carsharing offers people convenient access to a vehicle for personal or commuting purposes. This helps encourage transportation alternatives by reducing vehicle ownership, thereby avoiding VMT and associated GHG emissions. When implementing a carshare program, best practice is to discount carshare membership and provide priority parking for carshare vehicles to encourage use of the service.</v>
      </c>
      <c r="D10" s="710"/>
      <c r="E10" s="710"/>
      <c r="F10" s="710"/>
      <c r="G10" s="710"/>
      <c r="H10" s="710"/>
      <c r="I10" s="710"/>
      <c r="J10" s="83"/>
      <c r="K10" s="77"/>
    </row>
    <row r="11" spans="1:11" ht="15" customHeight="1" x14ac:dyDescent="0.25">
      <c r="A11" s="77"/>
      <c r="B11" s="85"/>
      <c r="C11" s="104"/>
      <c r="D11" s="104"/>
      <c r="E11" s="104"/>
      <c r="F11" s="104"/>
      <c r="G11" s="104"/>
      <c r="H11" s="104"/>
      <c r="I11" s="98"/>
      <c r="J11" s="83"/>
      <c r="K11" s="77"/>
    </row>
    <row r="12" spans="1:11" ht="7.35" customHeight="1" x14ac:dyDescent="0.25">
      <c r="A12" s="77"/>
      <c r="B12" s="85"/>
      <c r="C12" s="555"/>
      <c r="D12" s="109"/>
      <c r="E12" s="98"/>
      <c r="F12" s="98"/>
      <c r="G12" s="100"/>
      <c r="H12" s="263"/>
      <c r="I12" s="98"/>
      <c r="J12" s="83"/>
      <c r="K12" s="77"/>
    </row>
    <row r="13" spans="1:11" ht="15" customHeight="1" x14ac:dyDescent="0.25">
      <c r="A13" s="77"/>
      <c r="B13" s="85"/>
      <c r="C13" s="104" t="str">
        <f>CONCATENATE("% adults in ",jurisdiction," with existing carshare access")</f>
        <v>% adults in  with existing carshare access</v>
      </c>
      <c r="D13" s="256"/>
      <c r="E13" s="567"/>
      <c r="F13" s="65"/>
      <c r="G13" s="100"/>
      <c r="H13" s="568" t="s">
        <v>0</v>
      </c>
      <c r="I13" s="98"/>
      <c r="J13" s="83"/>
      <c r="K13" s="78"/>
    </row>
    <row r="14" spans="1:11" ht="7.35" customHeight="1" x14ac:dyDescent="0.25">
      <c r="A14" s="77"/>
      <c r="B14" s="85"/>
      <c r="C14" s="105"/>
      <c r="D14" s="109"/>
      <c r="E14" s="98"/>
      <c r="F14" s="98"/>
      <c r="G14" s="100"/>
      <c r="H14" s="263"/>
      <c r="I14" s="98"/>
      <c r="J14" s="83"/>
      <c r="K14" s="77"/>
    </row>
    <row r="15" spans="1:11" ht="15" customHeight="1" x14ac:dyDescent="0.25">
      <c r="A15" s="77"/>
      <c r="B15" s="85"/>
      <c r="C15" s="104" t="str">
        <f>CONCATENATE("% adults in ",jurisdiction," with carshare access with strategy")</f>
        <v>% adults in  with carshare access with strategy</v>
      </c>
      <c r="D15" s="256"/>
      <c r="E15" s="567"/>
      <c r="F15" s="65"/>
      <c r="G15" s="100"/>
      <c r="H15" s="108" t="s">
        <v>0</v>
      </c>
      <c r="I15" s="98"/>
      <c r="J15" s="83"/>
      <c r="K15" s="78"/>
    </row>
    <row r="16" spans="1:11" ht="7.35" customHeight="1" x14ac:dyDescent="0.25">
      <c r="A16" s="77"/>
      <c r="B16" s="85"/>
      <c r="C16" s="109"/>
      <c r="D16" s="109"/>
      <c r="E16" s="98"/>
      <c r="F16" s="98"/>
      <c r="G16" s="100"/>
      <c r="H16" s="263"/>
      <c r="I16" s="98"/>
      <c r="J16" s="83"/>
      <c r="K16" s="77"/>
    </row>
    <row r="17" spans="1:11" ht="15" customHeight="1" x14ac:dyDescent="0.25">
      <c r="A17" s="77"/>
      <c r="B17" s="85"/>
      <c r="C17" s="104" t="s">
        <v>175</v>
      </c>
      <c r="D17" s="261"/>
      <c r="E17" s="465"/>
      <c r="F17" s="522" t="str">
        <f>IF(OR(ISBLANK(F13),ISBLANK(F15)),"",(F15-F13))</f>
        <v/>
      </c>
      <c r="G17" s="100"/>
      <c r="H17" s="108" t="s">
        <v>10</v>
      </c>
      <c r="I17" s="98"/>
      <c r="J17" s="83"/>
      <c r="K17" s="77"/>
    </row>
    <row r="18" spans="1:11" ht="7.35" customHeight="1" x14ac:dyDescent="0.25">
      <c r="A18" s="77"/>
      <c r="B18" s="85"/>
      <c r="C18" s="105"/>
      <c r="D18" s="109"/>
      <c r="E18" s="98"/>
      <c r="F18" s="98"/>
      <c r="G18" s="100"/>
      <c r="H18" s="263"/>
      <c r="I18" s="98"/>
      <c r="J18" s="83"/>
      <c r="K18" s="77"/>
    </row>
    <row r="19" spans="1:11" ht="15" customHeight="1" x14ac:dyDescent="0.25">
      <c r="A19" s="77"/>
      <c r="B19" s="85"/>
      <c r="C19" s="104" t="s">
        <v>99</v>
      </c>
      <c r="D19" s="261"/>
      <c r="E19" s="465"/>
      <c r="F19" s="569">
        <v>0.02</v>
      </c>
      <c r="G19" s="100"/>
      <c r="H19" s="108" t="s">
        <v>12</v>
      </c>
      <c r="I19" s="98"/>
      <c r="J19" s="83"/>
      <c r="K19" s="78"/>
    </row>
    <row r="20" spans="1:11" ht="7.35" customHeight="1" x14ac:dyDescent="0.25">
      <c r="A20" s="77"/>
      <c r="B20" s="85"/>
      <c r="C20" s="105"/>
      <c r="D20" s="109"/>
      <c r="E20" s="98"/>
      <c r="F20" s="98"/>
      <c r="G20" s="100"/>
      <c r="H20" s="263"/>
      <c r="I20" s="98"/>
      <c r="J20" s="83"/>
      <c r="K20" s="77"/>
    </row>
    <row r="21" spans="1:11" ht="15" customHeight="1" x14ac:dyDescent="0.25">
      <c r="A21" s="77"/>
      <c r="B21" s="85"/>
      <c r="C21" s="104" t="s">
        <v>562</v>
      </c>
      <c r="D21" s="261"/>
      <c r="E21" s="465"/>
      <c r="F21" s="266">
        <v>0.32900000000000001</v>
      </c>
      <c r="G21" s="100"/>
      <c r="H21" s="108" t="s">
        <v>168</v>
      </c>
      <c r="I21" s="98"/>
      <c r="J21" s="83"/>
      <c r="K21" s="78"/>
    </row>
    <row r="22" spans="1:11" ht="7.35" customHeight="1" x14ac:dyDescent="0.25">
      <c r="A22" s="77"/>
      <c r="B22" s="85"/>
      <c r="C22" s="104"/>
      <c r="D22" s="98"/>
      <c r="E22" s="262"/>
      <c r="F22" s="100"/>
      <c r="G22" s="100"/>
      <c r="H22" s="109"/>
      <c r="I22" s="98"/>
      <c r="J22" s="83"/>
      <c r="K22" s="77"/>
    </row>
    <row r="23" spans="1:11" ht="15" customHeight="1" x14ac:dyDescent="0.25">
      <c r="A23" s="77"/>
      <c r="B23" s="85"/>
      <c r="C23" s="104" t="s">
        <v>5</v>
      </c>
      <c r="D23" s="261"/>
      <c r="E23" s="262"/>
      <c r="F23" s="129" t="str">
        <f>IF(OR(F13="",F15=""),"",IFERROR(MAX(-D8,-(F15-F13)*F19*F21),""))</f>
        <v/>
      </c>
      <c r="G23" s="470"/>
      <c r="H23" s="53" t="b">
        <v>0</v>
      </c>
      <c r="I23" s="207" t="str">
        <f>IF(OR(H23=TRUE,F23=""),"Not Active","Active")</f>
        <v>Not Active</v>
      </c>
      <c r="J23" s="83"/>
      <c r="K23" s="77"/>
    </row>
    <row r="24" spans="1:11" ht="15" customHeight="1" x14ac:dyDescent="0.25">
      <c r="A24" s="77"/>
      <c r="B24" s="85"/>
      <c r="C24" s="98"/>
      <c r="D24" s="98"/>
      <c r="E24" s="442"/>
      <c r="F24" s="98"/>
      <c r="G24" s="98"/>
      <c r="H24" s="100"/>
      <c r="I24" s="98"/>
      <c r="J24" s="83"/>
      <c r="K24" s="126"/>
    </row>
    <row r="25" spans="1:11" ht="35.1" customHeight="1" x14ac:dyDescent="0.25">
      <c r="A25" s="77"/>
      <c r="B25" s="85"/>
      <c r="C25" s="763" t="str">
        <f>"Formula:  % Change in VMT =  " &amp; SUBSTITUTE("-( " &amp; C15 &amp; " - " &amp; C13 &amp; " )* " &amp; C19 &amp; " * " &amp; C21 &amp; " "," used for calculation","")</f>
        <v xml:space="preserve">Formula:  % Change in VMT =  -( % adults in  with carshare access with strategy - % adults in  with existing carshare access )* % of adults with carshare access who become members * Percent VMT reduction by carshare members </v>
      </c>
      <c r="D25" s="792"/>
      <c r="E25" s="792"/>
      <c r="F25" s="792"/>
      <c r="G25" s="792"/>
      <c r="H25" s="792"/>
      <c r="I25" s="793"/>
      <c r="J25" s="83"/>
      <c r="K25" s="126"/>
    </row>
    <row r="26" spans="1:11" ht="15" customHeight="1" x14ac:dyDescent="0.25">
      <c r="A26" s="77"/>
      <c r="B26" s="85"/>
      <c r="C26" s="98"/>
      <c r="D26" s="98"/>
      <c r="E26" s="98"/>
      <c r="F26" s="98"/>
      <c r="G26" s="98"/>
      <c r="H26" s="100"/>
      <c r="I26" s="98"/>
      <c r="J26" s="83"/>
      <c r="K26" s="126"/>
    </row>
    <row r="27" spans="1:11" ht="15" customHeight="1" x14ac:dyDescent="0.25">
      <c r="A27" s="77"/>
      <c r="B27" s="85"/>
      <c r="C27" s="98" t="s">
        <v>6</v>
      </c>
      <c r="D27" s="98"/>
      <c r="E27" s="98"/>
      <c r="F27" s="98"/>
      <c r="G27" s="98"/>
      <c r="H27" s="100"/>
      <c r="I27" s="98"/>
      <c r="J27" s="83"/>
      <c r="K27" s="77"/>
    </row>
    <row r="28" spans="1:11" ht="150" customHeight="1" x14ac:dyDescent="0.25">
      <c r="A28" s="77"/>
      <c r="B28" s="85"/>
      <c r="C28" s="757" t="str">
        <f>INDEX(VL_TDM!$AG$11:$AG$41,MATCH($A$4,VL_TDM!$B$11:$B$41,0),1)</f>
        <v>(1)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v>
      </c>
      <c r="D28" s="710"/>
      <c r="E28" s="710"/>
      <c r="F28" s="710"/>
      <c r="G28" s="710"/>
      <c r="H28" s="710"/>
      <c r="I28" s="710"/>
      <c r="J28" s="83"/>
      <c r="K28" s="77"/>
    </row>
    <row r="29" spans="1:11" ht="15" customHeight="1" x14ac:dyDescent="0.25">
      <c r="A29" s="77"/>
      <c r="B29" s="101"/>
      <c r="C29" s="226"/>
      <c r="D29" s="226"/>
      <c r="E29" s="226"/>
      <c r="F29" s="226"/>
      <c r="G29" s="226"/>
      <c r="H29" s="471"/>
      <c r="I29" s="226"/>
      <c r="J29" s="472"/>
      <c r="K29" s="77"/>
    </row>
    <row r="30" spans="1:11" ht="22.35" customHeight="1" x14ac:dyDescent="0.25">
      <c r="A30" s="77"/>
      <c r="B30" s="77"/>
      <c r="C30" s="77"/>
      <c r="D30" s="77"/>
      <c r="E30" s="77"/>
      <c r="F30" s="77"/>
      <c r="G30" s="77"/>
      <c r="H30" s="103"/>
      <c r="I30" s="77"/>
      <c r="J30" s="77"/>
      <c r="K30" s="77"/>
    </row>
  </sheetData>
  <sheetProtection algorithmName="SHA-512" hashValue="Qsga5BbhRwsULlOJgInde+FqVz0KNNxTrNur+o7WSgIyvnX2z77ArjSXSEI88AYvCnlp9Q/gKkhKhXWaXEoC5Q==" saltValue="YWaZCLcnz9VGd5aLek47cw==" spinCount="100000" sheet="1" objects="1" scenarios="1" selectLockedCells="1"/>
  <mergeCells count="4">
    <mergeCell ref="B4:J4"/>
    <mergeCell ref="C10:I10"/>
    <mergeCell ref="C25:I25"/>
    <mergeCell ref="C28:I28"/>
  </mergeCells>
  <conditionalFormatting sqref="F23">
    <cfRule type="expression" dxfId="15" priority="12">
      <formula>AND(F23&lt;&gt;"",F23&gt;0)</formula>
    </cfRule>
    <cfRule type="expression" dxfId="14" priority="15">
      <formula>-ROUND($D$8,3)=ROUND($F$23,3)</formula>
    </cfRule>
  </conditionalFormatting>
  <dataValidations count="1">
    <dataValidation type="decimal" allowBlank="1" showErrorMessage="1" errorTitle="Restriction" error="Value must be between 0% and 100%_x000a_" promptTitle="Restriction" prompt="Value must be between 0% and 100%_x000a_" sqref="F15 F13" xr:uid="{00000000-0002-0000-1300-000000000000}">
      <formula1>0</formula1>
      <formula2>1</formula2>
    </dataValidation>
  </dataValidations>
  <hyperlinks>
    <hyperlink ref="I7" location="Results!A1" display="Results Summary" xr:uid="{00000000-0004-0000-1300-000000000000}"/>
    <hyperlink ref="I6" location="Main!L65" display="Return to Main É" xr:uid="{00000000-0004-0000-13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ltText="Exclude From Results Summary">
                <anchor moveWithCells="1">
                  <from>
                    <xdr:col>6</xdr:col>
                    <xdr:colOff>342900</xdr:colOff>
                    <xdr:row>22</xdr:row>
                    <xdr:rowOff>9525</xdr:rowOff>
                  </from>
                  <to>
                    <xdr:col>8</xdr:col>
                    <xdr:colOff>9525</xdr:colOff>
                    <xdr:row>23</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0099"/>
  </sheetPr>
  <dimension ref="A1:U38"/>
  <sheetViews>
    <sheetView showGridLines="0" showRowColHeaders="0" topLeftCell="A3" zoomScaleNormal="100" workbookViewId="0">
      <selection activeCell="E14" sqref="E14"/>
    </sheetView>
  </sheetViews>
  <sheetFormatPr defaultColWidth="0" defaultRowHeight="15" zeroHeight="1" x14ac:dyDescent="0.25"/>
  <cols>
    <col min="1" max="1" width="4.42578125" style="92" customWidth="1"/>
    <col min="2" max="2" width="8.85546875" style="92" customWidth="1"/>
    <col min="3" max="3" width="20" style="92" customWidth="1"/>
    <col min="4" max="4" width="48.5703125" style="92" customWidth="1"/>
    <col min="5" max="5" width="10.5703125" style="92" customWidth="1"/>
    <col min="6" max="6" width="5.5703125" style="92" customWidth="1"/>
    <col min="7" max="7" width="21" style="271" customWidth="1"/>
    <col min="8" max="8" width="17.5703125" style="92" customWidth="1"/>
    <col min="9" max="9" width="8.85546875" style="92" customWidth="1"/>
    <col min="10" max="10" width="4.5703125" style="92" customWidth="1"/>
    <col min="11" max="12" width="53" style="92" hidden="1" customWidth="1"/>
    <col min="13" max="16384" width="8.85546875" style="92" hidden="1"/>
  </cols>
  <sheetData>
    <row r="1" spans="1:21" hidden="1" x14ac:dyDescent="0.25">
      <c r="A1" s="78"/>
      <c r="B1" s="78"/>
      <c r="C1" s="78"/>
      <c r="D1" s="78"/>
      <c r="E1" s="78"/>
      <c r="F1" s="78"/>
      <c r="G1" s="80"/>
      <c r="H1" s="78"/>
      <c r="I1" s="78"/>
      <c r="J1" s="78"/>
    </row>
    <row r="2" spans="1:21" hidden="1" x14ac:dyDescent="0.25">
      <c r="A2" s="78"/>
      <c r="B2" s="78"/>
      <c r="C2" s="78"/>
      <c r="D2" s="78"/>
      <c r="E2" s="78"/>
      <c r="F2" s="78"/>
      <c r="G2" s="80"/>
      <c r="H2" s="78"/>
      <c r="I2" s="78"/>
      <c r="J2" s="78"/>
    </row>
    <row r="3" spans="1:21" ht="22.35" customHeight="1" x14ac:dyDescent="0.3">
      <c r="A3" s="78"/>
      <c r="B3" s="36"/>
      <c r="C3" s="78"/>
      <c r="D3" s="78"/>
      <c r="E3" s="78"/>
      <c r="F3" s="78"/>
      <c r="G3" s="80"/>
      <c r="H3" s="78"/>
      <c r="I3" s="78"/>
      <c r="J3" s="78"/>
    </row>
    <row r="4" spans="1:21" ht="21.6" customHeight="1" x14ac:dyDescent="0.25">
      <c r="A4" s="240" t="s">
        <v>45</v>
      </c>
      <c r="B4" s="788" t="str">
        <f>A4&amp;". "&amp;INDEX(VL_TDM!$E$11:$E$41,MATCH($A$4,VL_TDM!$B$11:$B$41,0),1)</f>
        <v>4G. Community-Based Travel Planning</v>
      </c>
      <c r="C4" s="722"/>
      <c r="D4" s="722"/>
      <c r="E4" s="722"/>
      <c r="F4" s="722"/>
      <c r="G4" s="722"/>
      <c r="H4" s="722"/>
      <c r="I4" s="723"/>
      <c r="J4" s="78"/>
    </row>
    <row r="5" spans="1:21" ht="15" customHeight="1" x14ac:dyDescent="0.25">
      <c r="A5" s="78"/>
      <c r="B5" s="88"/>
      <c r="C5" s="445"/>
      <c r="D5" s="445"/>
      <c r="E5" s="445"/>
      <c r="F5" s="442"/>
      <c r="G5" s="443"/>
      <c r="H5" s="442"/>
      <c r="I5" s="87"/>
      <c r="J5" s="78"/>
    </row>
    <row r="6" spans="1:21" ht="15" customHeight="1" x14ac:dyDescent="0.25">
      <c r="A6" s="78"/>
      <c r="B6" s="88"/>
      <c r="C6" s="442" t="s">
        <v>1</v>
      </c>
      <c r="D6" s="492" t="str">
        <f>INDEX(VL_TDM!$AC$11:$AC$41,MATCH($A$4,VL_TDM!$B$11:$B$41,0),1)</f>
        <v>Neighborhood/City</v>
      </c>
      <c r="E6" s="443"/>
      <c r="F6" s="443"/>
      <c r="G6" s="443"/>
      <c r="H6" s="614" t="s">
        <v>89</v>
      </c>
      <c r="I6" s="87"/>
      <c r="J6" s="78"/>
    </row>
    <row r="7" spans="1:21" ht="15" customHeight="1" x14ac:dyDescent="0.25">
      <c r="A7" s="78"/>
      <c r="B7" s="88"/>
      <c r="C7" s="444" t="s">
        <v>2</v>
      </c>
      <c r="D7" s="447" t="str">
        <f>INDEX(VL_TDM!$AD$11:$AD$41,MATCH($A$4,VL_TDM!$B$11:$B$41,0),1)</f>
        <v>All neighborhood/city trips</v>
      </c>
      <c r="E7" s="443"/>
      <c r="F7" s="443"/>
      <c r="G7" s="442"/>
      <c r="H7" s="614" t="s">
        <v>105</v>
      </c>
      <c r="I7" s="87"/>
      <c r="J7" s="78"/>
    </row>
    <row r="8" spans="1:21" ht="15" customHeight="1" x14ac:dyDescent="0.25">
      <c r="A8" s="78"/>
      <c r="B8" s="88"/>
      <c r="C8" s="444" t="s">
        <v>149</v>
      </c>
      <c r="D8" s="448">
        <f>INDEX(VL_TDM!$AE$11:$AE$41,MATCH($A$4,VL_TDM!$B$11:$B$41,0),1)</f>
        <v>2.3E-2</v>
      </c>
      <c r="E8" s="445"/>
      <c r="F8" s="442"/>
      <c r="G8" s="443"/>
      <c r="H8" s="442"/>
      <c r="I8" s="87"/>
      <c r="J8" s="78"/>
    </row>
    <row r="9" spans="1:21" ht="15" customHeight="1" x14ac:dyDescent="0.25">
      <c r="A9" s="78"/>
      <c r="B9" s="88"/>
      <c r="C9" s="442"/>
      <c r="D9" s="442"/>
      <c r="E9" s="442"/>
      <c r="F9" s="442"/>
      <c r="G9" s="443"/>
      <c r="H9" s="442"/>
      <c r="I9" s="87"/>
      <c r="J9" s="78"/>
    </row>
    <row r="10" spans="1:21" ht="99.95" customHeight="1" x14ac:dyDescent="0.25">
      <c r="A10" s="78"/>
      <c r="B10" s="88"/>
      <c r="C10" s="724" t="str">
        <f>INDEX(VL_TDM!$AF$11:$AF$41,MATCH($A$4,VL_TDM!$B$11:$B$41,0),1)</f>
        <v>This strategy will target residences in the neighborhood/city with community-based travel planning (CBTP). CBTP is a residential-based approach to outreach that provides households with customized information, incentives, and support to encourage the use of transportation alternatives in place of single occupancy vehicles, thereby reducing VMT and associated GHG emissions. CBTP involves teams of trained travel advisors visiting all households within a targeted geographic area, having tailored conversations about residents’ travel needs, and educating residents about the various transportation options available to them. Due to the personalized outreach method, communities are typically targeted in phases.</v>
      </c>
      <c r="D10" s="710"/>
      <c r="E10" s="710"/>
      <c r="F10" s="710"/>
      <c r="G10" s="710"/>
      <c r="H10" s="710"/>
      <c r="I10" s="87"/>
      <c r="J10" s="78"/>
    </row>
    <row r="11" spans="1:21" ht="15" customHeight="1" x14ac:dyDescent="0.25">
      <c r="A11" s="78"/>
      <c r="B11" s="88"/>
      <c r="C11" s="442"/>
      <c r="D11" s="442"/>
      <c r="E11" s="442"/>
      <c r="F11" s="442"/>
      <c r="G11" s="443"/>
      <c r="H11" s="442"/>
      <c r="I11" s="87"/>
      <c r="J11" s="78"/>
    </row>
    <row r="12" spans="1:21" ht="15" customHeight="1" x14ac:dyDescent="0.25">
      <c r="A12" s="78"/>
      <c r="B12" s="88"/>
      <c r="C12" s="450" t="s">
        <v>727</v>
      </c>
      <c r="D12" s="442"/>
      <c r="E12" s="570" t="str">
        <f>IF(ISBLANK(Location),"",INDEX(VL_TAZ!$O$9:$AD$9,1,MATCH($C12,VL_TAZ!$O$10:$AD$10,0)))</f>
        <v/>
      </c>
      <c r="F12" s="443"/>
      <c r="G12" s="262" t="s">
        <v>888</v>
      </c>
      <c r="H12" s="442"/>
      <c r="I12" s="87"/>
      <c r="J12" s="78"/>
      <c r="K12" s="118"/>
      <c r="L12" s="118"/>
      <c r="M12" s="118"/>
      <c r="N12" s="118"/>
      <c r="O12" s="118"/>
      <c r="P12" s="118"/>
      <c r="Q12" s="118"/>
      <c r="R12" s="118"/>
      <c r="S12" s="118"/>
      <c r="T12" s="118"/>
      <c r="U12" s="118"/>
    </row>
    <row r="13" spans="1:21" ht="7.35" customHeight="1" x14ac:dyDescent="0.25">
      <c r="A13" s="78"/>
      <c r="B13" s="88"/>
      <c r="C13" s="450"/>
      <c r="D13" s="442"/>
      <c r="E13" s="442"/>
      <c r="F13" s="443"/>
      <c r="G13" s="442"/>
      <c r="H13" s="442"/>
      <c r="I13" s="87"/>
      <c r="J13" s="78"/>
      <c r="K13" s="118"/>
      <c r="L13" s="118"/>
      <c r="M13" s="118"/>
      <c r="N13" s="118"/>
      <c r="O13" s="118"/>
      <c r="P13" s="118"/>
      <c r="Q13" s="118"/>
      <c r="R13" s="118"/>
      <c r="S13" s="118"/>
      <c r="T13" s="118"/>
      <c r="U13" s="118"/>
    </row>
    <row r="14" spans="1:21" ht="15" customHeight="1" x14ac:dyDescent="0.25">
      <c r="A14" s="78"/>
      <c r="B14" s="88"/>
      <c r="C14" s="450" t="s">
        <v>726</v>
      </c>
      <c r="D14" s="442"/>
      <c r="E14" s="575"/>
      <c r="F14" s="443"/>
      <c r="G14" s="442" t="s">
        <v>0</v>
      </c>
      <c r="H14" s="442"/>
      <c r="I14" s="87"/>
      <c r="J14" s="78"/>
      <c r="K14" s="118"/>
      <c r="L14" s="118"/>
      <c r="M14" s="118"/>
      <c r="N14" s="118"/>
      <c r="O14" s="118"/>
      <c r="P14" s="118"/>
      <c r="Q14" s="118"/>
      <c r="R14" s="118"/>
      <c r="S14" s="118"/>
      <c r="T14" s="118"/>
      <c r="U14" s="118"/>
    </row>
    <row r="15" spans="1:21" ht="7.35" customHeight="1" x14ac:dyDescent="0.25">
      <c r="A15" s="78"/>
      <c r="B15" s="88"/>
      <c r="C15" s="450"/>
      <c r="D15" s="442"/>
      <c r="E15" s="442"/>
      <c r="F15" s="443"/>
      <c r="G15" s="442"/>
      <c r="H15" s="442"/>
      <c r="I15" s="87"/>
      <c r="J15" s="127"/>
      <c r="K15" s="118"/>
      <c r="L15" s="118"/>
      <c r="M15" s="118"/>
      <c r="N15" s="118"/>
      <c r="O15" s="118"/>
      <c r="P15" s="118"/>
      <c r="Q15" s="118"/>
      <c r="R15" s="118"/>
      <c r="S15" s="118"/>
      <c r="T15" s="118"/>
      <c r="U15" s="118"/>
    </row>
    <row r="16" spans="1:21" ht="15" customHeight="1" x14ac:dyDescent="0.25">
      <c r="A16" s="78"/>
      <c r="B16" s="88"/>
      <c r="C16" s="450" t="s">
        <v>38</v>
      </c>
      <c r="D16" s="571"/>
      <c r="E16" s="572">
        <v>0.19</v>
      </c>
      <c r="F16" s="443"/>
      <c r="G16" s="442" t="s">
        <v>863</v>
      </c>
      <c r="H16" s="442"/>
      <c r="I16" s="87"/>
      <c r="J16" s="78"/>
      <c r="K16" s="118"/>
      <c r="L16" s="118"/>
      <c r="M16" s="118"/>
      <c r="N16" s="118"/>
      <c r="O16" s="118"/>
      <c r="P16" s="118"/>
      <c r="Q16" s="118"/>
      <c r="R16" s="118"/>
      <c r="S16" s="118"/>
      <c r="T16" s="118"/>
      <c r="U16" s="118"/>
    </row>
    <row r="17" spans="1:21" ht="7.35" customHeight="1" x14ac:dyDescent="0.25">
      <c r="A17" s="78"/>
      <c r="B17" s="88"/>
      <c r="C17" s="450"/>
      <c r="D17" s="442"/>
      <c r="E17" s="442"/>
      <c r="F17" s="443"/>
      <c r="G17" s="451"/>
      <c r="H17" s="442"/>
      <c r="I17" s="87"/>
      <c r="J17" s="78"/>
    </row>
    <row r="18" spans="1:21" ht="15" customHeight="1" x14ac:dyDescent="0.25">
      <c r="A18" s="78"/>
      <c r="B18" s="88"/>
      <c r="C18" s="450" t="s">
        <v>728</v>
      </c>
      <c r="D18" s="571"/>
      <c r="E18" s="573">
        <v>0.12</v>
      </c>
      <c r="F18" s="494"/>
      <c r="G18" s="545" t="s">
        <v>7</v>
      </c>
      <c r="H18" s="442"/>
      <c r="I18" s="87"/>
      <c r="J18" s="78"/>
      <c r="K18" s="118"/>
      <c r="L18" s="118"/>
      <c r="M18" s="118"/>
      <c r="N18" s="118"/>
      <c r="O18" s="118"/>
      <c r="P18" s="118"/>
      <c r="Q18" s="118"/>
      <c r="R18" s="118"/>
      <c r="S18" s="118"/>
      <c r="T18" s="118"/>
      <c r="U18" s="118"/>
    </row>
    <row r="19" spans="1:21" ht="7.35" customHeight="1" x14ac:dyDescent="0.25">
      <c r="A19" s="78"/>
      <c r="B19" s="88"/>
      <c r="C19" s="450"/>
      <c r="D19" s="442"/>
      <c r="E19" s="442"/>
      <c r="F19" s="443"/>
      <c r="G19" s="451"/>
      <c r="H19" s="442"/>
      <c r="I19" s="87"/>
      <c r="J19" s="78"/>
    </row>
    <row r="20" spans="1:21" ht="15" customHeight="1" x14ac:dyDescent="0.25">
      <c r="A20" s="78"/>
      <c r="B20" s="88"/>
      <c r="C20" s="450" t="s">
        <v>563</v>
      </c>
      <c r="D20" s="442"/>
      <c r="E20" s="574">
        <v>1</v>
      </c>
      <c r="F20" s="494"/>
      <c r="G20" s="541" t="s">
        <v>911</v>
      </c>
      <c r="H20" s="442"/>
      <c r="I20" s="87"/>
      <c r="J20" s="78"/>
    </row>
    <row r="21" spans="1:21" ht="7.35" customHeight="1" x14ac:dyDescent="0.25">
      <c r="A21" s="78"/>
      <c r="B21" s="88"/>
      <c r="C21" s="450"/>
      <c r="D21" s="442"/>
      <c r="E21" s="442"/>
      <c r="F21" s="443"/>
      <c r="G21" s="451"/>
      <c r="H21" s="442"/>
      <c r="I21" s="87"/>
      <c r="J21" s="78"/>
    </row>
    <row r="22" spans="1:21" ht="15" customHeight="1" x14ac:dyDescent="0.25">
      <c r="A22" s="78"/>
      <c r="B22" s="88"/>
      <c r="C22" s="449" t="s">
        <v>5</v>
      </c>
      <c r="D22" s="453"/>
      <c r="E22" s="456" t="str">
        <f>IF(E12=0,0,IF(ISBLANK(E14),"",IFERROR(MAX(-D8,-(E14/E12)*E16*E18*E20),"")))</f>
        <v/>
      </c>
      <c r="F22" s="497"/>
      <c r="G22" s="14" t="b">
        <v>0</v>
      </c>
      <c r="H22" s="207" t="str">
        <f>IF(OR(G22=TRUE,E22=""),"Not Active","Active")</f>
        <v>Not Active</v>
      </c>
      <c r="I22" s="87"/>
      <c r="J22" s="78"/>
    </row>
    <row r="23" spans="1:21" ht="15" customHeight="1" x14ac:dyDescent="0.25">
      <c r="A23" s="78"/>
      <c r="B23" s="88"/>
      <c r="C23" s="442"/>
      <c r="D23" s="442"/>
      <c r="E23" s="442"/>
      <c r="F23" s="442"/>
      <c r="G23" s="443"/>
      <c r="H23" s="442"/>
      <c r="I23" s="87"/>
      <c r="J23" s="78"/>
    </row>
    <row r="24" spans="1:21" ht="35.1" customHeight="1" x14ac:dyDescent="0.25">
      <c r="A24" s="78"/>
      <c r="B24" s="88"/>
      <c r="C24" s="803" t="str">
        <f>"Formula:  % Change in VMT =  " &amp; SUBSTITUTE("-( " &amp; C14 &amp; " / " &amp; C12 &amp; " )* " &amp; C16 &amp; " * " &amp; C18 &amp; " * " &amp; C20 &amp; " "," used for calculation","")</f>
        <v xml:space="preserve">Formula:  % Change in VMT =  -( Households in neighborhood/city targeted with CBTP / Households in neighborhood/city )* % of targeted households that participate * % vehicle trip reduction by participating residences * Adjustment factor from vehicle trips to VMT </v>
      </c>
      <c r="D24" s="804"/>
      <c r="E24" s="804"/>
      <c r="F24" s="804"/>
      <c r="G24" s="804"/>
      <c r="H24" s="805"/>
      <c r="I24" s="87"/>
      <c r="J24" s="78"/>
    </row>
    <row r="25" spans="1:21" ht="15" customHeight="1" x14ac:dyDescent="0.25">
      <c r="A25" s="78"/>
      <c r="B25" s="88"/>
      <c r="C25" s="442"/>
      <c r="D25" s="442"/>
      <c r="E25" s="442"/>
      <c r="F25" s="442"/>
      <c r="G25" s="443"/>
      <c r="H25" s="442"/>
      <c r="I25" s="87"/>
      <c r="J25" s="78"/>
    </row>
    <row r="26" spans="1:21" ht="15" customHeight="1" x14ac:dyDescent="0.25">
      <c r="A26" s="78"/>
      <c r="B26" s="88"/>
      <c r="C26" s="442" t="s">
        <v>6</v>
      </c>
      <c r="D26" s="442"/>
      <c r="E26" s="442"/>
      <c r="F26" s="442"/>
      <c r="G26" s="443"/>
      <c r="H26" s="442"/>
      <c r="I26" s="87"/>
      <c r="J26" s="78"/>
    </row>
    <row r="27" spans="1:21" ht="30" customHeight="1" x14ac:dyDescent="0.25">
      <c r="A27" s="78"/>
      <c r="B27" s="88"/>
      <c r="C27" s="806" t="str">
        <f>INDEX(VL_TDM!$AG$11:$AG$41,MATCH($A$4,VL_TDM!$B$11:$B$41,0),1)</f>
        <v>(1) Metropolitan Transportation Commission (MTC). 2021. Plan Bay Area 2050, Supplemental Report. (forthcoming)</v>
      </c>
      <c r="D27" s="719"/>
      <c r="E27" s="719"/>
      <c r="F27" s="719"/>
      <c r="G27" s="719"/>
      <c r="H27" s="719"/>
      <c r="I27" s="87"/>
      <c r="J27" s="78"/>
    </row>
    <row r="28" spans="1:21" ht="15" customHeight="1" x14ac:dyDescent="0.25">
      <c r="A28" s="78"/>
      <c r="B28" s="86"/>
      <c r="C28" s="102"/>
      <c r="D28" s="102"/>
      <c r="E28" s="102"/>
      <c r="F28" s="102"/>
      <c r="G28" s="459"/>
      <c r="H28" s="102"/>
      <c r="I28" s="84"/>
      <c r="J28" s="78"/>
    </row>
    <row r="29" spans="1:21" ht="22.35" customHeight="1" x14ac:dyDescent="0.25">
      <c r="A29" s="78"/>
      <c r="B29" s="78"/>
      <c r="C29" s="78"/>
      <c r="D29" s="78"/>
      <c r="E29" s="78"/>
      <c r="F29" s="78"/>
      <c r="G29" s="80"/>
      <c r="H29" s="78"/>
      <c r="I29" s="78"/>
      <c r="J29" s="78"/>
    </row>
    <row r="38" spans="3:3" hidden="1" x14ac:dyDescent="0.25">
      <c r="C38" s="92" t="e">
        <f>CONCATENATE("(4). ",cite_ABM)</f>
        <v>#NAME?</v>
      </c>
    </row>
  </sheetData>
  <sheetProtection algorithmName="SHA-512" hashValue="24wYn048vhcvh6KlWb8PdLosSA5MrVl9awSf1fwjpUQagCjZP5+vQpgR8PMrLV92NiXz33OJBrkVbrh1KBLS4g==" saltValue="AXmM/7pI93QwwsZyqUC2/g==" spinCount="100000" sheet="1" objects="1" scenarios="1" selectLockedCells="1"/>
  <mergeCells count="4">
    <mergeCell ref="C10:H10"/>
    <mergeCell ref="C24:H24"/>
    <mergeCell ref="B4:I4"/>
    <mergeCell ref="C27:H27"/>
  </mergeCells>
  <conditionalFormatting sqref="E22">
    <cfRule type="expression" dxfId="13" priority="11">
      <formula>-ROUND($D$8,3)=ROUND($E$22,3)</formula>
    </cfRule>
    <cfRule type="expression" dxfId="12" priority="12">
      <formula>AND(E22&lt;&gt;"",E22&gt;0)</formula>
    </cfRule>
  </conditionalFormatting>
  <dataValidations count="1">
    <dataValidation type="decimal" showErrorMessage="1" errorTitle="Restriction" error="Value must be between 0 and the number of households in the city/CPA." promptTitle="Restriction" prompt="Value must be between 0 and number of households in community._x000a_" sqref="E14" xr:uid="{00000000-0002-0000-1400-000001000000}">
      <formula1>0</formula1>
      <formula2>E12</formula2>
    </dataValidation>
  </dataValidations>
  <hyperlinks>
    <hyperlink ref="H7" location="Results!A1" display="Results Summary" xr:uid="{00000000-0004-0000-1400-000000000000}"/>
    <hyperlink ref="H6" location="Main!L65" display="Return to Main É" xr:uid="{00000000-0004-0000-14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ltText="Exclude From Results Summary">
                <anchor moveWithCells="1">
                  <from>
                    <xdr:col>6</xdr:col>
                    <xdr:colOff>9525</xdr:colOff>
                    <xdr:row>20</xdr:row>
                    <xdr:rowOff>76200</xdr:rowOff>
                  </from>
                  <to>
                    <xdr:col>7</xdr:col>
                    <xdr:colOff>0</xdr:colOff>
                    <xdr:row>22</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9FA6-FC40-4650-909A-7DDE1A172B24}">
  <sheetPr codeName="Sheet34">
    <tabColor rgb="FF000099"/>
  </sheetPr>
  <dimension ref="A1:M52"/>
  <sheetViews>
    <sheetView showGridLines="0" showRowColHeaders="0" topLeftCell="A3" zoomScaleNormal="100" workbookViewId="0">
      <selection activeCell="F12" sqref="F12"/>
    </sheetView>
  </sheetViews>
  <sheetFormatPr defaultColWidth="0" defaultRowHeight="15" customHeight="1" zeroHeight="1" x14ac:dyDescent="0.25"/>
  <cols>
    <col min="1" max="1" width="4.42578125" style="115" customWidth="1"/>
    <col min="2" max="2" width="8.85546875" style="115" customWidth="1"/>
    <col min="3" max="3" width="20" style="115" customWidth="1"/>
    <col min="4" max="4" width="22" style="115" customWidth="1"/>
    <col min="5" max="5" width="37.5703125" style="115" customWidth="1"/>
    <col min="6" max="6" width="10.5703125" style="115" customWidth="1"/>
    <col min="7" max="7" width="6" style="115" customWidth="1"/>
    <col min="8" max="8" width="20" style="116" customWidth="1"/>
    <col min="9" max="9" width="17.5703125" style="115" customWidth="1"/>
    <col min="10" max="10" width="8.85546875" style="115" customWidth="1"/>
    <col min="11" max="11" width="4.5703125" style="115" customWidth="1"/>
    <col min="12" max="13" width="39.42578125" style="92" hidden="1" customWidth="1"/>
    <col min="14" max="16384" width="8.85546875" style="92" hidden="1"/>
  </cols>
  <sheetData>
    <row r="1" spans="1:11" hidden="1" x14ac:dyDescent="0.25">
      <c r="A1" s="77"/>
      <c r="B1" s="77"/>
      <c r="C1" s="77"/>
      <c r="D1" s="77"/>
      <c r="E1" s="77"/>
      <c r="F1" s="77"/>
      <c r="G1" s="77"/>
      <c r="H1" s="103"/>
      <c r="I1" s="77"/>
      <c r="J1" s="77"/>
      <c r="K1" s="77"/>
    </row>
    <row r="2" spans="1:11" hidden="1" x14ac:dyDescent="0.25">
      <c r="A2" s="77"/>
      <c r="B2" s="77"/>
      <c r="C2" s="77"/>
      <c r="D2" s="77"/>
      <c r="E2" s="77"/>
      <c r="F2" s="77"/>
      <c r="G2" s="77"/>
      <c r="H2" s="103"/>
      <c r="I2" s="77"/>
      <c r="J2" s="77"/>
      <c r="K2" s="77"/>
    </row>
    <row r="3" spans="1:11" ht="22.35" customHeight="1" x14ac:dyDescent="0.25">
      <c r="A3" s="77"/>
      <c r="B3" s="51"/>
      <c r="C3" s="77"/>
      <c r="D3" s="77"/>
      <c r="E3" s="77"/>
      <c r="F3" s="77"/>
      <c r="G3" s="77"/>
      <c r="H3" s="103"/>
      <c r="I3" s="77"/>
      <c r="J3" s="77"/>
      <c r="K3" s="77"/>
    </row>
    <row r="4" spans="1:11" ht="18.75" x14ac:dyDescent="0.25">
      <c r="A4" s="239" t="s">
        <v>576</v>
      </c>
      <c r="B4" s="788" t="str">
        <f>A4&amp;". "&amp;INDEX(VL_TDM!$E$11:$E$41,MATCH($A$4,VL_TDM!$B$11:$B$41,0),1)</f>
        <v>4H. Provide Neighborhood Traffic Calming Measures</v>
      </c>
      <c r="C4" s="722"/>
      <c r="D4" s="722"/>
      <c r="E4" s="722"/>
      <c r="F4" s="722"/>
      <c r="G4" s="722"/>
      <c r="H4" s="722"/>
      <c r="I4" s="722"/>
      <c r="J4" s="723"/>
    </row>
    <row r="5" spans="1:11" ht="15" customHeight="1" x14ac:dyDescent="0.25">
      <c r="A5" s="77"/>
      <c r="B5" s="85"/>
      <c r="C5" s="110"/>
      <c r="D5" s="110"/>
      <c r="E5" s="110"/>
      <c r="F5" s="110"/>
      <c r="G5" s="98"/>
      <c r="H5" s="100"/>
      <c r="I5" s="98"/>
      <c r="J5" s="83"/>
      <c r="K5" s="77"/>
    </row>
    <row r="6" spans="1:11" ht="15" customHeight="1" x14ac:dyDescent="0.25">
      <c r="A6" s="77"/>
      <c r="B6" s="85"/>
      <c r="C6" s="98" t="s">
        <v>1</v>
      </c>
      <c r="D6" s="462" t="str">
        <f>INDEX(VL_TDM!$AC$11:$AC$41,MATCH($A$4,VL_TDM!$B$11:$B$41,0),1)</f>
        <v>Neighborhood/City</v>
      </c>
      <c r="E6" s="100"/>
      <c r="F6" s="100"/>
      <c r="G6" s="100"/>
      <c r="H6" s="100"/>
      <c r="I6" s="617" t="s">
        <v>89</v>
      </c>
      <c r="J6" s="83"/>
      <c r="K6" s="77"/>
    </row>
    <row r="7" spans="1:11" ht="15" customHeight="1" x14ac:dyDescent="0.25">
      <c r="A7" s="77"/>
      <c r="B7" s="85"/>
      <c r="C7" s="109" t="s">
        <v>2</v>
      </c>
      <c r="D7" s="113" t="str">
        <f>INDEX(VL_TDM!$AD$11:$AD$41,MATCH($A$4,VL_TDM!$B$11:$B$41,0),1)</f>
        <v>All neighborhood/city trips</v>
      </c>
      <c r="E7" s="100"/>
      <c r="F7" s="100"/>
      <c r="G7" s="100"/>
      <c r="H7" s="98"/>
      <c r="I7" s="617" t="s">
        <v>105</v>
      </c>
      <c r="J7" s="83"/>
      <c r="K7" s="77"/>
    </row>
    <row r="8" spans="1:11" ht="15" customHeight="1" x14ac:dyDescent="0.25">
      <c r="A8" s="77"/>
      <c r="B8" s="85"/>
      <c r="C8" s="109" t="s">
        <v>149</v>
      </c>
      <c r="D8" s="114">
        <f>INDEX(VL_TDM!$AE$11:$AE$41,MATCH($A$4,VL_TDM!$B$11:$B$41,0),1)</f>
        <v>0.01</v>
      </c>
      <c r="E8" s="110"/>
      <c r="F8" s="110"/>
      <c r="G8" s="98"/>
      <c r="H8" s="100"/>
      <c r="I8" s="98"/>
      <c r="J8" s="83"/>
      <c r="K8" s="77"/>
    </row>
    <row r="9" spans="1:11" ht="15" customHeight="1" x14ac:dyDescent="0.25">
      <c r="A9" s="77"/>
      <c r="B9" s="85"/>
      <c r="C9" s="98"/>
      <c r="D9" s="98"/>
      <c r="E9" s="98"/>
      <c r="F9" s="98"/>
      <c r="G9" s="98"/>
      <c r="H9" s="100"/>
      <c r="I9" s="98"/>
      <c r="J9" s="83"/>
      <c r="K9" s="77"/>
    </row>
    <row r="10" spans="1:11" ht="99.95" customHeight="1" x14ac:dyDescent="0.25">
      <c r="A10" s="77"/>
      <c r="B10" s="85"/>
      <c r="C10" s="724" t="str">
        <f>INDEX(VL_TDM!$AF$11:$AF$41,MATCH($A$4,VL_TDM!$B$11:$B$41,0),1)</f>
        <v>Providing traffic calming measures encourages people to walk or bike instead of using a vehicle. This mode shift will result in a decrease in VMT. Project design will include pedestrian/bicycle safety and traffic calming measures in excess of jurisdiction requirements. Roadways will be designed to reduce motor vehicle speeds and encourage pedestrian and bicycle trips with traffic calming features. Traffic calming features may include: marked crosswalks, count-down signal timers, curb extensions, speed tables, raised crosswalks, raised intersections, median islands, tight corner radii, roundabouts or mini-circles, on-street parking, planter strips with street trees, chicanes/chokers, and others.</v>
      </c>
      <c r="D10" s="710"/>
      <c r="E10" s="710"/>
      <c r="F10" s="710"/>
      <c r="G10" s="710"/>
      <c r="H10" s="710"/>
      <c r="I10" s="710"/>
      <c r="J10" s="83"/>
      <c r="K10" s="77"/>
    </row>
    <row r="11" spans="1:11" ht="7.35" customHeight="1" x14ac:dyDescent="0.25">
      <c r="A11" s="77"/>
      <c r="B11" s="85"/>
      <c r="C11" s="555"/>
      <c r="D11" s="109"/>
      <c r="E11" s="98"/>
      <c r="F11" s="98"/>
      <c r="G11" s="100"/>
      <c r="H11" s="263"/>
      <c r="I11" s="98"/>
      <c r="J11" s="83"/>
      <c r="K11" s="77"/>
    </row>
    <row r="12" spans="1:11" ht="15" customHeight="1" x14ac:dyDescent="0.25">
      <c r="A12" s="77"/>
      <c r="B12" s="85"/>
      <c r="C12" s="104" t="s">
        <v>479</v>
      </c>
      <c r="D12" s="256"/>
      <c r="E12" s="567"/>
      <c r="F12" s="65"/>
      <c r="G12" s="100"/>
      <c r="H12" s="108" t="s">
        <v>0</v>
      </c>
      <c r="I12" s="98"/>
      <c r="J12" s="83"/>
      <c r="K12" s="78"/>
    </row>
    <row r="13" spans="1:11" ht="7.35" customHeight="1" x14ac:dyDescent="0.25">
      <c r="A13" s="77"/>
      <c r="B13" s="85"/>
      <c r="C13" s="105"/>
      <c r="D13" s="109"/>
      <c r="E13" s="98"/>
      <c r="F13" s="98"/>
      <c r="G13" s="100"/>
      <c r="H13" s="263"/>
      <c r="I13" s="98"/>
      <c r="J13" s="83"/>
      <c r="K13" s="77"/>
    </row>
    <row r="14" spans="1:11" ht="15" customHeight="1" x14ac:dyDescent="0.25">
      <c r="A14" s="77"/>
      <c r="B14" s="85"/>
      <c r="C14" s="104" t="s">
        <v>480</v>
      </c>
      <c r="D14" s="256"/>
      <c r="E14" s="567"/>
      <c r="F14" s="65"/>
      <c r="G14" s="100"/>
      <c r="H14" s="108" t="s">
        <v>0</v>
      </c>
      <c r="I14" s="98"/>
      <c r="J14" s="83"/>
      <c r="K14" s="78"/>
    </row>
    <row r="15" spans="1:11" ht="7.35" customHeight="1" x14ac:dyDescent="0.25">
      <c r="A15" s="77"/>
      <c r="B15" s="85"/>
      <c r="C15" s="104"/>
      <c r="D15" s="98"/>
      <c r="E15" s="262"/>
      <c r="F15" s="100"/>
      <c r="G15" s="100"/>
      <c r="H15" s="109"/>
      <c r="I15" s="98"/>
      <c r="J15" s="83"/>
      <c r="K15" s="77"/>
    </row>
    <row r="16" spans="1:11" ht="15" customHeight="1" x14ac:dyDescent="0.25">
      <c r="A16" s="77"/>
      <c r="B16" s="85"/>
      <c r="C16" s="104" t="s">
        <v>5</v>
      </c>
      <c r="D16" s="261"/>
      <c r="E16" s="262"/>
      <c r="F16" s="576" t="str">
        <f>IF(SUM(F12,F14)=0,"",IFERROR(MAX(-D8,-VL_REF!BE3),""))</f>
        <v/>
      </c>
      <c r="G16" s="470"/>
      <c r="H16" s="53" t="b">
        <v>0</v>
      </c>
      <c r="I16" s="207" t="str">
        <f>IF(OR(H16=TRUE,F16=""),"Not Active","Active")</f>
        <v>Not Active</v>
      </c>
      <c r="J16" s="83"/>
      <c r="K16" s="77"/>
    </row>
    <row r="17" spans="1:11" ht="15" customHeight="1" x14ac:dyDescent="0.25">
      <c r="A17" s="77"/>
      <c r="B17" s="85"/>
      <c r="C17" s="98"/>
      <c r="D17" s="98"/>
      <c r="E17" s="98"/>
      <c r="F17" s="98"/>
      <c r="G17" s="98"/>
      <c r="H17" s="100"/>
      <c r="I17" s="98"/>
      <c r="J17" s="83"/>
      <c r="K17" s="126"/>
    </row>
    <row r="18" spans="1:11" ht="35.1" customHeight="1" x14ac:dyDescent="0.25">
      <c r="A18" s="77"/>
      <c r="B18" s="85"/>
      <c r="C18" s="763" t="str">
        <f>"Formula:  % Change in VMT = % VMT Reduction based on matrix cross reference"</f>
        <v>Formula:  % Change in VMT = % VMT Reduction based on matrix cross reference</v>
      </c>
      <c r="D18" s="792"/>
      <c r="E18" s="792"/>
      <c r="F18" s="792"/>
      <c r="G18" s="792"/>
      <c r="H18" s="792"/>
      <c r="I18" s="793"/>
      <c r="J18" s="83"/>
      <c r="K18" s="126"/>
    </row>
    <row r="19" spans="1:11" ht="15" customHeight="1" x14ac:dyDescent="0.25">
      <c r="A19" s="77"/>
      <c r="B19" s="85"/>
      <c r="C19" s="98"/>
      <c r="D19" s="98"/>
      <c r="E19" s="98"/>
      <c r="F19" s="98"/>
      <c r="G19" s="98"/>
      <c r="H19" s="100"/>
      <c r="I19" s="98"/>
      <c r="J19" s="83"/>
      <c r="K19" s="126"/>
    </row>
    <row r="20" spans="1:11" ht="15" customHeight="1" x14ac:dyDescent="0.25">
      <c r="A20" s="77"/>
      <c r="B20" s="85"/>
      <c r="C20" s="98" t="s">
        <v>6</v>
      </c>
      <c r="D20" s="98"/>
      <c r="E20" s="98"/>
      <c r="F20" s="98"/>
      <c r="G20" s="98"/>
      <c r="H20" s="100"/>
      <c r="I20" s="98"/>
      <c r="J20" s="83"/>
      <c r="K20" s="77"/>
    </row>
    <row r="21" spans="1:11" ht="80.099999999999994" customHeight="1" x14ac:dyDescent="0.25">
      <c r="A21" s="77"/>
      <c r="B21" s="85"/>
      <c r="C21" s="757" t="str">
        <f>INDEX(VL_TDM!$AG$11:$AG$41,MATCH($A$4,VL_TDM!$B$11:$B$41,0),1)</f>
        <v>(1) Cambridge Systematics. Moving Cooler: An Analysis of Transportation Strategies for Reducing Greenhouse Gas Emissions.(p. B-25) http://www.movingcooler.info/Library/Documents/Moving%20Cooler_Appendices _Complete_102209.pdf 
(2) Sacramento Metropolitan Air Quality Management District (SMAQMD) Recommended Guidance for Land Use Emission Reductions. (p.13) http://www.airquality.org/ceqa/GuidanceLUEmissionReductions.pdf</v>
      </c>
      <c r="D21" s="710"/>
      <c r="E21" s="710"/>
      <c r="F21" s="710"/>
      <c r="G21" s="710"/>
      <c r="H21" s="710"/>
      <c r="I21" s="710"/>
      <c r="J21" s="83"/>
      <c r="K21" s="77"/>
    </row>
    <row r="22" spans="1:11" ht="15" customHeight="1" x14ac:dyDescent="0.25">
      <c r="A22" s="77"/>
      <c r="B22" s="101"/>
      <c r="C22" s="226"/>
      <c r="D22" s="226"/>
      <c r="E22" s="226"/>
      <c r="F22" s="226"/>
      <c r="G22" s="226"/>
      <c r="H22" s="471"/>
      <c r="I22" s="226"/>
      <c r="J22" s="472"/>
      <c r="K22" s="77"/>
    </row>
    <row r="23" spans="1:11" ht="22.35" customHeight="1" x14ac:dyDescent="0.25">
      <c r="A23" s="77"/>
      <c r="B23" s="78"/>
      <c r="C23" s="77"/>
      <c r="D23" s="77"/>
      <c r="E23" s="77"/>
      <c r="F23" s="77"/>
      <c r="G23" s="77"/>
      <c r="H23" s="103"/>
      <c r="I23" s="77"/>
      <c r="J23" s="77"/>
      <c r="K23" s="77"/>
    </row>
    <row r="24" spans="1:11" hidden="1" x14ac:dyDescent="0.25">
      <c r="B24" s="191"/>
      <c r="C24" s="191"/>
    </row>
    <row r="25" spans="1:11" hidden="1" x14ac:dyDescent="0.25">
      <c r="D25" s="577"/>
      <c r="E25" s="577"/>
      <c r="F25" s="577"/>
      <c r="G25" s="577"/>
    </row>
    <row r="26" spans="1:11" hidden="1" x14ac:dyDescent="0.25">
      <c r="C26" s="577"/>
      <c r="D26" s="578"/>
      <c r="E26" s="578"/>
      <c r="F26" s="578"/>
      <c r="G26" s="578"/>
    </row>
    <row r="27" spans="1:11" hidden="1" x14ac:dyDescent="0.25">
      <c r="C27" s="577"/>
      <c r="D27" s="578"/>
      <c r="E27" s="578"/>
      <c r="F27" s="578"/>
      <c r="G27" s="578"/>
    </row>
    <row r="28" spans="1:11" hidden="1" x14ac:dyDescent="0.25">
      <c r="C28" s="577"/>
      <c r="D28" s="578"/>
      <c r="E28" s="578"/>
      <c r="F28" s="578"/>
      <c r="G28" s="578"/>
    </row>
    <row r="29" spans="1:11" hidden="1" x14ac:dyDescent="0.25">
      <c r="C29" s="577"/>
      <c r="D29" s="578"/>
      <c r="E29" s="578"/>
      <c r="F29" s="578"/>
      <c r="G29" s="577"/>
    </row>
    <row r="38" spans="2:13" s="115" customFormat="1" hidden="1" x14ac:dyDescent="0.25">
      <c r="H38" s="116"/>
      <c r="L38" s="92"/>
      <c r="M38" s="92"/>
    </row>
    <row r="39" spans="2:13" s="115" customFormat="1" hidden="1" x14ac:dyDescent="0.25">
      <c r="H39" s="116"/>
      <c r="L39" s="92"/>
      <c r="M39" s="92"/>
    </row>
    <row r="40" spans="2:13" s="115" customFormat="1" hidden="1" x14ac:dyDescent="0.25">
      <c r="H40" s="116"/>
      <c r="L40" s="92"/>
      <c r="M40" s="92"/>
    </row>
    <row r="41" spans="2:13" s="115" customFormat="1" hidden="1" x14ac:dyDescent="0.25">
      <c r="H41" s="116"/>
      <c r="L41" s="92"/>
      <c r="M41" s="92"/>
    </row>
    <row r="42" spans="2:13" s="115" customFormat="1" hidden="1" x14ac:dyDescent="0.25">
      <c r="H42" s="116"/>
      <c r="L42" s="92"/>
      <c r="M42" s="92"/>
    </row>
    <row r="43" spans="2:13" s="115" customFormat="1" hidden="1" x14ac:dyDescent="0.25">
      <c r="H43" s="116"/>
      <c r="L43" s="92"/>
      <c r="M43" s="92"/>
    </row>
    <row r="44" spans="2:13" s="115" customFormat="1" hidden="1" x14ac:dyDescent="0.25">
      <c r="H44" s="116"/>
      <c r="L44" s="92"/>
      <c r="M44" s="92"/>
    </row>
    <row r="45" spans="2:13" s="115" customFormat="1" hidden="1" x14ac:dyDescent="0.25">
      <c r="H45" s="116"/>
      <c r="L45" s="92"/>
      <c r="M45" s="92"/>
    </row>
    <row r="46" spans="2:13" s="115" customFormat="1" hidden="1" x14ac:dyDescent="0.25">
      <c r="H46" s="116"/>
      <c r="L46" s="92"/>
      <c r="M46" s="92"/>
    </row>
    <row r="47" spans="2:13" ht="15" hidden="1" customHeight="1" x14ac:dyDescent="0.25">
      <c r="B47" s="92"/>
      <c r="C47" s="92"/>
    </row>
    <row r="48" spans="2:13" ht="15" hidden="1" customHeight="1" x14ac:dyDescent="0.25">
      <c r="C48" s="92"/>
      <c r="D48" s="92"/>
      <c r="E48" s="92"/>
      <c r="F48" s="92"/>
      <c r="G48" s="92"/>
    </row>
    <row r="49" spans="3:7" ht="15" hidden="1" customHeight="1" x14ac:dyDescent="0.25">
      <c r="C49" s="92"/>
      <c r="D49" s="92"/>
      <c r="E49" s="92"/>
      <c r="F49" s="92"/>
      <c r="G49" s="92"/>
    </row>
    <row r="50" spans="3:7" ht="15" hidden="1" customHeight="1" x14ac:dyDescent="0.25">
      <c r="C50" s="92"/>
      <c r="D50" s="92"/>
      <c r="E50" s="92"/>
      <c r="F50" s="92"/>
      <c r="G50" s="92"/>
    </row>
    <row r="51" spans="3:7" ht="15" hidden="1" customHeight="1" x14ac:dyDescent="0.25">
      <c r="C51" s="92"/>
      <c r="D51" s="92"/>
      <c r="E51" s="92"/>
      <c r="F51" s="92"/>
      <c r="G51" s="92"/>
    </row>
    <row r="52" spans="3:7" ht="15" hidden="1" customHeight="1" x14ac:dyDescent="0.25">
      <c r="C52" s="92"/>
      <c r="D52" s="92"/>
      <c r="E52" s="92"/>
      <c r="F52" s="92"/>
      <c r="G52" s="92"/>
    </row>
  </sheetData>
  <sheetProtection algorithmName="SHA-512" hashValue="CH79I//gBajQhi9wjxGpSLBzG1eZdl2as2vBU/cZkjkCP2/PJjY+HpOZ2Xqc/dPSZauTyVstjwMV4gwgLCSoCw==" saltValue="IiD/PXreP9950zdGmd94yA==" spinCount="100000" sheet="1" objects="1" scenarios="1" selectLockedCells="1"/>
  <mergeCells count="4">
    <mergeCell ref="B4:J4"/>
    <mergeCell ref="C10:I10"/>
    <mergeCell ref="C18:I18"/>
    <mergeCell ref="C21:I21"/>
  </mergeCells>
  <conditionalFormatting sqref="F16">
    <cfRule type="expression" dxfId="11" priority="4">
      <formula>AND(F16&lt;&gt;"",F16&gt;0)</formula>
    </cfRule>
    <cfRule type="expression" dxfId="10" priority="5">
      <formula>-ROUND($D$8,3)=ROUND($F$16,3)</formula>
    </cfRule>
  </conditionalFormatting>
  <dataValidations count="1">
    <dataValidation type="list" allowBlank="1" showErrorMessage="1" errorTitle="Restriction" error="Value must be between 0% and 100%_x000a_" promptTitle="Restriction" prompt="Value must be between 0% and 100%_x000a_" sqref="F12 F14" xr:uid="{18D74F05-356C-4F4B-A40E-29CD190026B4}">
      <formula1>"0%,25%,50%,75%,100%"</formula1>
    </dataValidation>
  </dataValidations>
  <hyperlinks>
    <hyperlink ref="I7" location="Results!A1" display="Results Summary" xr:uid="{2B31FA14-9195-4B2E-A024-20B5B5838E35}"/>
    <hyperlink ref="I6" location="Main!L65" display="Return to Main É" xr:uid="{052B0980-CC00-401F-98D7-78753C92166D}"/>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ltText="Exclude From Results Summary">
                <anchor moveWithCells="1">
                  <from>
                    <xdr:col>6</xdr:col>
                    <xdr:colOff>342900</xdr:colOff>
                    <xdr:row>14</xdr:row>
                    <xdr:rowOff>66675</xdr:rowOff>
                  </from>
                  <to>
                    <xdr:col>8</xdr:col>
                    <xdr:colOff>0</xdr:colOff>
                    <xdr:row>16</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996600"/>
  </sheetPr>
  <dimension ref="A1:M61"/>
  <sheetViews>
    <sheetView showGridLines="0" showRowColHeaders="0" topLeftCell="A3" zoomScaleNormal="100" workbookViewId="0">
      <selection activeCell="E12" sqref="E12"/>
    </sheetView>
  </sheetViews>
  <sheetFormatPr defaultColWidth="0" defaultRowHeight="15" zeroHeight="1" x14ac:dyDescent="0.25"/>
  <cols>
    <col min="1" max="1" width="3.42578125" style="115" customWidth="1"/>
    <col min="2" max="2" width="8.85546875" style="115" customWidth="1"/>
    <col min="3" max="3" width="20" style="115" customWidth="1"/>
    <col min="4" max="4" width="62.5703125" style="115" customWidth="1"/>
    <col min="5" max="5" width="10.5703125" style="115" customWidth="1"/>
    <col min="6" max="6" width="5.5703125" style="115" customWidth="1"/>
    <col min="7" max="7" width="19.85546875" style="116" customWidth="1"/>
    <col min="8" max="8" width="17.5703125" style="115" customWidth="1"/>
    <col min="9" max="9" width="8.85546875" style="115" customWidth="1"/>
    <col min="10" max="10" width="4.5703125" style="115" customWidth="1"/>
    <col min="11" max="13" width="0" style="92" hidden="1" customWidth="1"/>
    <col min="14" max="16384" width="8.85546875" style="92" hidden="1"/>
  </cols>
  <sheetData>
    <row r="1" spans="1:10" hidden="1" x14ac:dyDescent="0.25">
      <c r="A1" s="77"/>
      <c r="B1" s="77"/>
      <c r="C1" s="77"/>
      <c r="D1" s="77"/>
      <c r="E1" s="77"/>
      <c r="F1" s="77"/>
      <c r="G1" s="103"/>
      <c r="H1" s="77"/>
      <c r="I1" s="77"/>
      <c r="J1" s="77"/>
    </row>
    <row r="2" spans="1:10" hidden="1" x14ac:dyDescent="0.25">
      <c r="A2" s="77"/>
      <c r="B2" s="77"/>
      <c r="C2" s="77"/>
      <c r="D2" s="77"/>
      <c r="E2" s="77"/>
      <c r="F2" s="77"/>
      <c r="G2" s="103"/>
      <c r="H2" s="77"/>
      <c r="I2" s="77"/>
      <c r="J2" s="77"/>
    </row>
    <row r="3" spans="1:10" ht="22.35" customHeight="1" x14ac:dyDescent="0.25">
      <c r="A3" s="77"/>
      <c r="B3" s="51"/>
      <c r="C3" s="77"/>
      <c r="D3" s="77"/>
      <c r="E3" s="77"/>
      <c r="F3" s="77"/>
      <c r="G3" s="103"/>
      <c r="H3" s="77"/>
      <c r="I3" s="77"/>
      <c r="J3" s="77"/>
    </row>
    <row r="4" spans="1:10" ht="18.75" x14ac:dyDescent="0.25">
      <c r="A4" s="239" t="s">
        <v>33</v>
      </c>
      <c r="B4" s="807" t="str">
        <f>A4&amp;". "&amp;INDEX(VL_TDM!$E$11:$E$41,MATCH($A$4,VL_TDM!$B$11:$B$41,0),1)</f>
        <v>5A. Transit Service Expansion</v>
      </c>
      <c r="C4" s="722"/>
      <c r="D4" s="722"/>
      <c r="E4" s="722"/>
      <c r="F4" s="722"/>
      <c r="G4" s="722"/>
      <c r="H4" s="722"/>
      <c r="I4" s="723"/>
      <c r="J4" s="77"/>
    </row>
    <row r="5" spans="1:10" ht="15" customHeight="1" x14ac:dyDescent="0.25">
      <c r="A5" s="77"/>
      <c r="B5" s="85"/>
      <c r="C5" s="110"/>
      <c r="D5" s="110"/>
      <c r="E5" s="110"/>
      <c r="F5" s="98"/>
      <c r="G5" s="100"/>
      <c r="H5" s="98"/>
      <c r="I5" s="83"/>
      <c r="J5" s="77"/>
    </row>
    <row r="6" spans="1:10" ht="15" customHeight="1" x14ac:dyDescent="0.25">
      <c r="A6" s="77"/>
      <c r="B6" s="85"/>
      <c r="C6" s="98" t="s">
        <v>1</v>
      </c>
      <c r="D6" s="462" t="str">
        <f>INDEX(VL_TDM!$AC$11:$AC$41,MATCH($A$4,VL_TDM!$B$11:$B$41,0),1)</f>
        <v>Neighborhood/City</v>
      </c>
      <c r="E6" s="100"/>
      <c r="F6" s="100"/>
      <c r="G6" s="100"/>
      <c r="H6" s="617" t="s">
        <v>89</v>
      </c>
      <c r="I6" s="83"/>
      <c r="J6" s="77"/>
    </row>
    <row r="7" spans="1:10" ht="15" customHeight="1" x14ac:dyDescent="0.25">
      <c r="A7" s="77"/>
      <c r="B7" s="85"/>
      <c r="C7" s="109" t="s">
        <v>2</v>
      </c>
      <c r="D7" s="113" t="str">
        <f>INDEX(VL_TDM!$AD$11:$AD$41,MATCH($A$4,VL_TDM!$B$11:$B$41,0),1)</f>
        <v>All neighborhood/city trips</v>
      </c>
      <c r="E7" s="100"/>
      <c r="F7" s="100"/>
      <c r="G7" s="98"/>
      <c r="H7" s="617" t="s">
        <v>105</v>
      </c>
      <c r="I7" s="83"/>
      <c r="J7" s="77"/>
    </row>
    <row r="8" spans="1:10" ht="15" customHeight="1" x14ac:dyDescent="0.25">
      <c r="A8" s="77"/>
      <c r="B8" s="85"/>
      <c r="C8" s="109" t="s">
        <v>149</v>
      </c>
      <c r="D8" s="114">
        <f>INDEX(VL_TDM!$AE$11:$AE$41,MATCH($A$4,VL_TDM!$B$11:$B$41,0),1)</f>
        <v>4.5999999999999999E-2</v>
      </c>
      <c r="E8" s="110"/>
      <c r="F8" s="98"/>
      <c r="G8" s="100"/>
      <c r="H8" s="98"/>
      <c r="I8" s="83"/>
      <c r="J8" s="77"/>
    </row>
    <row r="9" spans="1:10" ht="15" customHeight="1" x14ac:dyDescent="0.25">
      <c r="A9" s="77"/>
      <c r="B9" s="85"/>
      <c r="C9" s="98"/>
      <c r="D9" s="98"/>
      <c r="E9" s="98"/>
      <c r="F9" s="98"/>
      <c r="G9" s="100"/>
      <c r="H9" s="98"/>
      <c r="I9" s="83"/>
      <c r="J9" s="77"/>
    </row>
    <row r="10" spans="1:10" ht="110.1" customHeight="1" x14ac:dyDescent="0.25">
      <c r="A10" s="77"/>
      <c r="B10" s="85"/>
      <c r="C10" s="724" t="str">
        <f>INDEX(VL_TDM!$AF$11:$AF$41,MATCH($A$4,VL_TDM!$B$11:$B$41,0),1)</f>
        <v>This strategy will expand the local transit network by adding or modifying existing transit service to enhance the service near the project site. This will encourage the use of transit and therefore reduce VMT and associated GHG emissions. 
There are two primary means of expanding the transit network: by increasing the frequency of service, thereby reducing average wait times and increasing convenience, or by expanding new service to cover areas previously outside the network’s service area. This strategy is focused on providing additional transit network coverage, with no changes to transit frequency. Coverage can also be applied to extending hours of service. Strategy 5B is focused on increasing transit service frequency.</v>
      </c>
      <c r="D10" s="710"/>
      <c r="E10" s="710"/>
      <c r="F10" s="710"/>
      <c r="G10" s="710"/>
      <c r="H10" s="710"/>
      <c r="I10" s="83"/>
      <c r="J10" s="77"/>
    </row>
    <row r="11" spans="1:10" ht="15" customHeight="1" x14ac:dyDescent="0.25">
      <c r="A11" s="77"/>
      <c r="B11" s="85"/>
      <c r="C11" s="98"/>
      <c r="D11" s="98"/>
      <c r="E11" s="98"/>
      <c r="F11" s="98"/>
      <c r="G11" s="100"/>
      <c r="H11" s="98"/>
      <c r="I11" s="83"/>
      <c r="J11" s="77"/>
    </row>
    <row r="12" spans="1:10" ht="15" customHeight="1" x14ac:dyDescent="0.25">
      <c r="A12" s="77"/>
      <c r="B12" s="85"/>
      <c r="C12" s="104" t="s">
        <v>735</v>
      </c>
      <c r="D12" s="262"/>
      <c r="E12" s="59"/>
      <c r="F12" s="100"/>
      <c r="G12" s="262" t="s">
        <v>0</v>
      </c>
      <c r="H12" s="98"/>
      <c r="I12" s="83"/>
      <c r="J12" s="78"/>
    </row>
    <row r="13" spans="1:10" ht="4.3499999999999996" customHeight="1" x14ac:dyDescent="0.25">
      <c r="A13" s="77"/>
      <c r="B13" s="85"/>
      <c r="C13" s="104"/>
      <c r="D13" s="98"/>
      <c r="E13" s="464"/>
      <c r="F13" s="100"/>
      <c r="G13" s="263"/>
      <c r="H13" s="98"/>
      <c r="I13" s="83"/>
      <c r="J13" s="77"/>
    </row>
    <row r="14" spans="1:10" ht="15" customHeight="1" x14ac:dyDescent="0.25">
      <c r="A14" s="77"/>
      <c r="B14" s="85"/>
      <c r="C14" s="104" t="s">
        <v>736</v>
      </c>
      <c r="D14" s="262"/>
      <c r="E14" s="59"/>
      <c r="F14" s="100"/>
      <c r="G14" s="262" t="s">
        <v>0</v>
      </c>
      <c r="H14" s="98"/>
      <c r="I14" s="83"/>
      <c r="J14" s="78"/>
    </row>
    <row r="15" spans="1:10" ht="4.3499999999999996" customHeight="1" x14ac:dyDescent="0.25">
      <c r="A15" s="77"/>
      <c r="B15" s="85"/>
      <c r="C15" s="104"/>
      <c r="D15" s="98"/>
      <c r="E15" s="98"/>
      <c r="F15" s="100"/>
      <c r="G15" s="263"/>
      <c r="H15" s="98"/>
      <c r="I15" s="83"/>
      <c r="J15" s="77"/>
    </row>
    <row r="16" spans="1:10" ht="15" customHeight="1" x14ac:dyDescent="0.25">
      <c r="A16" s="77"/>
      <c r="B16" s="85"/>
      <c r="C16" s="104" t="s">
        <v>13</v>
      </c>
      <c r="D16" s="465"/>
      <c r="E16" s="579" t="str">
        <f>IF(OR(ISBLANK(E14),ISBLANK(E12)),"",IFERROR(MIN((E14-E12)/E12,100%),""))</f>
        <v/>
      </c>
      <c r="F16" s="100"/>
      <c r="G16" s="265" t="s">
        <v>10</v>
      </c>
      <c r="H16" s="98"/>
      <c r="I16" s="83"/>
      <c r="J16" s="77"/>
    </row>
    <row r="17" spans="1:10" ht="4.3499999999999996" customHeight="1" x14ac:dyDescent="0.25">
      <c r="A17" s="77"/>
      <c r="B17" s="85"/>
      <c r="C17" s="104"/>
      <c r="D17" s="98"/>
      <c r="E17" s="98"/>
      <c r="F17" s="100"/>
      <c r="G17" s="263"/>
      <c r="H17" s="98"/>
      <c r="I17" s="83"/>
      <c r="J17" s="77"/>
    </row>
    <row r="18" spans="1:10" ht="15" customHeight="1" x14ac:dyDescent="0.25">
      <c r="A18" s="77"/>
      <c r="B18" s="85"/>
      <c r="C18" s="104" t="s">
        <v>684</v>
      </c>
      <c r="D18" s="465"/>
      <c r="E18" s="266" t="e">
        <f>IF(J18="Use Capcoa 2021",VL_REF!$G$3,INDEX(VL_TAZ!$O$9:$AD$9,1,MATCH($C18,VL_TAZ!$O$10:$AD$10,0)))</f>
        <v>#N/A</v>
      </c>
      <c r="F18" s="100"/>
      <c r="G18" s="98" t="str">
        <f>CONCATENATE("Alameda CTC model",IF(NOT(ISBLANK(E20)),", overridden",""))</f>
        <v>Alameda CTC model</v>
      </c>
      <c r="H18" s="98"/>
      <c r="I18" s="83"/>
      <c r="J18" s="239" t="s">
        <v>683</v>
      </c>
    </row>
    <row r="19" spans="1:10" ht="4.3499999999999996" customHeight="1" x14ac:dyDescent="0.25">
      <c r="A19" s="77"/>
      <c r="B19" s="85"/>
      <c r="C19" s="104"/>
      <c r="D19" s="98"/>
      <c r="E19" s="98"/>
      <c r="F19" s="100"/>
      <c r="G19" s="263"/>
      <c r="H19" s="98"/>
      <c r="I19" s="83"/>
      <c r="J19" s="77"/>
    </row>
    <row r="20" spans="1:10" ht="15" customHeight="1" x14ac:dyDescent="0.25">
      <c r="A20" s="77"/>
      <c r="B20" s="85"/>
      <c r="C20" s="104" t="s">
        <v>685</v>
      </c>
      <c r="D20" s="465"/>
      <c r="E20" s="74"/>
      <c r="F20" s="100"/>
      <c r="G20" s="265" t="s">
        <v>11</v>
      </c>
      <c r="H20" s="98"/>
      <c r="I20" s="83"/>
      <c r="J20" s="77"/>
    </row>
    <row r="21" spans="1:10" ht="4.3499999999999996" customHeight="1" x14ac:dyDescent="0.25">
      <c r="A21" s="77"/>
      <c r="B21" s="85"/>
      <c r="C21" s="264"/>
      <c r="D21" s="465"/>
      <c r="E21" s="466"/>
      <c r="F21" s="100"/>
      <c r="G21" s="262"/>
      <c r="H21" s="98"/>
      <c r="I21" s="83"/>
      <c r="J21" s="77"/>
    </row>
    <row r="22" spans="1:10" x14ac:dyDescent="0.25">
      <c r="A22" s="77"/>
      <c r="B22" s="85"/>
      <c r="C22" s="104" t="s">
        <v>14</v>
      </c>
      <c r="D22" s="465"/>
      <c r="E22" s="467" t="str">
        <f>IFERROR(IF(ISBLANK(E20),E18,IF(E20&gt;25%,E18,IF(E20&lt;=25%,E20,E18))),"")</f>
        <v/>
      </c>
      <c r="F22" s="100"/>
      <c r="G22" s="262" t="s">
        <v>10</v>
      </c>
      <c r="H22" s="98"/>
      <c r="I22" s="83"/>
      <c r="J22" s="78"/>
    </row>
    <row r="23" spans="1:10" ht="4.3499999999999996" customHeight="1" x14ac:dyDescent="0.25">
      <c r="A23" s="77"/>
      <c r="B23" s="85"/>
      <c r="C23" s="104"/>
      <c r="D23" s="98"/>
      <c r="E23" s="98"/>
      <c r="F23" s="100"/>
      <c r="G23" s="263"/>
      <c r="H23" s="98"/>
      <c r="I23" s="83"/>
      <c r="J23" s="77"/>
    </row>
    <row r="24" spans="1:10" ht="15" customHeight="1" x14ac:dyDescent="0.25">
      <c r="A24" s="77"/>
      <c r="B24" s="85"/>
      <c r="C24" s="104" t="s">
        <v>565</v>
      </c>
      <c r="D24" s="465"/>
      <c r="E24" s="468">
        <v>0.7</v>
      </c>
      <c r="F24" s="100"/>
      <c r="G24" s="108" t="s">
        <v>7</v>
      </c>
      <c r="H24" s="98"/>
      <c r="I24" s="83"/>
      <c r="J24" s="78"/>
    </row>
    <row r="25" spans="1:10" ht="4.3499999999999996" customHeight="1" x14ac:dyDescent="0.25">
      <c r="A25" s="77"/>
      <c r="B25" s="85"/>
      <c r="C25" s="104"/>
      <c r="D25" s="98"/>
      <c r="E25" s="98"/>
      <c r="F25" s="100"/>
      <c r="G25" s="263"/>
      <c r="H25" s="98"/>
      <c r="I25" s="83"/>
      <c r="J25" s="77"/>
    </row>
    <row r="26" spans="1:10" ht="15" customHeight="1" x14ac:dyDescent="0.25">
      <c r="A26" s="77"/>
      <c r="B26" s="85"/>
      <c r="C26" s="104" t="s">
        <v>564</v>
      </c>
      <c r="D26" s="262"/>
      <c r="E26" s="580">
        <v>0.57799999999999996</v>
      </c>
      <c r="F26" s="100"/>
      <c r="G26" s="108" t="s">
        <v>9</v>
      </c>
      <c r="H26" s="98"/>
      <c r="I26" s="83"/>
      <c r="J26" s="78"/>
    </row>
    <row r="27" spans="1:10" ht="4.3499999999999996" customHeight="1" x14ac:dyDescent="0.25">
      <c r="A27" s="77"/>
      <c r="B27" s="85"/>
      <c r="C27" s="104"/>
      <c r="D27" s="98"/>
      <c r="E27" s="98"/>
      <c r="F27" s="100"/>
      <c r="G27" s="263"/>
      <c r="H27" s="98"/>
      <c r="I27" s="83"/>
      <c r="J27" s="77"/>
    </row>
    <row r="28" spans="1:10" ht="15" customHeight="1" x14ac:dyDescent="0.25">
      <c r="A28" s="77"/>
      <c r="B28" s="85"/>
      <c r="C28" s="104" t="s">
        <v>546</v>
      </c>
      <c r="D28" s="98"/>
      <c r="E28" s="468">
        <v>1</v>
      </c>
      <c r="F28" s="100"/>
      <c r="G28" s="108" t="s">
        <v>911</v>
      </c>
      <c r="H28" s="98"/>
      <c r="I28" s="83"/>
      <c r="J28" s="78"/>
    </row>
    <row r="29" spans="1:10" ht="4.3499999999999996" customHeight="1" x14ac:dyDescent="0.25">
      <c r="A29" s="77"/>
      <c r="B29" s="85"/>
      <c r="C29" s="104"/>
      <c r="D29" s="98"/>
      <c r="E29" s="98"/>
      <c r="F29" s="100"/>
      <c r="G29" s="263"/>
      <c r="H29" s="98"/>
      <c r="I29" s="83"/>
      <c r="J29" s="77"/>
    </row>
    <row r="30" spans="1:10" ht="15" customHeight="1" x14ac:dyDescent="0.25">
      <c r="A30" s="77"/>
      <c r="B30" s="85"/>
      <c r="C30" s="104" t="s">
        <v>5</v>
      </c>
      <c r="D30" s="262"/>
      <c r="E30" s="129" t="str">
        <f>IF(OR(ISBLANK(E12),ISBLANK(E14)),"",IFERROR(MAX(-D8,-1*E16*E22*E24*E26*E28),""))</f>
        <v/>
      </c>
      <c r="F30" s="470"/>
      <c r="G30" s="53" t="b">
        <v>0</v>
      </c>
      <c r="H30" s="207" t="str">
        <f>IF(OR(G30=TRUE,E30=""),"Not Active","Active")</f>
        <v>Not Active</v>
      </c>
      <c r="I30" s="83"/>
      <c r="J30" s="77"/>
    </row>
    <row r="31" spans="1:10" ht="15" customHeight="1" x14ac:dyDescent="0.25">
      <c r="A31" s="77"/>
      <c r="B31" s="85"/>
      <c r="C31" s="98"/>
      <c r="D31" s="98"/>
      <c r="E31" s="98"/>
      <c r="F31" s="98"/>
      <c r="G31" s="100"/>
      <c r="H31" s="98"/>
      <c r="I31" s="83"/>
      <c r="J31" s="77"/>
    </row>
    <row r="32" spans="1:10" ht="51.95" customHeight="1" x14ac:dyDescent="0.25">
      <c r="A32" s="77"/>
      <c r="B32" s="85"/>
      <c r="C32" s="808" t="str">
        <f>"Formula:  % Change in VMT =  " &amp; SUBSTITUTE("-1* " &amp; C16 &amp; " * " &amp; C22 &amp; " * " &amp; C24 &amp; " * " &amp; C26 &amp; " * " &amp; C28 &amp; " "," used for calculation","")</f>
        <v xml:space="preserve">Formula:  % Change in VMT =  -1* % change in bus network coverage * Transit mode share * Elasticity of transit demand with respect to service miles * Statewide mode shift factor * Ratio of vehicle trip reduction to VMT </v>
      </c>
      <c r="D32" s="809"/>
      <c r="E32" s="809"/>
      <c r="F32" s="809"/>
      <c r="G32" s="809"/>
      <c r="H32" s="810"/>
      <c r="I32" s="83"/>
      <c r="J32" s="77"/>
    </row>
    <row r="33" spans="1:10" ht="15" customHeight="1" x14ac:dyDescent="0.25">
      <c r="A33" s="77"/>
      <c r="B33" s="85"/>
      <c r="C33" s="581"/>
      <c r="D33" s="666" t="s">
        <v>818</v>
      </c>
      <c r="E33" s="666"/>
      <c r="F33" s="666"/>
      <c r="G33" s="666"/>
      <c r="H33" s="582"/>
      <c r="I33" s="83"/>
      <c r="J33" s="77"/>
    </row>
    <row r="34" spans="1:10" ht="15" customHeight="1" x14ac:dyDescent="0.25">
      <c r="A34" s="77"/>
      <c r="B34" s="85"/>
      <c r="C34" s="583"/>
      <c r="D34" s="226" t="s">
        <v>67</v>
      </c>
      <c r="E34" s="226"/>
      <c r="F34" s="226"/>
      <c r="G34" s="226"/>
      <c r="H34" s="584"/>
      <c r="I34" s="83"/>
      <c r="J34" s="77"/>
    </row>
    <row r="35" spans="1:10" ht="15" customHeight="1" x14ac:dyDescent="0.25">
      <c r="A35" s="77"/>
      <c r="B35" s="85"/>
      <c r="C35" s="532"/>
      <c r="D35" s="518"/>
      <c r="E35" s="518"/>
      <c r="F35" s="518"/>
      <c r="G35" s="518"/>
      <c r="H35" s="518"/>
      <c r="I35" s="83"/>
      <c r="J35" s="77"/>
    </row>
    <row r="36" spans="1:10" ht="15" customHeight="1" x14ac:dyDescent="0.25">
      <c r="A36" s="77"/>
      <c r="B36" s="85"/>
      <c r="C36" s="98" t="s">
        <v>6</v>
      </c>
      <c r="D36" s="98"/>
      <c r="E36" s="98"/>
      <c r="F36" s="98"/>
      <c r="G36" s="100"/>
      <c r="H36" s="98"/>
      <c r="I36" s="83"/>
      <c r="J36" s="77"/>
    </row>
    <row r="37" spans="1:10" ht="99.95" customHeight="1" x14ac:dyDescent="0.25">
      <c r="A37" s="77"/>
      <c r="B37" s="85"/>
      <c r="C37" s="666" t="str">
        <f>INDEX(VL_TDM!$AG$11:$AG$41,MATCH($A$4,VL_TDM!$B$11:$B$41,0),1)</f>
        <v>(1)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v>
      </c>
      <c r="D37" s="710"/>
      <c r="E37" s="710"/>
      <c r="F37" s="710"/>
      <c r="G37" s="710"/>
      <c r="H37" s="710"/>
      <c r="I37" s="585"/>
      <c r="J37" s="77"/>
    </row>
    <row r="38" spans="1:10" ht="15" customHeight="1" x14ac:dyDescent="0.25">
      <c r="A38" s="77"/>
      <c r="B38" s="101"/>
      <c r="C38" s="226"/>
      <c r="D38" s="226"/>
      <c r="E38" s="226"/>
      <c r="F38" s="226"/>
      <c r="G38" s="471"/>
      <c r="H38" s="226"/>
      <c r="I38" s="472"/>
      <c r="J38" s="77"/>
    </row>
    <row r="39" spans="1:10" ht="22.35" customHeight="1" x14ac:dyDescent="0.25">
      <c r="A39" s="77"/>
      <c r="B39" s="77"/>
      <c r="C39" s="77"/>
      <c r="D39" s="77"/>
      <c r="E39" s="77"/>
      <c r="F39" s="77"/>
      <c r="G39" s="103"/>
      <c r="H39" s="77"/>
      <c r="I39" s="77"/>
      <c r="J39" s="77"/>
    </row>
    <row r="61" spans="13:13" hidden="1" x14ac:dyDescent="0.25">
      <c r="M61" s="484"/>
    </row>
  </sheetData>
  <sheetProtection algorithmName="SHA-512" hashValue="WeZUQmzVUrv3FYwytG/vCdmHw8OSrY2NHi+aul3bupBtCXo45A5a/xVGkcXWWYVWw1wuSgj163q6MgdX08vfgA==" saltValue="oYdvpPcoEbicIRWVpzXPTQ==" spinCount="100000" sheet="1" objects="1" scenarios="1" selectLockedCells="1"/>
  <mergeCells count="5">
    <mergeCell ref="B4:I4"/>
    <mergeCell ref="C10:H10"/>
    <mergeCell ref="C32:H32"/>
    <mergeCell ref="D33:G33"/>
    <mergeCell ref="C37:H37"/>
  </mergeCells>
  <conditionalFormatting sqref="E30">
    <cfRule type="expression" dxfId="9" priority="13">
      <formula>-ROUND($D$8,3)=ROUND($E$30,3)</formula>
    </cfRule>
    <cfRule type="expression" dxfId="8" priority="16">
      <formula>AND(E30&lt;&gt;"",E30&gt;0)</formula>
    </cfRule>
  </conditionalFormatting>
  <dataValidations count="4">
    <dataValidation allowBlank="1" showErrorMessage="1" promptTitle="Default" prompt="User can override this default value in below cell._x000a_" sqref="E24" xr:uid="{00000000-0002-0000-1500-000000000000}"/>
    <dataValidation allowBlank="1" showErrorMessage="1" promptTitle="Restriction" prompt="Value must not exceed 100% (1)._x000a_" sqref="E16" xr:uid="{00000000-0002-0000-1500-000001000000}"/>
    <dataValidation type="decimal" allowBlank="1" showErrorMessage="1" errorTitle="Restriction" error="Value must be between 0% and 100%_x000a_" promptTitle="Restriction" prompt="If value exceeds maximum of 25%, default value will be used below." sqref="E20" xr:uid="{00000000-0002-0000-1500-000003000000}">
      <formula1>0</formula1>
      <formula2>1</formula2>
    </dataValidation>
    <dataValidation type="decimal" operator="greaterThanOrEqual" allowBlank="1" showInputMessage="1" showErrorMessage="1" error="Value must not be negative" sqref="E14 E12" xr:uid="{00000000-0002-0000-1500-000004000000}">
      <formula1>0</formula1>
    </dataValidation>
  </dataValidations>
  <hyperlinks>
    <hyperlink ref="H7" location="Results!A1" display="Results Summary" xr:uid="{00000000-0004-0000-1500-000000000000}"/>
    <hyperlink ref="H6" location="Main!A1" display="Return to Main" xr:uid="{00000000-0004-0000-15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6" r:id="rId4" name="Check Box 2">
              <controlPr defaultSize="0" autoFill="0" autoLine="0" autoPict="0" altText="Exclude From Results Summary">
                <anchor moveWithCells="1">
                  <from>
                    <xdr:col>6</xdr:col>
                    <xdr:colOff>0</xdr:colOff>
                    <xdr:row>28</xdr:row>
                    <xdr:rowOff>38100</xdr:rowOff>
                  </from>
                  <to>
                    <xdr:col>7</xdr:col>
                    <xdr:colOff>28575</xdr:colOff>
                    <xdr:row>30</xdr:row>
                    <xdr:rowOff>9525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996600"/>
  </sheetPr>
  <dimension ref="A1:N46"/>
  <sheetViews>
    <sheetView showGridLines="0" showRowColHeaders="0" topLeftCell="A3" zoomScaleNormal="100" workbookViewId="0">
      <selection activeCell="E19" sqref="E19"/>
    </sheetView>
  </sheetViews>
  <sheetFormatPr defaultColWidth="0" defaultRowHeight="15" zeroHeight="1" x14ac:dyDescent="0.25"/>
  <cols>
    <col min="1" max="1" width="4.42578125" style="115" customWidth="1"/>
    <col min="2" max="2" width="8.85546875" style="115" customWidth="1"/>
    <col min="3" max="3" width="22.42578125" style="115" customWidth="1"/>
    <col min="4" max="4" width="53.42578125" style="115" customWidth="1"/>
    <col min="5" max="5" width="10.5703125" style="115" customWidth="1"/>
    <col min="6" max="6" width="5.5703125" style="115" customWidth="1"/>
    <col min="7" max="7" width="18.85546875" style="116" customWidth="1"/>
    <col min="8" max="8" width="15.85546875" style="115" customWidth="1"/>
    <col min="9" max="9" width="8.85546875" style="115" customWidth="1"/>
    <col min="10" max="10" width="4.5703125" style="115" customWidth="1"/>
    <col min="11" max="12" width="0" style="115" hidden="1" customWidth="1"/>
    <col min="13" max="14" width="29.5703125" style="115" hidden="1" customWidth="1"/>
    <col min="15" max="16384" width="8.85546875" style="115" hidden="1"/>
  </cols>
  <sheetData>
    <row r="1" spans="1:11" hidden="1" x14ac:dyDescent="0.25">
      <c r="A1" s="77"/>
      <c r="B1" s="77"/>
      <c r="C1" s="77"/>
      <c r="D1" s="77"/>
      <c r="E1" s="77"/>
      <c r="F1" s="77"/>
      <c r="G1" s="103"/>
      <c r="H1" s="77"/>
      <c r="I1" s="77"/>
      <c r="J1" s="77"/>
    </row>
    <row r="2" spans="1:11" hidden="1" x14ac:dyDescent="0.25">
      <c r="A2" s="77"/>
      <c r="B2" s="77"/>
      <c r="C2" s="77"/>
      <c r="D2" s="77"/>
      <c r="E2" s="77"/>
      <c r="F2" s="77"/>
      <c r="G2" s="103"/>
      <c r="H2" s="77"/>
      <c r="I2" s="77"/>
      <c r="J2" s="77"/>
    </row>
    <row r="3" spans="1:11" ht="18.75" x14ac:dyDescent="0.25">
      <c r="A3" s="77"/>
      <c r="B3" s="51"/>
      <c r="C3" s="77"/>
      <c r="D3" s="77"/>
      <c r="E3" s="77"/>
      <c r="F3" s="77"/>
      <c r="G3" s="103"/>
      <c r="H3" s="77"/>
      <c r="I3" s="77"/>
      <c r="J3" s="77"/>
    </row>
    <row r="4" spans="1:11" ht="18.75" x14ac:dyDescent="0.25">
      <c r="A4" s="239" t="s">
        <v>34</v>
      </c>
      <c r="B4" s="807" t="str">
        <f>A4&amp;". "&amp;INDEX(VL_TDM!$E$11:$E$41,MATCH($A$4,VL_TDM!$B$11:$B$41,0),1)</f>
        <v>5B. Transit Frequency Improvements</v>
      </c>
      <c r="C4" s="722"/>
      <c r="D4" s="722"/>
      <c r="E4" s="722"/>
      <c r="F4" s="722"/>
      <c r="G4" s="722"/>
      <c r="H4" s="722"/>
      <c r="I4" s="723"/>
      <c r="J4" s="77"/>
    </row>
    <row r="5" spans="1:11" ht="6" customHeight="1" x14ac:dyDescent="0.25">
      <c r="A5" s="77"/>
      <c r="B5" s="586"/>
      <c r="C5" s="587"/>
      <c r="D5" s="588"/>
      <c r="E5" s="589"/>
      <c r="F5" s="588"/>
      <c r="G5" s="588"/>
      <c r="H5" s="588"/>
      <c r="I5" s="83"/>
      <c r="J5" s="77"/>
      <c r="K5" s="77"/>
    </row>
    <row r="6" spans="1:11" x14ac:dyDescent="0.25">
      <c r="A6" s="77"/>
      <c r="B6" s="85"/>
      <c r="C6" s="110"/>
      <c r="D6" s="110"/>
      <c r="E6" s="110"/>
      <c r="F6" s="98"/>
      <c r="G6" s="100"/>
      <c r="H6" s="98"/>
      <c r="I6" s="83"/>
      <c r="J6" s="77"/>
    </row>
    <row r="7" spans="1:11" x14ac:dyDescent="0.25">
      <c r="A7" s="77"/>
      <c r="B7" s="85"/>
      <c r="C7" s="98" t="s">
        <v>1</v>
      </c>
      <c r="D7" s="462" t="str">
        <f>INDEX(VL_TDM!$AC$11:$AC$41,MATCH($A$4,VL_TDM!$B$11:$B$41,0),1)</f>
        <v>Neighborhood/City</v>
      </c>
      <c r="E7" s="100"/>
      <c r="F7" s="100"/>
      <c r="G7" s="100"/>
      <c r="H7" s="617" t="s">
        <v>89</v>
      </c>
      <c r="I7" s="83"/>
      <c r="J7" s="77"/>
    </row>
    <row r="8" spans="1:11" x14ac:dyDescent="0.25">
      <c r="A8" s="77"/>
      <c r="B8" s="85"/>
      <c r="C8" s="109" t="s">
        <v>2</v>
      </c>
      <c r="D8" s="113" t="str">
        <f>INDEX(VL_TDM!$AD$11:$AD$41,MATCH($A$4,VL_TDM!$B$11:$B$41,0),1)</f>
        <v>All neighborhood/city trips</v>
      </c>
      <c r="E8" s="100"/>
      <c r="F8" s="100"/>
      <c r="G8" s="98"/>
      <c r="H8" s="617" t="s">
        <v>105</v>
      </c>
      <c r="I8" s="83"/>
      <c r="J8" s="77"/>
    </row>
    <row r="9" spans="1:11" x14ac:dyDescent="0.25">
      <c r="A9" s="77"/>
      <c r="B9" s="85"/>
      <c r="C9" s="109" t="s">
        <v>149</v>
      </c>
      <c r="D9" s="114">
        <f>INDEX(VL_TDM!$AE$11:$AE$41,MATCH($A$4,VL_TDM!$B$11:$B$41,0),1)</f>
        <v>0.113</v>
      </c>
      <c r="E9" s="110"/>
      <c r="F9" s="98"/>
      <c r="G9" s="100"/>
      <c r="H9" s="98"/>
      <c r="I9" s="83"/>
      <c r="J9" s="77"/>
    </row>
    <row r="10" spans="1:11" x14ac:dyDescent="0.25">
      <c r="A10" s="77"/>
      <c r="B10" s="85"/>
      <c r="C10" s="98"/>
      <c r="D10" s="98"/>
      <c r="E10" s="98"/>
      <c r="F10" s="98"/>
      <c r="G10" s="100"/>
      <c r="H10" s="98"/>
      <c r="I10" s="83"/>
      <c r="J10" s="77"/>
    </row>
    <row r="11" spans="1:11" ht="50.1" customHeight="1" x14ac:dyDescent="0.25">
      <c r="A11" s="77"/>
      <c r="B11" s="85"/>
      <c r="C11" s="724" t="str">
        <f>INDEX(VL_TDM!$AF$11:$AF$41,MATCH($A$4,VL_TDM!$B$11:$B$41,0),1)</f>
        <v>This strategy will increase transit frequency on one or more transit lines serving the neighborhood/city. Increased transit frequency reduces waiting and overall travel times, which improves the user experience and increases the attractiveness of transit service. This results in a mode shift from single occupancy vehicles to transit, which reduces VMT and associated GHG emissions.</v>
      </c>
      <c r="D11" s="710"/>
      <c r="E11" s="710"/>
      <c r="F11" s="710"/>
      <c r="G11" s="710"/>
      <c r="H11" s="710"/>
      <c r="I11" s="83"/>
      <c r="J11" s="77"/>
    </row>
    <row r="12" spans="1:11" x14ac:dyDescent="0.25">
      <c r="A12" s="77"/>
      <c r="B12" s="85"/>
      <c r="C12" s="98"/>
      <c r="D12" s="98"/>
      <c r="E12" s="98"/>
      <c r="F12" s="98"/>
      <c r="G12" s="100"/>
      <c r="H12" s="98"/>
      <c r="I12" s="83"/>
      <c r="J12" s="77"/>
    </row>
    <row r="13" spans="1:11" x14ac:dyDescent="0.25">
      <c r="A13" s="77"/>
      <c r="B13" s="85"/>
      <c r="C13" s="104" t="s">
        <v>96</v>
      </c>
      <c r="D13" s="262"/>
      <c r="E13" s="59"/>
      <c r="F13" s="100"/>
      <c r="G13" s="265" t="s">
        <v>0</v>
      </c>
      <c r="H13" s="98"/>
      <c r="I13" s="83"/>
      <c r="J13" s="77"/>
    </row>
    <row r="14" spans="1:11" ht="4.3499999999999996" customHeight="1" x14ac:dyDescent="0.25">
      <c r="A14" s="77"/>
      <c r="B14" s="85"/>
      <c r="C14" s="104"/>
      <c r="D14" s="98"/>
      <c r="E14" s="98"/>
      <c r="F14" s="100"/>
      <c r="G14" s="263"/>
      <c r="H14" s="98"/>
      <c r="I14" s="83"/>
      <c r="J14" s="77"/>
    </row>
    <row r="15" spans="1:11" x14ac:dyDescent="0.25">
      <c r="A15" s="77"/>
      <c r="B15" s="85"/>
      <c r="C15" s="104" t="s">
        <v>93</v>
      </c>
      <c r="D15" s="262"/>
      <c r="E15" s="59"/>
      <c r="F15" s="100"/>
      <c r="G15" s="262" t="s">
        <v>0</v>
      </c>
      <c r="H15" s="98"/>
      <c r="I15" s="83"/>
      <c r="J15" s="77"/>
    </row>
    <row r="16" spans="1:11" ht="4.3499999999999996" customHeight="1" x14ac:dyDescent="0.25">
      <c r="A16" s="77"/>
      <c r="B16" s="85"/>
      <c r="C16" s="104"/>
      <c r="D16" s="98"/>
      <c r="E16" s="98"/>
      <c r="F16" s="100"/>
      <c r="G16" s="263"/>
      <c r="H16" s="98"/>
      <c r="I16" s="83"/>
      <c r="J16" s="77"/>
    </row>
    <row r="17" spans="1:10" x14ac:dyDescent="0.25">
      <c r="A17" s="77"/>
      <c r="B17" s="85"/>
      <c r="C17" s="104" t="s">
        <v>15</v>
      </c>
      <c r="D17" s="465"/>
      <c r="E17" s="522" t="str">
        <f>IF(OR(E13=0,E15=0),"",IF((-1*((1/E13)-(1/E15))/(1/E13))&gt;=300%,300%,IF((-1*((1/E13)-(1/E15))/(1/E13))&lt;=-75%,-75%,(-1*((1/E13)-(1/E15))/(1/E13)))))</f>
        <v/>
      </c>
      <c r="F17" s="100"/>
      <c r="G17" s="262" t="s">
        <v>913</v>
      </c>
      <c r="H17" s="98"/>
      <c r="I17" s="83"/>
      <c r="J17" s="78"/>
    </row>
    <row r="18" spans="1:10" ht="4.3499999999999996" customHeight="1" x14ac:dyDescent="0.25">
      <c r="A18" s="77"/>
      <c r="B18" s="85"/>
      <c r="C18" s="104"/>
      <c r="D18" s="98"/>
      <c r="E18" s="98"/>
      <c r="F18" s="100"/>
      <c r="G18" s="263"/>
      <c r="H18" s="98"/>
      <c r="I18" s="83"/>
      <c r="J18" s="77"/>
    </row>
    <row r="19" spans="1:10" x14ac:dyDescent="0.25">
      <c r="A19" s="77"/>
      <c r="B19" s="85"/>
      <c r="C19" s="104" t="s">
        <v>737</v>
      </c>
      <c r="D19" s="262"/>
      <c r="E19" s="72"/>
      <c r="F19" s="100"/>
      <c r="G19" s="265" t="s">
        <v>0</v>
      </c>
      <c r="H19" s="98"/>
      <c r="I19" s="83"/>
      <c r="J19" s="78"/>
    </row>
    <row r="20" spans="1:10" ht="4.3499999999999996" customHeight="1" x14ac:dyDescent="0.25">
      <c r="A20" s="77"/>
      <c r="B20" s="85"/>
      <c r="C20" s="104"/>
      <c r="D20" s="98"/>
      <c r="E20" s="98"/>
      <c r="F20" s="100"/>
      <c r="G20" s="263"/>
      <c r="H20" s="98"/>
      <c r="I20" s="83"/>
      <c r="J20" s="77"/>
    </row>
    <row r="21" spans="1:10" x14ac:dyDescent="0.25">
      <c r="A21" s="77"/>
      <c r="B21" s="85"/>
      <c r="C21" s="104" t="s">
        <v>684</v>
      </c>
      <c r="D21" s="465"/>
      <c r="E21" s="266" t="e">
        <f>IF(J21="Use Capcoa 2021",VL_REF!$G$3,INDEX(VL_TAZ!$O$9:$AD$9,1,MATCH($C21,VL_TAZ!$O$10:$AD$10,0)))</f>
        <v>#N/A</v>
      </c>
      <c r="F21" s="100"/>
      <c r="G21" s="98" t="str">
        <f>CONCATENATE("Alameda CTC model",IF(NOT(ISBLANK(E23)),", overridden",""))</f>
        <v>Alameda CTC model</v>
      </c>
      <c r="H21" s="98"/>
      <c r="I21" s="83"/>
      <c r="J21" s="239" t="s">
        <v>683</v>
      </c>
    </row>
    <row r="22" spans="1:10" ht="4.3499999999999996" customHeight="1" x14ac:dyDescent="0.25">
      <c r="A22" s="77"/>
      <c r="B22" s="85"/>
      <c r="C22" s="104"/>
      <c r="D22" s="98"/>
      <c r="E22" s="98"/>
      <c r="F22" s="100"/>
      <c r="G22" s="263"/>
      <c r="H22" s="98"/>
      <c r="I22" s="83"/>
      <c r="J22" s="239"/>
    </row>
    <row r="23" spans="1:10" x14ac:dyDescent="0.25">
      <c r="A23" s="77"/>
      <c r="B23" s="85"/>
      <c r="C23" s="104" t="s">
        <v>685</v>
      </c>
      <c r="D23" s="465"/>
      <c r="E23" s="74"/>
      <c r="F23" s="100"/>
      <c r="G23" s="265" t="s">
        <v>11</v>
      </c>
      <c r="H23" s="98"/>
      <c r="I23" s="83"/>
      <c r="J23" s="239"/>
    </row>
    <row r="24" spans="1:10" ht="4.3499999999999996" customHeight="1" x14ac:dyDescent="0.25">
      <c r="A24" s="77"/>
      <c r="B24" s="85"/>
      <c r="C24" s="264"/>
      <c r="D24" s="465"/>
      <c r="E24" s="466"/>
      <c r="F24" s="100"/>
      <c r="G24" s="262"/>
      <c r="H24" s="98"/>
      <c r="I24" s="83"/>
      <c r="J24" s="239"/>
    </row>
    <row r="25" spans="1:10" x14ac:dyDescent="0.25">
      <c r="A25" s="77"/>
      <c r="B25" s="85"/>
      <c r="C25" s="104" t="s">
        <v>14</v>
      </c>
      <c r="D25" s="465"/>
      <c r="E25" s="467" t="str">
        <f>IFERROR(IF(ISBLANK(E23),E21,IF(E23&gt;25%,E21,IF(E23&lt;=25%,E23,E21))),"")</f>
        <v/>
      </c>
      <c r="F25" s="100"/>
      <c r="G25" s="262" t="s">
        <v>10</v>
      </c>
      <c r="H25" s="98"/>
      <c r="I25" s="83"/>
      <c r="J25" s="240"/>
    </row>
    <row r="26" spans="1:10" ht="4.3499999999999996" customHeight="1" x14ac:dyDescent="0.25">
      <c r="A26" s="77"/>
      <c r="B26" s="85"/>
      <c r="C26" s="104"/>
      <c r="D26" s="98"/>
      <c r="E26" s="98"/>
      <c r="F26" s="100"/>
      <c r="G26" s="263"/>
      <c r="H26" s="98"/>
      <c r="I26" s="83"/>
      <c r="J26" s="239"/>
    </row>
    <row r="27" spans="1:10" ht="14.45" customHeight="1" x14ac:dyDescent="0.25">
      <c r="A27" s="77"/>
      <c r="B27" s="85"/>
      <c r="C27" s="104" t="s">
        <v>705</v>
      </c>
      <c r="D27" s="98"/>
      <c r="E27" s="266" t="e">
        <f>IF(J27="Use Capcoa 2021",VL_REF!$H$3,INDEX(VL_TAZ!$O$9:$AD$9,1,MATCH($C27,VL_TAZ!$O$10:$AD$10,0)))</f>
        <v>#N/A</v>
      </c>
      <c r="F27" s="100"/>
      <c r="G27" s="98" t="str">
        <f>CONCATENATE("Alameda CTC model",IF(NOT(ISBLANK(E29)),", overridden",""))</f>
        <v>Alameda CTC model</v>
      </c>
      <c r="H27" s="98"/>
      <c r="I27" s="83"/>
      <c r="J27" s="239" t="s">
        <v>683</v>
      </c>
    </row>
    <row r="28" spans="1:10" ht="4.3499999999999996" customHeight="1" x14ac:dyDescent="0.25">
      <c r="A28" s="77"/>
      <c r="B28" s="85"/>
      <c r="C28" s="104"/>
      <c r="D28" s="98"/>
      <c r="E28" s="98"/>
      <c r="F28" s="100"/>
      <c r="G28" s="263"/>
      <c r="H28" s="98"/>
      <c r="I28" s="83"/>
      <c r="J28" s="77"/>
    </row>
    <row r="29" spans="1:10" x14ac:dyDescent="0.25">
      <c r="A29" s="77"/>
      <c r="B29" s="85"/>
      <c r="C29" s="104" t="s">
        <v>706</v>
      </c>
      <c r="D29" s="465"/>
      <c r="E29" s="74"/>
      <c r="F29" s="100"/>
      <c r="G29" s="265" t="s">
        <v>11</v>
      </c>
      <c r="H29" s="98"/>
      <c r="I29" s="83"/>
      <c r="J29" s="77"/>
    </row>
    <row r="30" spans="1:10" ht="4.3499999999999996" customHeight="1" x14ac:dyDescent="0.25">
      <c r="A30" s="77"/>
      <c r="B30" s="85"/>
      <c r="C30" s="264"/>
      <c r="D30" s="465"/>
      <c r="E30" s="128"/>
      <c r="F30" s="100"/>
      <c r="G30" s="262"/>
      <c r="H30" s="98"/>
      <c r="I30" s="83"/>
      <c r="J30" s="77"/>
    </row>
    <row r="31" spans="1:10" x14ac:dyDescent="0.25">
      <c r="A31" s="77"/>
      <c r="B31" s="85"/>
      <c r="C31" s="104" t="s">
        <v>707</v>
      </c>
      <c r="D31" s="465"/>
      <c r="E31" s="467" t="str">
        <f>IFERROR(IF(ISBLANK(E29),E27,IF(E29&lt;50%,E27,IF(E29&gt;=50%,E29,E27))),"")</f>
        <v/>
      </c>
      <c r="F31" s="100"/>
      <c r="G31" s="262" t="s">
        <v>10</v>
      </c>
      <c r="H31" s="98"/>
      <c r="I31" s="83"/>
      <c r="J31" s="78"/>
    </row>
    <row r="32" spans="1:10" ht="4.3499999999999996" customHeight="1" x14ac:dyDescent="0.25">
      <c r="A32" s="77"/>
      <c r="B32" s="85"/>
      <c r="C32" s="104"/>
      <c r="D32" s="98"/>
      <c r="E32" s="98"/>
      <c r="F32" s="100"/>
      <c r="G32" s="263"/>
      <c r="H32" s="98"/>
      <c r="I32" s="83"/>
      <c r="J32" s="77"/>
    </row>
    <row r="33" spans="1:10" x14ac:dyDescent="0.25">
      <c r="A33" s="77"/>
      <c r="B33" s="85"/>
      <c r="C33" s="104" t="s">
        <v>738</v>
      </c>
      <c r="D33" s="465"/>
      <c r="E33" s="468">
        <v>0.5</v>
      </c>
      <c r="F33" s="100"/>
      <c r="G33" s="108" t="s">
        <v>12</v>
      </c>
      <c r="H33" s="98"/>
      <c r="I33" s="83"/>
      <c r="J33" s="78"/>
    </row>
    <row r="34" spans="1:10" ht="4.3499999999999996" customHeight="1" x14ac:dyDescent="0.25">
      <c r="A34" s="77"/>
      <c r="B34" s="85"/>
      <c r="C34" s="104"/>
      <c r="D34" s="98"/>
      <c r="E34" s="98"/>
      <c r="F34" s="100"/>
      <c r="G34" s="263"/>
      <c r="H34" s="98"/>
      <c r="I34" s="83"/>
      <c r="J34" s="77"/>
    </row>
    <row r="35" spans="1:10" x14ac:dyDescent="0.25">
      <c r="A35" s="77"/>
      <c r="B35" s="85"/>
      <c r="C35" s="104" t="s">
        <v>564</v>
      </c>
      <c r="D35" s="262"/>
      <c r="E35" s="580">
        <v>0.57799999999999996</v>
      </c>
      <c r="F35" s="100"/>
      <c r="G35" s="108" t="s">
        <v>9</v>
      </c>
      <c r="H35" s="98"/>
      <c r="I35" s="83"/>
      <c r="J35" s="78"/>
    </row>
    <row r="36" spans="1:10" ht="4.3499999999999996" customHeight="1" x14ac:dyDescent="0.25">
      <c r="A36" s="77"/>
      <c r="B36" s="85"/>
      <c r="C36" s="104"/>
      <c r="D36" s="98"/>
      <c r="E36" s="98"/>
      <c r="F36" s="100"/>
      <c r="G36" s="263"/>
      <c r="H36" s="98"/>
      <c r="I36" s="83"/>
      <c r="J36" s="77"/>
    </row>
    <row r="37" spans="1:10" x14ac:dyDescent="0.25">
      <c r="A37" s="77"/>
      <c r="B37" s="85"/>
      <c r="C37" s="104" t="s">
        <v>5</v>
      </c>
      <c r="D37" s="262"/>
      <c r="E37" s="129" t="str">
        <f>IF(OR(ISBLANK(E13),ISBLANK(E15)),"",IFERROR(MAX(-D9,-E19*((E17*E25*E33*E35)/E31)),""))</f>
        <v/>
      </c>
      <c r="F37" s="470"/>
      <c r="G37" s="53" t="b">
        <v>0</v>
      </c>
      <c r="H37" s="207" t="str">
        <f>IF(OR(G37=TRUE,E37=""),"Not Active","Active")</f>
        <v>Not Active</v>
      </c>
      <c r="I37" s="83"/>
      <c r="J37" s="77"/>
    </row>
    <row r="38" spans="1:10" x14ac:dyDescent="0.25">
      <c r="A38" s="77"/>
      <c r="B38" s="85"/>
      <c r="C38" s="98"/>
      <c r="D38" s="98"/>
      <c r="E38" s="98"/>
      <c r="F38" s="98"/>
      <c r="G38" s="100"/>
      <c r="H38" s="98"/>
      <c r="I38" s="83"/>
      <c r="J38" s="77"/>
    </row>
    <row r="39" spans="1:10" ht="35.1" customHeight="1" x14ac:dyDescent="0.25">
      <c r="A39" s="77"/>
      <c r="B39" s="85"/>
      <c r="C39" s="803" t="str">
        <f>"Formula:  % Change in VMT =  " &amp; SUBSTITUTE("- " &amp; C19 &amp; " *(( " &amp; C17 &amp; " * " &amp; C25 &amp; " * " &amp; C33 &amp; " * " &amp; C35 &amp; " )/ " &amp; C31 &amp; " )"," used for calculation","")</f>
        <v>Formula:  % Change in VMT =  - Level of implementation *(( % change in transit frequency (arrivals per hour) * Transit mode share * Elasticity of transit ridership with respect to frequency of service * Statewide mode shift factor )/ Vehicle mode share )</v>
      </c>
      <c r="D39" s="804"/>
      <c r="E39" s="804"/>
      <c r="F39" s="804"/>
      <c r="G39" s="804"/>
      <c r="H39" s="805"/>
      <c r="I39" s="83"/>
      <c r="J39" s="77"/>
    </row>
    <row r="40" spans="1:10" ht="16.350000000000001" customHeight="1" x14ac:dyDescent="0.25">
      <c r="A40" s="77"/>
      <c r="B40" s="85"/>
      <c r="C40" s="590"/>
      <c r="D40" s="591" t="s">
        <v>915</v>
      </c>
      <c r="E40" s="591"/>
      <c r="F40" s="591"/>
      <c r="G40" s="591"/>
      <c r="H40" s="592"/>
      <c r="I40" s="83"/>
      <c r="J40" s="77"/>
    </row>
    <row r="41" spans="1:10" ht="15" customHeight="1" x14ac:dyDescent="0.25">
      <c r="A41" s="77"/>
      <c r="B41" s="85"/>
      <c r="C41" s="581"/>
      <c r="D41" s="329" t="s">
        <v>67</v>
      </c>
      <c r="E41" s="329"/>
      <c r="F41" s="329"/>
      <c r="G41" s="329"/>
      <c r="H41" s="83"/>
      <c r="I41" s="83"/>
      <c r="J41" s="77"/>
    </row>
    <row r="42" spans="1:10" ht="15" customHeight="1" x14ac:dyDescent="0.25">
      <c r="A42" s="77"/>
      <c r="B42" s="85"/>
      <c r="C42" s="583"/>
      <c r="D42" s="226" t="s">
        <v>147</v>
      </c>
      <c r="E42" s="226"/>
      <c r="F42" s="226"/>
      <c r="G42" s="226"/>
      <c r="H42" s="472"/>
      <c r="I42" s="83"/>
      <c r="J42" s="77"/>
    </row>
    <row r="43" spans="1:10" x14ac:dyDescent="0.25">
      <c r="A43" s="77"/>
      <c r="B43" s="85"/>
      <c r="C43" s="98" t="s">
        <v>6</v>
      </c>
      <c r="D43" s="98"/>
      <c r="E43" s="98"/>
      <c r="F43" s="98"/>
      <c r="G43" s="100"/>
      <c r="H43" s="98"/>
      <c r="I43" s="83"/>
      <c r="J43" s="77"/>
    </row>
    <row r="44" spans="1:10" ht="219.95" customHeight="1" x14ac:dyDescent="0.25">
      <c r="A44" s="77"/>
      <c r="B44" s="85"/>
      <c r="C44" s="666"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44" s="710"/>
      <c r="E44" s="710"/>
      <c r="F44" s="710"/>
      <c r="G44" s="710"/>
      <c r="H44" s="710"/>
      <c r="I44" s="585"/>
      <c r="J44" s="77"/>
    </row>
    <row r="45" spans="1:10" x14ac:dyDescent="0.25">
      <c r="A45" s="77"/>
      <c r="B45" s="101"/>
      <c r="C45" s="226"/>
      <c r="D45" s="226"/>
      <c r="E45" s="226"/>
      <c r="F45" s="226"/>
      <c r="G45" s="471"/>
      <c r="H45" s="226"/>
      <c r="I45" s="472"/>
      <c r="J45" s="77"/>
    </row>
    <row r="46" spans="1:10" x14ac:dyDescent="0.25">
      <c r="A46" s="77"/>
      <c r="B46" s="77"/>
      <c r="C46" s="77"/>
      <c r="D46" s="77"/>
      <c r="E46" s="77"/>
      <c r="F46" s="77"/>
      <c r="G46" s="103"/>
      <c r="H46" s="77"/>
      <c r="I46" s="77"/>
      <c r="J46" s="77"/>
    </row>
  </sheetData>
  <sheetProtection algorithmName="SHA-512" hashValue="H7rqYpeE9Vn5cGdKwIZntRxIiqZqkABw/bV1W1SE1PsWWr3OkNGyy/xFQ7j+Lqdd9mZJKwRJcUHRCQ7I2WtHTA==" saltValue="Bf2ypajUwV97vqUaYKombQ==" spinCount="100000" sheet="1" objects="1" scenarios="1" selectLockedCells="1"/>
  <mergeCells count="4">
    <mergeCell ref="B4:I4"/>
    <mergeCell ref="C11:H11"/>
    <mergeCell ref="C39:H39"/>
    <mergeCell ref="C44:H44"/>
  </mergeCells>
  <conditionalFormatting sqref="E37">
    <cfRule type="expression" dxfId="7" priority="16">
      <formula>-ROUND($D$9,3)=ROUND($E$37,3)</formula>
    </cfRule>
    <cfRule type="expression" dxfId="6" priority="19">
      <formula>AND(E37&lt;&gt;"",E37&gt;0)</formula>
    </cfRule>
  </conditionalFormatting>
  <dataValidations count="6">
    <dataValidation type="decimal" operator="greaterThanOrEqual" allowBlank="1" showErrorMessage="1" error="Value must not be negative" promptTitle="Definition" prompt="Headway is the amount of time that elapses between two buses servicing a given route and given line. Headway is the inverse of frequency (headway = 1/frequency), where frequency is the nubmer of arrivals over a given time period (e.g., buses per hour)." sqref="E13" xr:uid="{00000000-0002-0000-1600-000000000000}">
      <formula1>0</formula1>
    </dataValidation>
    <dataValidation allowBlank="1" showErrorMessage="1" promptTitle="Restriction" prompt="Based on user input values of current headway and headway with project, reasonable ranges are between 15% - 80% (1)." sqref="E17" xr:uid="{00000000-0002-0000-1600-000001000000}"/>
    <dataValidation allowBlank="1" showErrorMessage="1" promptTitle="Default" prompt="User can override this default value in below cell._x000a_" sqref="E33" xr:uid="{00000000-0002-0000-1600-000002000000}"/>
    <dataValidation type="decimal" allowBlank="1" showErrorMessage="1" errorTitle="Restriction" error="Value must be between 0% and 100%_x000a_" promptTitle="Restriction" prompt="If value falls below minimum of 50%, default value will be used below." sqref="E29" xr:uid="{00000000-0002-0000-1600-000003000000}">
      <formula1>0</formula1>
      <formula2>1</formula2>
    </dataValidation>
    <dataValidation type="decimal" allowBlank="1" showErrorMessage="1" errorTitle="Restriction" error="Value must be between 0% and 100%_x000a_" promptTitle="Restriction" prompt="If value exceeds maximum of 25%, default value will be used below." sqref="E23" xr:uid="{00000000-0002-0000-1600-000004000000}">
      <formula1>0</formula1>
      <formula2>1</formula2>
    </dataValidation>
    <dataValidation type="decimal" operator="greaterThanOrEqual" allowBlank="1" showInputMessage="1" showErrorMessage="1" error="Value must not be negative" sqref="E15" xr:uid="{00000000-0002-0000-1600-000005000000}">
      <formula1>0</formula1>
    </dataValidation>
  </dataValidations>
  <hyperlinks>
    <hyperlink ref="H8" location="Results!A1" display="Results Summary" xr:uid="{00000000-0004-0000-1600-000000000000}"/>
    <hyperlink ref="H7" location="Main!L65" display="Return to Main É" xr:uid="{00000000-0004-0000-16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1" r:id="rId4" name="Check Box 3">
              <controlPr defaultSize="0" autoFill="0" autoLine="0" autoPict="0" altText="Exclude From Results Summary">
                <anchor moveWithCells="1">
                  <from>
                    <xdr:col>6</xdr:col>
                    <xdr:colOff>9525</xdr:colOff>
                    <xdr:row>36</xdr:row>
                    <xdr:rowOff>0</xdr:rowOff>
                  </from>
                  <to>
                    <xdr:col>6</xdr:col>
                    <xdr:colOff>1247775</xdr:colOff>
                    <xdr:row>37</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rgb="FF996600"/>
  </sheetPr>
  <dimension ref="A1:L47"/>
  <sheetViews>
    <sheetView showGridLines="0" showRowColHeaders="0" topLeftCell="A3" zoomScaleNormal="100" workbookViewId="0">
      <selection activeCell="E12" sqref="E12"/>
    </sheetView>
  </sheetViews>
  <sheetFormatPr defaultColWidth="0" defaultRowHeight="15" zeroHeight="1" x14ac:dyDescent="0.25"/>
  <cols>
    <col min="1" max="1" width="4.42578125" style="115" customWidth="1"/>
    <col min="2" max="2" width="8.85546875" style="115" customWidth="1"/>
    <col min="3" max="3" width="22" style="115" customWidth="1"/>
    <col min="4" max="4" width="53.42578125" style="115" customWidth="1"/>
    <col min="5" max="5" width="10.5703125" style="115" customWidth="1"/>
    <col min="6" max="6" width="5.5703125" style="115" customWidth="1"/>
    <col min="7" max="7" width="20.5703125" style="116" customWidth="1"/>
    <col min="8" max="8" width="15.5703125" style="115" customWidth="1"/>
    <col min="9" max="9" width="8.85546875" style="115" customWidth="1"/>
    <col min="10" max="10" width="4.5703125" style="115" customWidth="1"/>
    <col min="11" max="12" width="25" style="115" hidden="1" customWidth="1"/>
    <col min="13" max="16384" width="8.85546875" style="115" hidden="1"/>
  </cols>
  <sheetData>
    <row r="1" spans="1:10" hidden="1" x14ac:dyDescent="0.25">
      <c r="A1" s="77"/>
      <c r="B1" s="77"/>
      <c r="C1" s="77"/>
      <c r="D1" s="77"/>
      <c r="E1" s="77"/>
      <c r="F1" s="77"/>
      <c r="G1" s="103"/>
      <c r="H1" s="77"/>
      <c r="I1" s="77"/>
      <c r="J1" s="77"/>
    </row>
    <row r="2" spans="1:10" hidden="1" x14ac:dyDescent="0.25">
      <c r="A2" s="77"/>
      <c r="B2" s="77"/>
      <c r="C2" s="77"/>
      <c r="D2" s="77"/>
      <c r="E2" s="77"/>
      <c r="F2" s="77"/>
      <c r="G2" s="103"/>
      <c r="H2" s="77"/>
      <c r="I2" s="77"/>
      <c r="J2" s="77"/>
    </row>
    <row r="3" spans="1:10" ht="22.35" customHeight="1" x14ac:dyDescent="0.25">
      <c r="A3" s="77"/>
      <c r="B3" s="51"/>
      <c r="C3" s="77"/>
      <c r="D3" s="77"/>
      <c r="E3" s="77"/>
      <c r="F3" s="77"/>
      <c r="G3" s="103"/>
      <c r="H3" s="77"/>
      <c r="I3" s="77"/>
      <c r="J3" s="77"/>
    </row>
    <row r="4" spans="1:10" ht="18.75" x14ac:dyDescent="0.25">
      <c r="A4" s="239" t="s">
        <v>35</v>
      </c>
      <c r="B4" s="807" t="str">
        <f>A4&amp;". "&amp;INDEX(VL_TDM!$E$11:$E$41,MATCH($A$4,VL_TDM!$B$11:$B$41,0),1)</f>
        <v>5C. Transit-Supportive Treatments</v>
      </c>
      <c r="C4" s="722"/>
      <c r="D4" s="722"/>
      <c r="E4" s="722"/>
      <c r="F4" s="722"/>
      <c r="G4" s="722"/>
      <c r="H4" s="722"/>
      <c r="I4" s="723"/>
      <c r="J4" s="77"/>
    </row>
    <row r="5" spans="1:10" ht="15" customHeight="1" x14ac:dyDescent="0.25">
      <c r="A5" s="77"/>
      <c r="B5" s="85"/>
      <c r="C5" s="110"/>
      <c r="D5" s="110"/>
      <c r="E5" s="110"/>
      <c r="F5" s="98"/>
      <c r="G5" s="100"/>
      <c r="H5" s="98"/>
      <c r="I5" s="83"/>
      <c r="J5" s="77"/>
    </row>
    <row r="6" spans="1:10" ht="15" customHeight="1" x14ac:dyDescent="0.25">
      <c r="A6" s="77"/>
      <c r="B6" s="85"/>
      <c r="C6" s="98" t="s">
        <v>1</v>
      </c>
      <c r="D6" s="462" t="str">
        <f>INDEX(VL_TDM!$AC$11:$AC$41,MATCH($A$4,VL_TDM!$B$11:$B$41,0),1)</f>
        <v>Neighborhood/City</v>
      </c>
      <c r="E6" s="100"/>
      <c r="F6" s="100"/>
      <c r="G6" s="100"/>
      <c r="H6" s="617" t="s">
        <v>89</v>
      </c>
      <c r="I6" s="83"/>
      <c r="J6" s="77"/>
    </row>
    <row r="7" spans="1:10" ht="15" customHeight="1" x14ac:dyDescent="0.25">
      <c r="A7" s="77"/>
      <c r="B7" s="85"/>
      <c r="C7" s="109" t="s">
        <v>2</v>
      </c>
      <c r="D7" s="113" t="str">
        <f>INDEX(VL_TDM!$AD$11:$AD$41,MATCH($A$4,VL_TDM!$B$11:$B$41,0),1)</f>
        <v>All neighborhood/city trips</v>
      </c>
      <c r="E7" s="100"/>
      <c r="F7" s="100"/>
      <c r="G7" s="98"/>
      <c r="H7" s="617" t="s">
        <v>105</v>
      </c>
      <c r="I7" s="83"/>
      <c r="J7" s="77"/>
    </row>
    <row r="8" spans="1:10" ht="15" customHeight="1" x14ac:dyDescent="0.25">
      <c r="A8" s="77"/>
      <c r="B8" s="85"/>
      <c r="C8" s="109" t="s">
        <v>149</v>
      </c>
      <c r="D8" s="114">
        <f>INDEX(VL_TDM!$AE$11:$AE$41,MATCH($A$4,VL_TDM!$B$11:$B$41,0),1)</f>
        <v>6.0000000000000001E-3</v>
      </c>
      <c r="E8" s="110"/>
      <c r="F8" s="98"/>
      <c r="G8" s="100"/>
      <c r="H8" s="98"/>
      <c r="I8" s="83"/>
      <c r="J8" s="77"/>
    </row>
    <row r="9" spans="1:10" ht="15" customHeight="1" x14ac:dyDescent="0.25">
      <c r="A9" s="77"/>
      <c r="B9" s="85"/>
      <c r="C9" s="98"/>
      <c r="D9" s="98"/>
      <c r="E9" s="98"/>
      <c r="F9" s="98"/>
      <c r="G9" s="100"/>
      <c r="H9" s="98"/>
      <c r="I9" s="83"/>
      <c r="J9" s="77"/>
    </row>
    <row r="10" spans="1:10" ht="69.95" customHeight="1" x14ac:dyDescent="0.25">
      <c r="A10" s="77"/>
      <c r="B10" s="85"/>
      <c r="C10" s="724" t="str">
        <f>INDEX(VL_TDM!$AF$11:$AF$41,MATCH($A$4,VL_TDM!$B$11:$B$41,0),1)</f>
        <v>This strategy will implement transit-supportive treatments on the transit routes serving the neighborhood/city. Transit-supportive treatments incorporate a mix of roadway infrastructure improvements and/or traffic signal modifications to improve transit travel times and reliability. This results in a mode shift from single occupancy vehicles to transit, which reduces VMT and the associated GHG emissions. Treatments can include transit signal priority, bus-only signal phases, queue jumps, curb extensions to speed passenger loading, and dedicated bus lanes.</v>
      </c>
      <c r="D10" s="710"/>
      <c r="E10" s="710"/>
      <c r="F10" s="710"/>
      <c r="G10" s="710"/>
      <c r="H10" s="710"/>
      <c r="I10" s="83"/>
      <c r="J10" s="77"/>
    </row>
    <row r="11" spans="1:10" ht="15" customHeight="1" x14ac:dyDescent="0.25">
      <c r="A11" s="77"/>
      <c r="B11" s="85"/>
      <c r="C11" s="98"/>
      <c r="D11" s="98"/>
      <c r="E11" s="98"/>
      <c r="F11" s="98"/>
      <c r="G11" s="100"/>
      <c r="H11" s="98"/>
      <c r="I11" s="83"/>
      <c r="J11" s="77"/>
    </row>
    <row r="12" spans="1:10" ht="15" customHeight="1" x14ac:dyDescent="0.25">
      <c r="A12" s="77"/>
      <c r="B12" s="85"/>
      <c r="C12" s="104" t="s">
        <v>739</v>
      </c>
      <c r="D12" s="98"/>
      <c r="E12" s="65"/>
      <c r="F12" s="98"/>
      <c r="G12" s="262" t="s">
        <v>0</v>
      </c>
      <c r="H12" s="98"/>
      <c r="I12" s="83"/>
      <c r="J12" s="78"/>
    </row>
    <row r="13" spans="1:10" ht="7.35" customHeight="1" x14ac:dyDescent="0.25">
      <c r="A13" s="77"/>
      <c r="B13" s="85"/>
      <c r="C13" s="105"/>
      <c r="D13" s="98"/>
      <c r="E13" s="98"/>
      <c r="F13" s="98"/>
      <c r="G13" s="100"/>
      <c r="H13" s="98"/>
      <c r="I13" s="83"/>
      <c r="J13" s="77"/>
    </row>
    <row r="14" spans="1:10" ht="15" customHeight="1" x14ac:dyDescent="0.25">
      <c r="A14" s="77"/>
      <c r="B14" s="85"/>
      <c r="C14" s="104" t="s">
        <v>82</v>
      </c>
      <c r="D14" s="465"/>
      <c r="E14" s="593">
        <v>-0.1</v>
      </c>
      <c r="F14" s="100"/>
      <c r="G14" s="98" t="str">
        <f>CONCATENATE("constant, source (4)",IF(NOT(ISBLANK(E16)),", overridden",""))</f>
        <v>constant, source (4)</v>
      </c>
      <c r="H14" s="98"/>
      <c r="I14" s="83"/>
      <c r="J14" s="78"/>
    </row>
    <row r="15" spans="1:10" ht="4.3499999999999996" customHeight="1" x14ac:dyDescent="0.25">
      <c r="A15" s="77"/>
      <c r="B15" s="85"/>
      <c r="C15" s="104"/>
      <c r="D15" s="98"/>
      <c r="E15" s="98"/>
      <c r="F15" s="100"/>
      <c r="G15" s="263"/>
      <c r="H15" s="98"/>
      <c r="I15" s="83"/>
      <c r="J15" s="77"/>
    </row>
    <row r="16" spans="1:10" ht="15" customHeight="1" x14ac:dyDescent="0.25">
      <c r="A16" s="77"/>
      <c r="B16" s="85"/>
      <c r="C16" s="104" t="s">
        <v>169</v>
      </c>
      <c r="D16" s="465"/>
      <c r="E16" s="166"/>
      <c r="F16" s="100"/>
      <c r="G16" s="452" t="s">
        <v>11</v>
      </c>
      <c r="H16" s="107"/>
      <c r="I16" s="83"/>
      <c r="J16" s="77"/>
    </row>
    <row r="17" spans="1:10" ht="15" customHeight="1" x14ac:dyDescent="0.25">
      <c r="A17" s="77"/>
      <c r="B17" s="85"/>
      <c r="C17" s="104" t="s">
        <v>170</v>
      </c>
      <c r="D17" s="465"/>
      <c r="E17" s="130"/>
      <c r="F17" s="100"/>
      <c r="G17" s="594"/>
      <c r="H17" s="107"/>
      <c r="I17" s="83"/>
      <c r="J17" s="77"/>
    </row>
    <row r="18" spans="1:10" ht="7.35" customHeight="1" x14ac:dyDescent="0.25">
      <c r="A18" s="77"/>
      <c r="B18" s="85"/>
      <c r="C18" s="104"/>
      <c r="D18" s="465"/>
      <c r="E18" s="465"/>
      <c r="F18" s="100"/>
      <c r="G18" s="262"/>
      <c r="H18" s="98"/>
      <c r="I18" s="83"/>
      <c r="J18" s="77"/>
    </row>
    <row r="19" spans="1:10" x14ac:dyDescent="0.25">
      <c r="A19" s="77"/>
      <c r="B19" s="85"/>
      <c r="C19" s="104" t="s">
        <v>83</v>
      </c>
      <c r="D19" s="465"/>
      <c r="E19" s="522">
        <f>IFERROR(IF(ISBLANK(E16),E14,IF(AND(E16&lt;=0, E16&gt;=-20%),E16,E14)), "")</f>
        <v>-0.1</v>
      </c>
      <c r="F19" s="100"/>
      <c r="G19" s="262" t="s">
        <v>10</v>
      </c>
      <c r="H19" s="98"/>
      <c r="I19" s="83"/>
      <c r="J19" s="77"/>
    </row>
    <row r="20" spans="1:10" ht="4.3499999999999996" customHeight="1" x14ac:dyDescent="0.25">
      <c r="A20" s="77"/>
      <c r="B20" s="85"/>
      <c r="C20" s="104"/>
      <c r="D20" s="98"/>
      <c r="E20" s="98"/>
      <c r="F20" s="100"/>
      <c r="G20" s="263"/>
      <c r="H20" s="98"/>
      <c r="I20" s="83"/>
      <c r="J20" s="77"/>
    </row>
    <row r="21" spans="1:10" ht="15" customHeight="1" x14ac:dyDescent="0.25">
      <c r="A21" s="77"/>
      <c r="B21" s="85"/>
      <c r="C21" s="104" t="s">
        <v>684</v>
      </c>
      <c r="D21" s="465"/>
      <c r="E21" s="266" t="e">
        <f>IF(J21="Use Capcoa 2021",VL_REF!$G$3,INDEX(VL_TAZ!$O$9:$AD$9,1,MATCH($C21,VL_TAZ!$O$10:$AD$10,0)))</f>
        <v>#N/A</v>
      </c>
      <c r="F21" s="100"/>
      <c r="G21" s="98" t="str">
        <f>CONCATENATE("Alameda CTC model",IF(NOT(ISBLANK(E23)),", overridden",""))</f>
        <v>Alameda CTC model</v>
      </c>
      <c r="H21" s="98"/>
      <c r="I21" s="83"/>
      <c r="J21" s="239" t="s">
        <v>683</v>
      </c>
    </row>
    <row r="22" spans="1:10" ht="4.3499999999999996" customHeight="1" x14ac:dyDescent="0.25">
      <c r="A22" s="77"/>
      <c r="B22" s="85"/>
      <c r="C22" s="104"/>
      <c r="D22" s="98"/>
      <c r="E22" s="98"/>
      <c r="F22" s="100"/>
      <c r="G22" s="263"/>
      <c r="H22" s="98"/>
      <c r="I22" s="83"/>
      <c r="J22" s="239"/>
    </row>
    <row r="23" spans="1:10" ht="15" customHeight="1" x14ac:dyDescent="0.25">
      <c r="A23" s="77"/>
      <c r="B23" s="85"/>
      <c r="C23" s="104" t="s">
        <v>685</v>
      </c>
      <c r="D23" s="465"/>
      <c r="E23" s="74"/>
      <c r="F23" s="100"/>
      <c r="G23" s="452" t="s">
        <v>11</v>
      </c>
      <c r="H23" s="107"/>
      <c r="I23" s="83"/>
      <c r="J23" s="239"/>
    </row>
    <row r="24" spans="1:10" ht="4.3499999999999996" customHeight="1" x14ac:dyDescent="0.25">
      <c r="A24" s="77"/>
      <c r="B24" s="85"/>
      <c r="C24" s="264"/>
      <c r="D24" s="465"/>
      <c r="E24" s="466"/>
      <c r="F24" s="100"/>
      <c r="G24" s="262"/>
      <c r="H24" s="98"/>
      <c r="I24" s="83"/>
      <c r="J24" s="239"/>
    </row>
    <row r="25" spans="1:10" x14ac:dyDescent="0.25">
      <c r="A25" s="77"/>
      <c r="B25" s="85"/>
      <c r="C25" s="104" t="s">
        <v>14</v>
      </c>
      <c r="D25" s="465"/>
      <c r="E25" s="467" t="str">
        <f>IFERROR(IF(ISBLANK(E23),E21,IF(E23&gt;25%,E21,IF(E23&lt;=25%,E23,E21))),"")</f>
        <v/>
      </c>
      <c r="F25" s="100"/>
      <c r="G25" s="262" t="s">
        <v>10</v>
      </c>
      <c r="H25" s="98"/>
      <c r="I25" s="83"/>
      <c r="J25" s="240"/>
    </row>
    <row r="26" spans="1:10" ht="4.3499999999999996" customHeight="1" x14ac:dyDescent="0.25">
      <c r="A26" s="77"/>
      <c r="B26" s="85"/>
      <c r="C26" s="104"/>
      <c r="D26" s="465"/>
      <c r="E26" s="466"/>
      <c r="F26" s="100"/>
      <c r="G26" s="262"/>
      <c r="H26" s="98"/>
      <c r="I26" s="83"/>
      <c r="J26" s="239"/>
    </row>
    <row r="27" spans="1:10" ht="15" customHeight="1" x14ac:dyDescent="0.25">
      <c r="A27" s="77"/>
      <c r="B27" s="85"/>
      <c r="C27" s="104" t="s">
        <v>705</v>
      </c>
      <c r="D27" s="98"/>
      <c r="E27" s="266" t="e">
        <f>IF(J27="Use Capcoa 2021",VL_REF!$H$3,INDEX(VL_TAZ!$O$9:$AD$9,1,MATCH($C27,VL_TAZ!$O$10:$AD$10,0)))</f>
        <v>#N/A</v>
      </c>
      <c r="F27" s="100"/>
      <c r="G27" s="98" t="str">
        <f>CONCATENATE("Alameda CTC model",IF(NOT(ISBLANK(E29)),", overridden",""))</f>
        <v>Alameda CTC model</v>
      </c>
      <c r="H27" s="98"/>
      <c r="I27" s="83"/>
      <c r="J27" s="239" t="s">
        <v>683</v>
      </c>
    </row>
    <row r="28" spans="1:10" ht="4.3499999999999996" customHeight="1" x14ac:dyDescent="0.25">
      <c r="A28" s="77"/>
      <c r="B28" s="85"/>
      <c r="C28" s="104"/>
      <c r="D28" s="98"/>
      <c r="E28" s="98"/>
      <c r="F28" s="100"/>
      <c r="G28" s="263"/>
      <c r="H28" s="98"/>
      <c r="I28" s="83"/>
      <c r="J28" s="77"/>
    </row>
    <row r="29" spans="1:10" ht="15" customHeight="1" x14ac:dyDescent="0.25">
      <c r="A29" s="77"/>
      <c r="B29" s="85"/>
      <c r="C29" s="104" t="s">
        <v>706</v>
      </c>
      <c r="D29" s="465"/>
      <c r="E29" s="74"/>
      <c r="F29" s="100"/>
      <c r="G29" s="452" t="s">
        <v>11</v>
      </c>
      <c r="H29" s="107"/>
      <c r="I29" s="83"/>
      <c r="J29" s="77"/>
    </row>
    <row r="30" spans="1:10" ht="4.3499999999999996" customHeight="1" x14ac:dyDescent="0.25">
      <c r="A30" s="77"/>
      <c r="B30" s="85"/>
      <c r="C30" s="264"/>
      <c r="D30" s="465"/>
      <c r="E30" s="128"/>
      <c r="F30" s="100"/>
      <c r="G30" s="262"/>
      <c r="H30" s="98"/>
      <c r="I30" s="83"/>
      <c r="J30" s="77"/>
    </row>
    <row r="31" spans="1:10" x14ac:dyDescent="0.25">
      <c r="A31" s="77"/>
      <c r="B31" s="85"/>
      <c r="C31" s="104" t="s">
        <v>707</v>
      </c>
      <c r="D31" s="465"/>
      <c r="E31" s="467" t="str">
        <f>IFERROR(IF(ISBLANK(E29),E27,IF(E29&lt;50%,E27,IF(E29&gt;=50%,E29,E27))),"")</f>
        <v/>
      </c>
      <c r="F31" s="100"/>
      <c r="G31" s="262" t="s">
        <v>10</v>
      </c>
      <c r="H31" s="98"/>
      <c r="I31" s="83"/>
      <c r="J31" s="78"/>
    </row>
    <row r="32" spans="1:10" ht="4.3499999999999996" customHeight="1" x14ac:dyDescent="0.25">
      <c r="A32" s="77"/>
      <c r="B32" s="85"/>
      <c r="C32" s="104"/>
      <c r="D32" s="98"/>
      <c r="E32" s="98"/>
      <c r="F32" s="100"/>
      <c r="G32" s="263"/>
      <c r="H32" s="98"/>
      <c r="I32" s="83"/>
      <c r="J32" s="77"/>
    </row>
    <row r="33" spans="1:12" ht="15" customHeight="1" x14ac:dyDescent="0.25">
      <c r="A33" s="77"/>
      <c r="B33" s="85"/>
      <c r="C33" s="104" t="s">
        <v>16</v>
      </c>
      <c r="D33" s="465"/>
      <c r="E33" s="468">
        <v>-0.4</v>
      </c>
      <c r="F33" s="100"/>
      <c r="G33" s="108" t="s">
        <v>867</v>
      </c>
      <c r="H33" s="98"/>
      <c r="I33" s="83"/>
      <c r="J33" s="78"/>
    </row>
    <row r="34" spans="1:12" ht="4.3499999999999996" customHeight="1" x14ac:dyDescent="0.25">
      <c r="A34" s="77"/>
      <c r="B34" s="85"/>
      <c r="C34" s="104"/>
      <c r="D34" s="98"/>
      <c r="E34" s="98"/>
      <c r="F34" s="100"/>
      <c r="G34" s="263"/>
      <c r="H34" s="98"/>
      <c r="I34" s="83"/>
      <c r="J34" s="77"/>
    </row>
    <row r="35" spans="1:12" ht="15" customHeight="1" x14ac:dyDescent="0.25">
      <c r="A35" s="77"/>
      <c r="B35" s="85"/>
      <c r="C35" s="104" t="s">
        <v>564</v>
      </c>
      <c r="D35" s="262"/>
      <c r="E35" s="580">
        <v>0.57799999999999996</v>
      </c>
      <c r="F35" s="100"/>
      <c r="G35" s="108" t="s">
        <v>9</v>
      </c>
      <c r="H35" s="98"/>
      <c r="I35" s="83"/>
      <c r="J35" s="78"/>
    </row>
    <row r="36" spans="1:12" ht="4.3499999999999996" customHeight="1" x14ac:dyDescent="0.25">
      <c r="A36" s="77"/>
      <c r="B36" s="85"/>
      <c r="C36" s="104"/>
      <c r="D36" s="98"/>
      <c r="E36" s="98"/>
      <c r="F36" s="100"/>
      <c r="G36" s="263"/>
      <c r="H36" s="98"/>
      <c r="I36" s="83"/>
      <c r="J36" s="77"/>
    </row>
    <row r="37" spans="1:12" ht="15" customHeight="1" x14ac:dyDescent="0.25">
      <c r="A37" s="77"/>
      <c r="B37" s="85"/>
      <c r="C37" s="104" t="s">
        <v>5</v>
      </c>
      <c r="D37" s="262"/>
      <c r="E37" s="129" t="str">
        <f>IF(ISBLANK(E12),"",IFERROR(MAX(-D8,-1*((E12*E14*E33*E25*E35)/E31)),""))</f>
        <v/>
      </c>
      <c r="F37" s="470"/>
      <c r="G37" s="53" t="b">
        <v>0</v>
      </c>
      <c r="H37" s="207" t="str">
        <f>IF(OR(G37=TRUE,E37=""),"Not Active","Active")</f>
        <v>Not Active</v>
      </c>
      <c r="I37" s="83"/>
      <c r="J37" s="77"/>
    </row>
    <row r="38" spans="1:12" ht="15" customHeight="1" x14ac:dyDescent="0.25">
      <c r="A38" s="77"/>
      <c r="B38" s="85"/>
      <c r="C38" s="262"/>
      <c r="D38" s="262"/>
      <c r="E38" s="262"/>
      <c r="F38" s="98"/>
      <c r="G38" s="100"/>
      <c r="H38" s="595"/>
      <c r="I38" s="83"/>
      <c r="J38" s="77"/>
    </row>
    <row r="39" spans="1:12" ht="51.95" customHeight="1" x14ac:dyDescent="0.25">
      <c r="A39" s="77"/>
      <c r="B39" s="85"/>
      <c r="C39" s="803" t="str">
        <f>"Formula:  % Change in VMT =  " &amp; SUBSTITUTE("-1*(( " &amp; C12 &amp; " * " &amp; C14 &amp; " * " &amp; C33 &amp; " * " &amp; C25 &amp; " * " &amp; C35 &amp; " )/ " &amp; C31 &amp; " )"," used for calculation","")</f>
        <v>Formula:  % Change in VMT =  -1*(( % of neighborhood/city transit routes that receive treatments * Default % change in transit travel time due to treatments * Elasticity of transit ridership with respect to transit travel time * Transit mode share * Statewide mode shift factor )/ Vehicle mode share )</v>
      </c>
      <c r="D39" s="804"/>
      <c r="E39" s="804"/>
      <c r="F39" s="804"/>
      <c r="G39" s="804"/>
      <c r="H39" s="805"/>
      <c r="I39" s="83"/>
      <c r="J39" s="77"/>
    </row>
    <row r="40" spans="1:12" ht="30" customHeight="1" x14ac:dyDescent="0.25">
      <c r="A40" s="77"/>
      <c r="B40" s="85"/>
      <c r="C40" s="85"/>
      <c r="D40" s="666" t="s">
        <v>84</v>
      </c>
      <c r="E40" s="666"/>
      <c r="F40" s="666"/>
      <c r="G40" s="666"/>
      <c r="H40" s="812"/>
      <c r="I40" s="83"/>
      <c r="J40" s="77"/>
    </row>
    <row r="41" spans="1:12" ht="15.6" customHeight="1" x14ac:dyDescent="0.25">
      <c r="A41" s="77"/>
      <c r="B41" s="85"/>
      <c r="C41" s="85"/>
      <c r="D41" s="329" t="s">
        <v>67</v>
      </c>
      <c r="E41" s="329"/>
      <c r="F41" s="329"/>
      <c r="G41" s="329"/>
      <c r="H41" s="83"/>
      <c r="I41" s="83"/>
      <c r="J41" s="77"/>
    </row>
    <row r="42" spans="1:12" ht="17.45" customHeight="1" x14ac:dyDescent="0.25">
      <c r="A42" s="77"/>
      <c r="B42" s="85"/>
      <c r="C42" s="101"/>
      <c r="D42" s="226" t="s">
        <v>147</v>
      </c>
      <c r="E42" s="226"/>
      <c r="F42" s="226"/>
      <c r="G42" s="226"/>
      <c r="H42" s="472"/>
      <c r="I42" s="83"/>
      <c r="J42" s="77"/>
    </row>
    <row r="43" spans="1:12" ht="15" customHeight="1" x14ac:dyDescent="0.25">
      <c r="A43" s="77"/>
      <c r="B43" s="85"/>
      <c r="C43" s="329"/>
      <c r="D43" s="329"/>
      <c r="E43" s="329"/>
      <c r="F43" s="329"/>
      <c r="G43" s="329"/>
      <c r="H43" s="329"/>
      <c r="I43" s="83"/>
      <c r="J43" s="77"/>
    </row>
    <row r="44" spans="1:12" ht="15" customHeight="1" x14ac:dyDescent="0.25">
      <c r="A44" s="77"/>
      <c r="B44" s="85"/>
      <c r="C44" s="98" t="s">
        <v>6</v>
      </c>
      <c r="D44" s="98"/>
      <c r="E44" s="98"/>
      <c r="F44" s="98"/>
      <c r="G44" s="100"/>
      <c r="H44" s="98"/>
      <c r="I44" s="83"/>
      <c r="J44" s="77"/>
    </row>
    <row r="45" spans="1:12" ht="184.5" customHeight="1" x14ac:dyDescent="0.25">
      <c r="A45" s="77"/>
      <c r="B45" s="85"/>
      <c r="C45" s="811"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v>
      </c>
      <c r="D45" s="710"/>
      <c r="E45" s="710"/>
      <c r="F45" s="710"/>
      <c r="G45" s="710"/>
      <c r="H45" s="710"/>
      <c r="I45" s="83"/>
      <c r="J45" s="77"/>
    </row>
    <row r="46" spans="1:12" ht="15" customHeight="1" x14ac:dyDescent="0.25">
      <c r="A46" s="77"/>
      <c r="B46" s="101"/>
      <c r="C46" s="226"/>
      <c r="D46" s="226"/>
      <c r="E46" s="226"/>
      <c r="F46" s="226"/>
      <c r="G46" s="471"/>
      <c r="H46" s="226"/>
      <c r="I46" s="472"/>
      <c r="J46" s="77"/>
    </row>
    <row r="47" spans="1:12" ht="22.35" customHeight="1" x14ac:dyDescent="0.25">
      <c r="A47" s="77"/>
      <c r="B47" s="77"/>
      <c r="C47" s="77"/>
      <c r="D47" s="77"/>
      <c r="E47" s="77"/>
      <c r="F47" s="77"/>
      <c r="G47" s="103"/>
      <c r="H47" s="77"/>
      <c r="I47" s="77"/>
      <c r="J47" s="77"/>
      <c r="L47" s="129"/>
    </row>
  </sheetData>
  <sheetProtection algorithmName="SHA-512" hashValue="FeYig2bIaCUzNDNLKeXhInvBW0G7YwG2xPddduI50vmMUSazUMOrO+std6CkNs3BssMcFFZXKLwOUwfYX0O5gg==" saltValue="Kj6AIWjD6OrPO/73PCJwOw==" spinCount="100000" sheet="1" objects="1" scenarios="1" selectLockedCells="1"/>
  <mergeCells count="5">
    <mergeCell ref="B4:I4"/>
    <mergeCell ref="C10:H10"/>
    <mergeCell ref="C45:H45"/>
    <mergeCell ref="C39:H39"/>
    <mergeCell ref="D40:H40"/>
  </mergeCells>
  <conditionalFormatting sqref="E37">
    <cfRule type="expression" dxfId="5" priority="15">
      <formula>-ROUND($D$8,3)=ROUND($E$37,3)</formula>
    </cfRule>
    <cfRule type="expression" dxfId="4" priority="16">
      <formula>AND(E37&lt;&gt;"",E37&gt;0)</formula>
    </cfRule>
  </conditionalFormatting>
  <dataValidations count="8">
    <dataValidation allowBlank="1" showErrorMessage="1" promptTitle="Default" prompt="User can override this default value in below cell._x000a_" sqref="E33" xr:uid="{00000000-0002-0000-1700-000000000000}"/>
    <dataValidation allowBlank="1" showErrorMessage="1" promptTitle="Definition" prompt="Headway is the amount of time that elapses between two buses servicing a given route and given line. Headway is the inverse of frequency (headway = 1/frequency), where frequency is the nubmer of arrivals over a given time period (e.g., buses per hour)." sqref="E14" xr:uid="{00000000-0002-0000-1700-000001000000}"/>
    <dataValidation allowBlank="1" showErrorMessage="1" promptTitle="Restriction" prompt="If value falls below minimum of -20% or exceeds maximum of 0%, default value will be used below." sqref="E19" xr:uid="{00000000-0002-0000-1700-000002000000}"/>
    <dataValidation type="decimal" allowBlank="1" showErrorMessage="1" errorTitle="Restriction" error="Value must be between 0% and 100%_x000a_" promptTitle="Restriction" prompt="If value exceeds maximum of 25%, default value will be used below." sqref="E23" xr:uid="{00000000-0002-0000-1700-000003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7" xr:uid="{00000000-0002-0000-1700-000004000000}">
      <formula1>-100</formula1>
      <formula2>100</formula2>
    </dataValidation>
    <dataValidation type="decimal" allowBlank="1" showErrorMessage="1" errorTitle="Restriction" error="Value must be between 0% and 100%_x000a_" promptTitle="Restriction" prompt="If value falls below minimum of 50%, default value will be used below." sqref="E29" xr:uid="{00000000-0002-0000-1700-000005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2" xr:uid="{00000000-0002-0000-1700-000007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6" xr:uid="{00000000-0002-0000-1700-000008000000}">
      <formula1>-1</formula1>
      <formula2>1</formula2>
    </dataValidation>
  </dataValidations>
  <hyperlinks>
    <hyperlink ref="H7" location="Results!A1" display="Results Summary" xr:uid="{00000000-0004-0000-1700-000000000000}"/>
    <hyperlink ref="H6" location="Main!L65" display="Return to Main É" xr:uid="{00000000-0004-0000-17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6" r:id="rId4" name="Check Box 4">
              <controlPr defaultSize="0" autoFill="0" autoLine="0" autoPict="0" altText="Exclude From Results Summary">
                <anchor moveWithCells="1">
                  <from>
                    <xdr:col>6</xdr:col>
                    <xdr:colOff>28575</xdr:colOff>
                    <xdr:row>35</xdr:row>
                    <xdr:rowOff>66675</xdr:rowOff>
                  </from>
                  <to>
                    <xdr:col>6</xdr:col>
                    <xdr:colOff>1343025</xdr:colOff>
                    <xdr:row>37</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996600"/>
  </sheetPr>
  <dimension ref="A1:J48"/>
  <sheetViews>
    <sheetView showGridLines="0" showRowColHeaders="0" topLeftCell="A3" zoomScaleNormal="100" workbookViewId="0">
      <selection activeCell="E12" sqref="E12"/>
    </sheetView>
  </sheetViews>
  <sheetFormatPr defaultColWidth="0" defaultRowHeight="15" zeroHeight="1" x14ac:dyDescent="0.25"/>
  <cols>
    <col min="1" max="1" width="4.42578125" style="115" customWidth="1"/>
    <col min="2" max="2" width="8.85546875" style="115" customWidth="1"/>
    <col min="3" max="3" width="20" style="115" customWidth="1"/>
    <col min="4" max="4" width="52.42578125" style="115" customWidth="1"/>
    <col min="5" max="5" width="10.5703125" style="115" customWidth="1"/>
    <col min="6" max="6" width="5.5703125" style="115" customWidth="1"/>
    <col min="7" max="7" width="19" style="116" customWidth="1"/>
    <col min="8" max="8" width="17.5703125" style="115" customWidth="1"/>
    <col min="9" max="9" width="8.85546875" style="115" customWidth="1"/>
    <col min="10" max="10" width="4.5703125" style="115" customWidth="1"/>
    <col min="11" max="16384" width="8.85546875" style="115" hidden="1"/>
  </cols>
  <sheetData>
    <row r="1" spans="1:10" hidden="1" x14ac:dyDescent="0.25">
      <c r="A1" s="77"/>
      <c r="B1" s="77"/>
      <c r="C1" s="77"/>
      <c r="D1" s="77"/>
      <c r="E1" s="77"/>
      <c r="F1" s="77"/>
      <c r="G1" s="103"/>
      <c r="H1" s="77"/>
      <c r="I1" s="77"/>
      <c r="J1" s="77"/>
    </row>
    <row r="2" spans="1:10" hidden="1" x14ac:dyDescent="0.25">
      <c r="A2" s="77"/>
      <c r="B2" s="77"/>
      <c r="C2" s="77"/>
      <c r="D2" s="77"/>
      <c r="E2" s="77"/>
      <c r="F2" s="77"/>
      <c r="G2" s="103"/>
      <c r="H2" s="77"/>
      <c r="I2" s="77"/>
      <c r="J2" s="77"/>
    </row>
    <row r="3" spans="1:10" ht="22.35" customHeight="1" x14ac:dyDescent="0.25">
      <c r="A3" s="77"/>
      <c r="B3" s="51"/>
      <c r="C3" s="77"/>
      <c r="D3" s="77"/>
      <c r="E3" s="77"/>
      <c r="F3" s="77"/>
      <c r="G3" s="103"/>
      <c r="H3" s="77"/>
      <c r="I3" s="77"/>
      <c r="J3" s="77"/>
    </row>
    <row r="4" spans="1:10" ht="18.75" x14ac:dyDescent="0.25">
      <c r="A4" s="239" t="s">
        <v>36</v>
      </c>
      <c r="B4" s="807" t="str">
        <f>A4&amp;". "&amp;INDEX(VL_TDM!$E$11:$E$41,MATCH($A$4,VL_TDM!$B$11:$B$41,0),1)</f>
        <v>5D. Transit Fare Reduction</v>
      </c>
      <c r="C4" s="722"/>
      <c r="D4" s="722"/>
      <c r="E4" s="722"/>
      <c r="F4" s="722"/>
      <c r="G4" s="722"/>
      <c r="H4" s="722"/>
      <c r="I4" s="723"/>
      <c r="J4" s="77"/>
    </row>
    <row r="5" spans="1:10" ht="15" customHeight="1" x14ac:dyDescent="0.25">
      <c r="A5" s="77"/>
      <c r="B5" s="85"/>
      <c r="C5" s="110"/>
      <c r="D5" s="110"/>
      <c r="E5" s="110"/>
      <c r="F5" s="98"/>
      <c r="G5" s="100"/>
      <c r="H5" s="98"/>
      <c r="I5" s="83"/>
      <c r="J5" s="77"/>
    </row>
    <row r="6" spans="1:10" ht="15" customHeight="1" x14ac:dyDescent="0.25">
      <c r="A6" s="77"/>
      <c r="B6" s="85"/>
      <c r="C6" s="98" t="s">
        <v>1</v>
      </c>
      <c r="D6" s="462" t="str">
        <f>INDEX(VL_TDM!$AC$11:$AC$41,MATCH($A$4,VL_TDM!$B$11:$B$41,0),1)</f>
        <v>Neighborhood/City</v>
      </c>
      <c r="E6" s="100"/>
      <c r="F6" s="100"/>
      <c r="G6" s="100"/>
      <c r="H6" s="617" t="s">
        <v>89</v>
      </c>
      <c r="I6" s="83"/>
      <c r="J6" s="77"/>
    </row>
    <row r="7" spans="1:10" ht="15" customHeight="1" x14ac:dyDescent="0.25">
      <c r="A7" s="77"/>
      <c r="B7" s="85"/>
      <c r="C7" s="109" t="s">
        <v>2</v>
      </c>
      <c r="D7" s="113" t="str">
        <f>INDEX(VL_TDM!$AD$11:$AD$41,MATCH($A$4,VL_TDM!$B$11:$B$41,0),1)</f>
        <v>All neighborhood/city trips</v>
      </c>
      <c r="E7" s="100"/>
      <c r="F7" s="100"/>
      <c r="G7" s="98"/>
      <c r="H7" s="617" t="s">
        <v>105</v>
      </c>
      <c r="I7" s="83"/>
      <c r="J7" s="77"/>
    </row>
    <row r="8" spans="1:10" ht="15" customHeight="1" x14ac:dyDescent="0.25">
      <c r="A8" s="77"/>
      <c r="B8" s="85"/>
      <c r="C8" s="109" t="s">
        <v>149</v>
      </c>
      <c r="D8" s="114">
        <f>INDEX(VL_TDM!$AE$11:$AE$41,MATCH($A$4,VL_TDM!$B$11:$B$41,0),1)</f>
        <v>1.2E-2</v>
      </c>
      <c r="E8" s="110"/>
      <c r="F8" s="98"/>
      <c r="G8" s="100"/>
      <c r="H8" s="98"/>
      <c r="I8" s="83"/>
      <c r="J8" s="77"/>
    </row>
    <row r="9" spans="1:10" ht="15" customHeight="1" x14ac:dyDescent="0.25">
      <c r="A9" s="77"/>
      <c r="B9" s="85"/>
      <c r="C9" s="98"/>
      <c r="D9" s="98"/>
      <c r="E9" s="98"/>
      <c r="F9" s="98"/>
      <c r="G9" s="100"/>
      <c r="H9" s="98"/>
      <c r="I9" s="83"/>
      <c r="J9" s="77"/>
    </row>
    <row r="10" spans="1:10" ht="99.95" customHeight="1" x14ac:dyDescent="0.25">
      <c r="A10" s="77"/>
      <c r="B10" s="85"/>
      <c r="C10" s="724" t="str">
        <f>INDEX(VL_TDM!$AF$11:$AF$41,MATCH($A$4,VL_TDM!$B$11:$B$41,0),1)</f>
        <v>This strategy will reduce transit fares on the transit lines serving the neighborhood/city. A reduction in transit fares creates incentives to shift travel to transit from single occupancy vehicles and other traveling modes, which reduces VMT and associated GHG emissions. Transit fare reductions can be implemented systemwide or in specific fare-free or reduced-fare zones. 
This strategy differs from Strategy 1D1, which can be offered through employer-based benefits programs in which the employer fully or partially pays the employee’s cost of transit.</v>
      </c>
      <c r="D10" s="710"/>
      <c r="E10" s="710"/>
      <c r="F10" s="710"/>
      <c r="G10" s="710"/>
      <c r="H10" s="710"/>
      <c r="I10" s="83"/>
      <c r="J10" s="77"/>
    </row>
    <row r="11" spans="1:10" ht="15" customHeight="1" x14ac:dyDescent="0.25">
      <c r="A11" s="77"/>
      <c r="B11" s="85"/>
      <c r="C11" s="98"/>
      <c r="D11" s="98"/>
      <c r="E11" s="98"/>
      <c r="F11" s="98"/>
      <c r="G11" s="100"/>
      <c r="H11" s="98"/>
      <c r="I11" s="83"/>
      <c r="J11" s="77"/>
    </row>
    <row r="12" spans="1:10" ht="15" customHeight="1" x14ac:dyDescent="0.25">
      <c r="A12" s="77"/>
      <c r="B12" s="85"/>
      <c r="C12" s="104" t="s">
        <v>59</v>
      </c>
      <c r="D12" s="262"/>
      <c r="E12" s="66"/>
      <c r="F12" s="100"/>
      <c r="G12" s="262" t="s">
        <v>0</v>
      </c>
      <c r="H12" s="98"/>
      <c r="I12" s="83"/>
      <c r="J12" s="77"/>
    </row>
    <row r="13" spans="1:10" ht="4.3499999999999996" customHeight="1" x14ac:dyDescent="0.25">
      <c r="A13" s="77"/>
      <c r="B13" s="85"/>
      <c r="C13" s="104"/>
      <c r="D13" s="98"/>
      <c r="E13" s="464"/>
      <c r="F13" s="100"/>
      <c r="G13" s="263"/>
      <c r="H13" s="98"/>
      <c r="I13" s="83"/>
      <c r="J13" s="77"/>
    </row>
    <row r="14" spans="1:10" ht="15" customHeight="1" x14ac:dyDescent="0.25">
      <c r="A14" s="77"/>
      <c r="B14" s="85"/>
      <c r="C14" s="104" t="str">
        <f>CONCATENATE("Existing regular transit fare", "")</f>
        <v>Existing regular transit fare</v>
      </c>
      <c r="D14" s="262"/>
      <c r="E14" s="66"/>
      <c r="F14" s="100"/>
      <c r="G14" s="262" t="s">
        <v>0</v>
      </c>
      <c r="H14" s="98"/>
      <c r="I14" s="83"/>
      <c r="J14" s="77"/>
    </row>
    <row r="15" spans="1:10" ht="4.3499999999999996" customHeight="1" x14ac:dyDescent="0.25">
      <c r="A15" s="77"/>
      <c r="B15" s="85"/>
      <c r="C15" s="104"/>
      <c r="D15" s="98"/>
      <c r="E15" s="464"/>
      <c r="F15" s="100"/>
      <c r="G15" s="263"/>
      <c r="H15" s="98"/>
      <c r="I15" s="83"/>
      <c r="J15" s="77"/>
    </row>
    <row r="16" spans="1:10" ht="15" customHeight="1" x14ac:dyDescent="0.25">
      <c r="A16" s="77"/>
      <c r="B16" s="85"/>
      <c r="C16" s="104" t="str">
        <f>CONCATENATE("Regular transit fare with project", "")</f>
        <v>Regular transit fare with project</v>
      </c>
      <c r="D16" s="262"/>
      <c r="E16" s="66"/>
      <c r="F16" s="100"/>
      <c r="G16" s="262" t="s">
        <v>0</v>
      </c>
      <c r="H16" s="98"/>
      <c r="I16" s="83"/>
      <c r="J16" s="77"/>
    </row>
    <row r="17" spans="1:10" ht="4.3499999999999996" customHeight="1" x14ac:dyDescent="0.25">
      <c r="A17" s="77"/>
      <c r="B17" s="85"/>
      <c r="C17" s="104"/>
      <c r="D17" s="98"/>
      <c r="E17" s="98"/>
      <c r="F17" s="100"/>
      <c r="G17" s="263"/>
      <c r="H17" s="98"/>
      <c r="I17" s="83"/>
      <c r="J17" s="77"/>
    </row>
    <row r="18" spans="1:10" ht="15" customHeight="1" x14ac:dyDescent="0.25">
      <c r="A18" s="77"/>
      <c r="B18" s="85"/>
      <c r="C18" s="104" t="s">
        <v>17</v>
      </c>
      <c r="D18" s="465"/>
      <c r="E18" s="579" t="str">
        <f>IF(OR(ISBLANK(E14),ISBLANK(E16)),"",IF(E14=0,IF(E16=0,0,0.5),MIN(MAX(-0.5,(E16-E14)/E14),0.5)))</f>
        <v/>
      </c>
      <c r="F18" s="100"/>
      <c r="G18" s="262" t="s">
        <v>916</v>
      </c>
      <c r="H18" s="98"/>
      <c r="I18" s="83"/>
      <c r="J18" s="78"/>
    </row>
    <row r="19" spans="1:10" ht="4.3499999999999996" customHeight="1" x14ac:dyDescent="0.25">
      <c r="A19" s="77"/>
      <c r="B19" s="85"/>
      <c r="C19" s="104"/>
      <c r="D19" s="98"/>
      <c r="E19" s="98"/>
      <c r="F19" s="100"/>
      <c r="G19" s="263"/>
      <c r="H19" s="98"/>
      <c r="I19" s="83"/>
      <c r="J19" s="77"/>
    </row>
    <row r="20" spans="1:10" ht="15" customHeight="1" x14ac:dyDescent="0.25">
      <c r="A20" s="77"/>
      <c r="B20" s="85"/>
      <c r="C20" s="104" t="s">
        <v>566</v>
      </c>
      <c r="D20" s="98"/>
      <c r="E20" s="72"/>
      <c r="F20" s="100"/>
      <c r="G20" s="262" t="s">
        <v>0</v>
      </c>
      <c r="H20" s="98"/>
      <c r="I20" s="83"/>
      <c r="J20" s="78"/>
    </row>
    <row r="21" spans="1:10" ht="4.3499999999999996" customHeight="1" x14ac:dyDescent="0.25">
      <c r="A21" s="77"/>
      <c r="B21" s="85"/>
      <c r="C21" s="104"/>
      <c r="D21" s="98"/>
      <c r="E21" s="98"/>
      <c r="F21" s="100"/>
      <c r="G21" s="263"/>
      <c r="H21" s="98"/>
      <c r="I21" s="83"/>
      <c r="J21" s="77"/>
    </row>
    <row r="22" spans="1:10" ht="15" customHeight="1" x14ac:dyDescent="0.25">
      <c r="A22" s="77"/>
      <c r="B22" s="85"/>
      <c r="C22" s="104" t="s">
        <v>684</v>
      </c>
      <c r="D22" s="465"/>
      <c r="E22" s="266" t="e">
        <f>IF(J22="Use Capcoa 2021",VL_REF!$G$3,INDEX(VL_TAZ!$O$9:$AD$9,1,MATCH($C22,VL_TAZ!$O$10:$AD$10,0)))</f>
        <v>#N/A</v>
      </c>
      <c r="F22" s="100"/>
      <c r="G22" s="98" t="str">
        <f>CONCATENATE("Alameda CTC model",IF(NOT(ISBLANK(E24)),", overridden",""))</f>
        <v>Alameda CTC model</v>
      </c>
      <c r="H22" s="98"/>
      <c r="I22" s="83"/>
      <c r="J22" s="239" t="s">
        <v>683</v>
      </c>
    </row>
    <row r="23" spans="1:10" ht="4.3499999999999996" customHeight="1" x14ac:dyDescent="0.25">
      <c r="A23" s="77"/>
      <c r="B23" s="85"/>
      <c r="C23" s="104"/>
      <c r="D23" s="98"/>
      <c r="E23" s="98"/>
      <c r="F23" s="100"/>
      <c r="G23" s="263"/>
      <c r="H23" s="98"/>
      <c r="I23" s="83"/>
      <c r="J23" s="239"/>
    </row>
    <row r="24" spans="1:10" ht="15" customHeight="1" x14ac:dyDescent="0.25">
      <c r="A24" s="77"/>
      <c r="B24" s="85"/>
      <c r="C24" s="104" t="s">
        <v>685</v>
      </c>
      <c r="D24" s="465"/>
      <c r="E24" s="74"/>
      <c r="F24" s="100"/>
      <c r="G24" s="265" t="s">
        <v>11</v>
      </c>
      <c r="H24" s="98"/>
      <c r="I24" s="83"/>
      <c r="J24" s="239"/>
    </row>
    <row r="25" spans="1:10" ht="4.3499999999999996" customHeight="1" x14ac:dyDescent="0.25">
      <c r="A25" s="77"/>
      <c r="B25" s="85"/>
      <c r="C25" s="264"/>
      <c r="D25" s="465"/>
      <c r="E25" s="466"/>
      <c r="F25" s="100"/>
      <c r="G25" s="262"/>
      <c r="H25" s="98"/>
      <c r="I25" s="83"/>
      <c r="J25" s="239"/>
    </row>
    <row r="26" spans="1:10" x14ac:dyDescent="0.25">
      <c r="A26" s="77"/>
      <c r="B26" s="85"/>
      <c r="C26" s="104" t="s">
        <v>14</v>
      </c>
      <c r="D26" s="465"/>
      <c r="E26" s="467" t="str">
        <f>IFERROR(IF(ISBLANK(E24),E22,IF(E24&gt;25%,E22,IF(E24&lt;=25%,E24,E22))),"")</f>
        <v/>
      </c>
      <c r="F26" s="100"/>
      <c r="G26" s="262" t="s">
        <v>10</v>
      </c>
      <c r="H26" s="98"/>
      <c r="I26" s="83"/>
      <c r="J26" s="240"/>
    </row>
    <row r="27" spans="1:10" ht="4.3499999999999996" customHeight="1" x14ac:dyDescent="0.25">
      <c r="A27" s="77"/>
      <c r="B27" s="85"/>
      <c r="C27" s="104"/>
      <c r="D27" s="98"/>
      <c r="E27" s="98"/>
      <c r="F27" s="100"/>
      <c r="G27" s="263"/>
      <c r="H27" s="98"/>
      <c r="I27" s="83"/>
      <c r="J27" s="239"/>
    </row>
    <row r="28" spans="1:10" ht="15" customHeight="1" x14ac:dyDescent="0.25">
      <c r="A28" s="77"/>
      <c r="B28" s="85"/>
      <c r="C28" s="104" t="s">
        <v>705</v>
      </c>
      <c r="D28" s="98"/>
      <c r="E28" s="266" t="e">
        <f>IF(J28="Use Capcoa 2021",VL_REF!$H$3,INDEX(VL_TAZ!$O$9:$AD$9,1,MATCH($C28,VL_TAZ!$O$10:$AD$10,0)))</f>
        <v>#N/A</v>
      </c>
      <c r="F28" s="100"/>
      <c r="G28" s="98" t="str">
        <f>CONCATENATE("Alameda CTC model",IF(NOT(ISBLANK(E30)),", overridden",""))</f>
        <v>Alameda CTC model</v>
      </c>
      <c r="H28" s="98"/>
      <c r="I28" s="83"/>
      <c r="J28" s="239" t="s">
        <v>683</v>
      </c>
    </row>
    <row r="29" spans="1:10" ht="4.3499999999999996" customHeight="1" x14ac:dyDescent="0.25">
      <c r="A29" s="77"/>
      <c r="B29" s="85"/>
      <c r="C29" s="104"/>
      <c r="D29" s="98"/>
      <c r="E29" s="98"/>
      <c r="F29" s="100"/>
      <c r="G29" s="263"/>
      <c r="H29" s="98"/>
      <c r="I29" s="83"/>
      <c r="J29" s="77"/>
    </row>
    <row r="30" spans="1:10" ht="15" customHeight="1" x14ac:dyDescent="0.25">
      <c r="A30" s="77"/>
      <c r="B30" s="85"/>
      <c r="C30" s="104" t="s">
        <v>706</v>
      </c>
      <c r="D30" s="465"/>
      <c r="E30" s="74"/>
      <c r="F30" s="100"/>
      <c r="G30" s="265" t="s">
        <v>11</v>
      </c>
      <c r="H30" s="98"/>
      <c r="I30" s="83"/>
      <c r="J30" s="77"/>
    </row>
    <row r="31" spans="1:10" ht="4.3499999999999996" customHeight="1" x14ac:dyDescent="0.25">
      <c r="A31" s="77"/>
      <c r="B31" s="85"/>
      <c r="C31" s="264"/>
      <c r="D31" s="465"/>
      <c r="E31" s="128"/>
      <c r="F31" s="100"/>
      <c r="G31" s="262"/>
      <c r="H31" s="98"/>
      <c r="I31" s="83"/>
      <c r="J31" s="77"/>
    </row>
    <row r="32" spans="1:10" x14ac:dyDescent="0.25">
      <c r="A32" s="77"/>
      <c r="B32" s="85"/>
      <c r="C32" s="104" t="s">
        <v>707</v>
      </c>
      <c r="D32" s="465"/>
      <c r="E32" s="467" t="str">
        <f>IFERROR(IF(ISBLANK(E30),E28,IF(E30&lt;50%,E28,IF(E30&gt;=50%,E30,E28))),"")</f>
        <v/>
      </c>
      <c r="F32" s="100"/>
      <c r="G32" s="262" t="s">
        <v>10</v>
      </c>
      <c r="H32" s="98"/>
      <c r="I32" s="83"/>
      <c r="J32" s="78"/>
    </row>
    <row r="33" spans="1:10" ht="4.3499999999999996" customHeight="1" x14ac:dyDescent="0.25">
      <c r="A33" s="77"/>
      <c r="B33" s="85"/>
      <c r="C33" s="104"/>
      <c r="D33" s="98"/>
      <c r="E33" s="98"/>
      <c r="F33" s="100"/>
      <c r="G33" s="263"/>
      <c r="H33" s="98"/>
      <c r="I33" s="83"/>
      <c r="J33" s="77"/>
    </row>
    <row r="34" spans="1:10" ht="15" customHeight="1" x14ac:dyDescent="0.25">
      <c r="A34" s="77"/>
      <c r="B34" s="85"/>
      <c r="C34" s="104" t="s">
        <v>60</v>
      </c>
      <c r="D34" s="465"/>
      <c r="E34" s="468">
        <v>-0.3</v>
      </c>
      <c r="F34" s="100"/>
      <c r="G34" s="108" t="s">
        <v>12</v>
      </c>
      <c r="H34" s="98"/>
      <c r="I34" s="83"/>
      <c r="J34" s="78"/>
    </row>
    <row r="35" spans="1:10" ht="4.3499999999999996" customHeight="1" x14ac:dyDescent="0.25">
      <c r="A35" s="77"/>
      <c r="B35" s="85"/>
      <c r="C35" s="104"/>
      <c r="D35" s="98"/>
      <c r="E35" s="98"/>
      <c r="F35" s="100"/>
      <c r="G35" s="263"/>
      <c r="H35" s="98"/>
      <c r="I35" s="83"/>
      <c r="J35" s="77"/>
    </row>
    <row r="36" spans="1:10" ht="15" customHeight="1" x14ac:dyDescent="0.25">
      <c r="A36" s="77"/>
      <c r="B36" s="85"/>
      <c r="C36" s="104" t="s">
        <v>564</v>
      </c>
      <c r="D36" s="262"/>
      <c r="E36" s="580">
        <v>0.57799999999999996</v>
      </c>
      <c r="F36" s="100"/>
      <c r="G36" s="108" t="s">
        <v>9</v>
      </c>
      <c r="H36" s="98"/>
      <c r="I36" s="83"/>
      <c r="J36" s="78"/>
    </row>
    <row r="37" spans="1:10" ht="4.3499999999999996" customHeight="1" x14ac:dyDescent="0.25">
      <c r="A37" s="77"/>
      <c r="B37" s="85"/>
      <c r="C37" s="104"/>
      <c r="D37" s="98"/>
      <c r="E37" s="98"/>
      <c r="F37" s="100"/>
      <c r="G37" s="263"/>
      <c r="H37" s="98"/>
      <c r="I37" s="83"/>
      <c r="J37" s="77"/>
    </row>
    <row r="38" spans="1:10" ht="15" customHeight="1" x14ac:dyDescent="0.25">
      <c r="A38" s="77"/>
      <c r="B38" s="85"/>
      <c r="C38" s="104" t="s">
        <v>5</v>
      </c>
      <c r="D38" s="262"/>
      <c r="E38" s="129" t="str">
        <f>IF(OR(ISBLANK(E14),ISBLANK(E16)),"",IFERROR(MAX(-D8,-(E18*E20*E34*E26*E36)/E32),""))</f>
        <v/>
      </c>
      <c r="F38" s="470"/>
      <c r="G38" s="53" t="b">
        <v>0</v>
      </c>
      <c r="H38" s="207" t="str">
        <f>IF(OR(G38=TRUE,E38=""),"Not Active","Active")</f>
        <v>Not Active</v>
      </c>
      <c r="I38" s="83"/>
      <c r="J38" s="77"/>
    </row>
    <row r="39" spans="1:10" ht="15" customHeight="1" x14ac:dyDescent="0.25">
      <c r="A39" s="77"/>
      <c r="B39" s="85"/>
      <c r="C39" s="98"/>
      <c r="D39" s="98"/>
      <c r="E39" s="98"/>
      <c r="F39" s="98"/>
      <c r="G39" s="100"/>
      <c r="H39" s="98"/>
      <c r="I39" s="83"/>
      <c r="J39" s="77"/>
    </row>
    <row r="40" spans="1:10" ht="35.1" customHeight="1" x14ac:dyDescent="0.25">
      <c r="A40" s="77"/>
      <c r="B40" s="85"/>
      <c r="C40" s="803" t="str">
        <f>"Formula:  % Change in VMT =  " &amp; SUBSTITUTE("-( " &amp; C18 &amp; " * " &amp; C20 &amp; " * " &amp; C34 &amp; " * " &amp; C26 &amp; " * " &amp; C36 &amp; " )/ " &amp; C32 &amp; " "," used for calculation","")</f>
        <v xml:space="preserve">Formula:  % Change in VMT =  -( % change in transit fare * Percent of neighborhood/city transit routes that receive reduced fares * Elasticity of transit ridership with respect to transit fare * Transit mode share * Statewide mode shift factor )/ Vehicle mode share </v>
      </c>
      <c r="D40" s="804"/>
      <c r="E40" s="804"/>
      <c r="F40" s="804"/>
      <c r="G40" s="804"/>
      <c r="H40" s="805"/>
      <c r="I40" s="83"/>
      <c r="J40" s="77"/>
    </row>
    <row r="41" spans="1:10" ht="15" customHeight="1" x14ac:dyDescent="0.25">
      <c r="A41" s="77"/>
      <c r="B41" s="85"/>
      <c r="C41" s="581"/>
      <c r="D41" s="666" t="s">
        <v>914</v>
      </c>
      <c r="E41" s="666"/>
      <c r="F41" s="666"/>
      <c r="G41" s="666"/>
      <c r="H41" s="812"/>
      <c r="I41" s="83"/>
      <c r="J41" s="77"/>
    </row>
    <row r="42" spans="1:10" ht="15" customHeight="1" x14ac:dyDescent="0.25">
      <c r="A42" s="77"/>
      <c r="B42" s="85"/>
      <c r="C42" s="85"/>
      <c r="D42" s="815" t="s">
        <v>67</v>
      </c>
      <c r="E42" s="815"/>
      <c r="F42" s="815"/>
      <c r="G42" s="815"/>
      <c r="H42" s="806"/>
      <c r="I42" s="83"/>
      <c r="J42" s="77"/>
    </row>
    <row r="43" spans="1:10" ht="15" customHeight="1" x14ac:dyDescent="0.25">
      <c r="A43" s="77"/>
      <c r="B43" s="85"/>
      <c r="C43" s="101"/>
      <c r="D43" s="813" t="s">
        <v>147</v>
      </c>
      <c r="E43" s="813"/>
      <c r="F43" s="813"/>
      <c r="G43" s="813"/>
      <c r="H43" s="814"/>
      <c r="I43" s="83"/>
      <c r="J43" s="77"/>
    </row>
    <row r="44" spans="1:10" ht="15" customHeight="1" x14ac:dyDescent="0.25">
      <c r="A44" s="77"/>
      <c r="B44" s="85"/>
      <c r="C44" s="329"/>
      <c r="D44" s="97"/>
      <c r="E44" s="97"/>
      <c r="F44" s="97"/>
      <c r="G44" s="97"/>
      <c r="H44" s="97"/>
      <c r="I44" s="83"/>
      <c r="J44" s="77"/>
    </row>
    <row r="45" spans="1:10" ht="15" customHeight="1" x14ac:dyDescent="0.25">
      <c r="A45" s="77"/>
      <c r="B45" s="85"/>
      <c r="C45" s="98" t="s">
        <v>6</v>
      </c>
      <c r="D45" s="98"/>
      <c r="E45" s="98"/>
      <c r="F45" s="98"/>
      <c r="G45" s="100"/>
      <c r="H45" s="98"/>
      <c r="I45" s="83"/>
      <c r="J45" s="77"/>
    </row>
    <row r="46" spans="1:10" ht="219.95" customHeight="1" x14ac:dyDescent="0.25">
      <c r="A46" s="77"/>
      <c r="B46" s="85"/>
      <c r="C46" s="747"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46" s="719"/>
      <c r="E46" s="719"/>
      <c r="F46" s="719"/>
      <c r="G46" s="719"/>
      <c r="H46" s="719"/>
      <c r="I46" s="83"/>
      <c r="J46" s="77"/>
    </row>
    <row r="47" spans="1:10" ht="15" customHeight="1" x14ac:dyDescent="0.25">
      <c r="A47" s="77"/>
      <c r="B47" s="101"/>
      <c r="C47" s="226"/>
      <c r="D47" s="226"/>
      <c r="E47" s="226"/>
      <c r="F47" s="226"/>
      <c r="G47" s="471"/>
      <c r="H47" s="226"/>
      <c r="I47" s="472"/>
      <c r="J47" s="77"/>
    </row>
    <row r="48" spans="1:10" ht="22.35" customHeight="1" x14ac:dyDescent="0.25">
      <c r="A48" s="77"/>
      <c r="B48" s="77"/>
      <c r="C48" s="77"/>
      <c r="D48" s="77"/>
      <c r="E48" s="77"/>
      <c r="F48" s="77"/>
      <c r="G48" s="103"/>
      <c r="H48" s="77"/>
      <c r="I48" s="77"/>
      <c r="J48" s="77"/>
    </row>
  </sheetData>
  <sheetProtection algorithmName="SHA-512" hashValue="KWfvIpwf6wAywQVS/uLqR2WAEhUxkIzY2Ef5f3el66Yishb6znVc4ZZL/qqW5NEz+8dJ6kPaQTEiLCbKB6OwdQ==" saltValue="sg3HqcMovCGB3gjXiCcTew==" spinCount="100000" sheet="1" objects="1" scenarios="1" selectLockedCells="1"/>
  <mergeCells count="7">
    <mergeCell ref="D43:H43"/>
    <mergeCell ref="C46:H46"/>
    <mergeCell ref="B4:I4"/>
    <mergeCell ref="C10:H10"/>
    <mergeCell ref="C40:H40"/>
    <mergeCell ref="D41:H41"/>
    <mergeCell ref="D42:H42"/>
  </mergeCells>
  <conditionalFormatting sqref="E38">
    <cfRule type="expression" dxfId="3" priority="15">
      <formula>-ROUND($D$8,3)=ROUND($E$38,3)</formula>
    </cfRule>
    <cfRule type="expression" dxfId="2" priority="18">
      <formula>AND(E38&lt;&gt;"",E38&gt;0)</formula>
    </cfRule>
  </conditionalFormatting>
  <dataValidations xWindow="569" yWindow="615" count="4">
    <dataValidation allowBlank="1" showErrorMessage="1" promptTitle="Restriction" prompt="Value must not exceed 50% (1)._x000a_" sqref="E18" xr:uid="{00000000-0002-0000-1800-000000000000}"/>
    <dataValidation type="decimal" allowBlank="1" showErrorMessage="1" errorTitle="Restriction" error="Value must be between 0% and 100%_x000a_" promptTitle="Restriction" prompt="If value falls below minimum of 50%, default value will be used below." sqref="E30" xr:uid="{00000000-0002-0000-1800-000001000000}">
      <formula1>0</formula1>
      <formula2>1</formula2>
    </dataValidation>
    <dataValidation type="decimal" allowBlank="1" showErrorMessage="1" errorTitle="Restriction" error="Value must be between 0% and 100%_x000a_" promptTitle="Restriction" prompt="If value exceeds maximum of 25%, default value will be used below." sqref="E24" xr:uid="{00000000-0002-0000-1800-000002000000}">
      <formula1>0</formula1>
      <formula2>1</formula2>
    </dataValidation>
    <dataValidation type="decimal" operator="greaterThanOrEqual" allowBlank="1" showErrorMessage="1" error="Value must not be negative" sqref="E14 E16 E20" xr:uid="{00000000-0002-0000-1800-000003000000}">
      <formula1>0</formula1>
    </dataValidation>
  </dataValidations>
  <hyperlinks>
    <hyperlink ref="H7" location="Results!A1" display="Results Summary" xr:uid="{00000000-0004-0000-1800-000000000000}"/>
    <hyperlink ref="H6" location="Main!L65" display="Return to Main É" xr:uid="{00000000-0004-0000-18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ltText="Exclude From Results Summary">
                <anchor moveWithCells="1">
                  <from>
                    <xdr:col>6</xdr:col>
                    <xdr:colOff>0</xdr:colOff>
                    <xdr:row>36</xdr:row>
                    <xdr:rowOff>66675</xdr:rowOff>
                  </from>
                  <to>
                    <xdr:col>7</xdr:col>
                    <xdr:colOff>28575</xdr:colOff>
                    <xdr:row>38</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69" yWindow="615" count="1">
        <x14:dataValidation type="list" operator="greaterThanOrEqual" allowBlank="1" showErrorMessage="1" error="Select value from drop-down list" xr:uid="{00000000-0002-0000-1800-000004000000}">
          <x14:formula1>
            <xm:f>VL_REF!$CE$11:$CE$16</xm:f>
          </x14:formula1>
          <xm:sqref>E12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96600"/>
  </sheetPr>
  <dimension ref="A1:T42"/>
  <sheetViews>
    <sheetView showGridLines="0" showRowColHeaders="0" topLeftCell="A7" zoomScaleNormal="100" workbookViewId="0">
      <selection activeCell="E10" sqref="E10"/>
    </sheetView>
  </sheetViews>
  <sheetFormatPr defaultColWidth="0" defaultRowHeight="15" zeroHeight="1" x14ac:dyDescent="0.25"/>
  <cols>
    <col min="1" max="1" width="4.42578125" style="115" customWidth="1"/>
    <col min="2" max="2" width="8.85546875" style="77" customWidth="1"/>
    <col min="3" max="3" width="20" style="77" customWidth="1"/>
    <col min="4" max="4" width="58.5703125" style="77" customWidth="1"/>
    <col min="5" max="5" width="10.5703125" style="77" customWidth="1"/>
    <col min="6" max="6" width="5.5703125" style="115" customWidth="1"/>
    <col min="7" max="7" width="19.42578125" style="116" customWidth="1"/>
    <col min="8" max="8" width="17.42578125" style="115" customWidth="1"/>
    <col min="9" max="9" width="8.85546875" style="115" customWidth="1"/>
    <col min="10" max="10" width="4.5703125" style="115" customWidth="1"/>
    <col min="11" max="20" width="0" style="115" hidden="1" customWidth="1"/>
    <col min="21" max="16384" width="8.85546875" style="115" hidden="1"/>
  </cols>
  <sheetData>
    <row r="1" spans="1:19" ht="22.35" customHeight="1" x14ac:dyDescent="0.25">
      <c r="A1" s="77"/>
      <c r="B1" s="51"/>
      <c r="F1" s="77"/>
      <c r="G1" s="103"/>
      <c r="H1" s="77"/>
      <c r="I1" s="77"/>
      <c r="J1" s="77"/>
    </row>
    <row r="2" spans="1:19" ht="18.75" x14ac:dyDescent="0.25">
      <c r="A2" s="239" t="s">
        <v>37</v>
      </c>
      <c r="B2" s="807" t="s">
        <v>139</v>
      </c>
      <c r="C2" s="816"/>
      <c r="D2" s="816"/>
      <c r="E2" s="816"/>
      <c r="F2" s="816"/>
      <c r="G2" s="816"/>
      <c r="H2" s="816"/>
      <c r="I2" s="817"/>
      <c r="J2" s="77"/>
    </row>
    <row r="3" spans="1:19" ht="15" customHeight="1" x14ac:dyDescent="0.25">
      <c r="A3" s="77"/>
      <c r="B3" s="85"/>
      <c r="C3" s="596"/>
      <c r="D3" s="596"/>
      <c r="E3" s="596"/>
      <c r="F3" s="329"/>
      <c r="G3" s="344"/>
      <c r="H3" s="329"/>
      <c r="I3" s="83"/>
      <c r="J3" s="77"/>
    </row>
    <row r="4" spans="1:19" ht="15" customHeight="1" x14ac:dyDescent="0.25">
      <c r="A4" s="77"/>
      <c r="B4" s="85"/>
      <c r="C4" s="329" t="s">
        <v>1</v>
      </c>
      <c r="D4" s="597" t="s">
        <v>809</v>
      </c>
      <c r="E4" s="344"/>
      <c r="F4" s="344"/>
      <c r="G4" s="344"/>
      <c r="H4" s="615" t="s">
        <v>89</v>
      </c>
      <c r="I4" s="83"/>
      <c r="J4" s="77"/>
    </row>
    <row r="5" spans="1:19" ht="15" customHeight="1" x14ac:dyDescent="0.25">
      <c r="A5" s="77"/>
      <c r="B5" s="85"/>
      <c r="C5" s="339" t="s">
        <v>2</v>
      </c>
      <c r="D5" s="598" t="s">
        <v>816</v>
      </c>
      <c r="E5" s="344"/>
      <c r="F5" s="344"/>
      <c r="G5" s="329"/>
      <c r="H5" s="615" t="s">
        <v>105</v>
      </c>
      <c r="I5" s="83"/>
      <c r="J5" s="77"/>
    </row>
    <row r="6" spans="1:19" ht="15" customHeight="1" x14ac:dyDescent="0.25">
      <c r="A6" s="77"/>
      <c r="B6" s="85"/>
      <c r="C6" s="339" t="s">
        <v>149</v>
      </c>
      <c r="D6" s="599">
        <v>1E-3</v>
      </c>
      <c r="E6" s="596"/>
      <c r="F6" s="329"/>
      <c r="G6" s="344"/>
      <c r="H6" s="329"/>
      <c r="I6" s="83"/>
      <c r="J6" s="77"/>
    </row>
    <row r="7" spans="1:19" ht="15" customHeight="1" x14ac:dyDescent="0.25">
      <c r="A7" s="77"/>
      <c r="B7" s="85"/>
      <c r="C7" s="329"/>
      <c r="D7" s="329"/>
      <c r="E7" s="329"/>
      <c r="F7" s="329"/>
      <c r="G7" s="344"/>
      <c r="H7" s="329"/>
      <c r="I7" s="83"/>
      <c r="J7" s="77"/>
    </row>
    <row r="8" spans="1:19" ht="69.95" customHeight="1" x14ac:dyDescent="0.25">
      <c r="A8" s="77"/>
      <c r="B8" s="85"/>
      <c r="C8" s="818" t="s">
        <v>952</v>
      </c>
      <c r="D8" s="818"/>
      <c r="E8" s="818"/>
      <c r="F8" s="818"/>
      <c r="G8" s="818"/>
      <c r="H8" s="818"/>
      <c r="I8" s="83"/>
      <c r="J8" s="77"/>
      <c r="M8" s="600"/>
    </row>
    <row r="9" spans="1:19" ht="15" customHeight="1" x14ac:dyDescent="0.25">
      <c r="A9" s="77"/>
      <c r="B9" s="85"/>
      <c r="C9" s="329"/>
      <c r="D9" s="329"/>
      <c r="E9" s="329"/>
      <c r="F9" s="329"/>
      <c r="G9" s="344"/>
      <c r="H9" s="329"/>
      <c r="I9" s="83"/>
      <c r="J9" s="131"/>
      <c r="K9" s="601"/>
      <c r="L9" s="601"/>
      <c r="M9" s="601"/>
      <c r="N9" s="601"/>
      <c r="O9" s="601"/>
      <c r="P9" s="601"/>
      <c r="Q9" s="601"/>
      <c r="R9" s="601"/>
      <c r="S9" s="601"/>
    </row>
    <row r="10" spans="1:19" ht="15" customHeight="1" x14ac:dyDescent="0.25">
      <c r="A10" s="77"/>
      <c r="B10" s="85"/>
      <c r="C10" s="602" t="s">
        <v>740</v>
      </c>
      <c r="D10" s="603"/>
      <c r="E10" s="65"/>
      <c r="F10" s="344"/>
      <c r="G10" s="329" t="s">
        <v>0</v>
      </c>
      <c r="H10" s="329"/>
      <c r="I10" s="83"/>
      <c r="J10" s="77"/>
      <c r="K10" s="601"/>
      <c r="L10" s="601"/>
      <c r="M10" s="601"/>
      <c r="N10" s="601"/>
      <c r="O10" s="601"/>
      <c r="P10" s="601"/>
      <c r="Q10" s="601"/>
      <c r="R10" s="601"/>
      <c r="S10" s="601"/>
    </row>
    <row r="11" spans="1:19" ht="4.3499999999999996" customHeight="1" x14ac:dyDescent="0.25">
      <c r="A11" s="77"/>
      <c r="B11" s="85"/>
      <c r="C11" s="602"/>
      <c r="D11" s="603"/>
      <c r="E11" s="329"/>
      <c r="F11" s="344"/>
      <c r="G11" s="604"/>
      <c r="H11" s="329"/>
      <c r="I11" s="83"/>
      <c r="J11" s="131"/>
      <c r="K11" s="601"/>
      <c r="L11" s="601"/>
      <c r="M11" s="601"/>
      <c r="N11" s="601"/>
      <c r="O11" s="601"/>
      <c r="P11" s="601"/>
      <c r="Q11" s="601"/>
      <c r="R11" s="601"/>
      <c r="S11" s="601"/>
    </row>
    <row r="12" spans="1:19" ht="15" customHeight="1" x14ac:dyDescent="0.25">
      <c r="A12" s="77"/>
      <c r="B12" s="85"/>
      <c r="C12" s="602" t="s">
        <v>18</v>
      </c>
      <c r="D12" s="603"/>
      <c r="E12" s="605">
        <v>4.1000000000000003E-3</v>
      </c>
      <c r="F12" s="344"/>
      <c r="G12" s="507" t="s">
        <v>7</v>
      </c>
      <c r="H12" s="329"/>
      <c r="I12" s="83"/>
      <c r="J12" s="77"/>
      <c r="K12" s="601"/>
      <c r="L12" s="601"/>
      <c r="M12" s="601"/>
      <c r="N12" s="601"/>
      <c r="O12" s="601"/>
      <c r="P12" s="601"/>
      <c r="Q12" s="601"/>
      <c r="R12" s="601"/>
      <c r="S12" s="601"/>
    </row>
    <row r="13" spans="1:19" ht="4.3499999999999996" customHeight="1" x14ac:dyDescent="0.25">
      <c r="A13" s="77"/>
      <c r="B13" s="85"/>
      <c r="C13" s="602"/>
      <c r="D13" s="603"/>
      <c r="E13" s="329"/>
      <c r="F13" s="344"/>
      <c r="G13" s="604"/>
      <c r="H13" s="329"/>
      <c r="I13" s="83"/>
      <c r="J13" s="131"/>
      <c r="K13" s="601"/>
      <c r="L13" s="601"/>
      <c r="M13" s="601"/>
      <c r="N13" s="601"/>
      <c r="O13" s="601"/>
      <c r="P13" s="601"/>
      <c r="Q13" s="601"/>
      <c r="R13" s="601"/>
      <c r="S13" s="601"/>
    </row>
    <row r="14" spans="1:19" ht="15" customHeight="1" x14ac:dyDescent="0.25">
      <c r="A14" s="77"/>
      <c r="B14" s="85"/>
      <c r="C14" s="602" t="s">
        <v>19</v>
      </c>
      <c r="D14" s="603"/>
      <c r="E14" s="554">
        <v>0.33</v>
      </c>
      <c r="F14" s="344"/>
      <c r="G14" s="507" t="s">
        <v>7</v>
      </c>
      <c r="H14" s="329"/>
      <c r="I14" s="83"/>
      <c r="J14" s="131"/>
      <c r="K14" s="601"/>
      <c r="L14" s="601"/>
      <c r="M14" s="601"/>
      <c r="N14" s="601"/>
      <c r="O14" s="601"/>
      <c r="P14" s="601"/>
      <c r="Q14" s="601"/>
      <c r="R14" s="601"/>
      <c r="S14" s="601"/>
    </row>
    <row r="15" spans="1:19" ht="4.3499999999999996" customHeight="1" x14ac:dyDescent="0.25">
      <c r="A15" s="77"/>
      <c r="B15" s="85"/>
      <c r="C15" s="602"/>
      <c r="D15" s="603"/>
      <c r="E15" s="329"/>
      <c r="F15" s="344"/>
      <c r="G15" s="604"/>
      <c r="H15" s="329"/>
      <c r="I15" s="83"/>
      <c r="J15" s="131"/>
      <c r="K15" s="601"/>
      <c r="L15" s="601"/>
      <c r="M15" s="601"/>
      <c r="N15" s="601"/>
      <c r="O15" s="601"/>
      <c r="P15" s="601"/>
      <c r="Q15" s="601"/>
      <c r="R15" s="601"/>
      <c r="S15" s="601"/>
    </row>
    <row r="16" spans="1:19" ht="15" customHeight="1" x14ac:dyDescent="0.25">
      <c r="A16" s="77"/>
      <c r="B16" s="85"/>
      <c r="C16" s="602" t="s">
        <v>741</v>
      </c>
      <c r="D16" s="603"/>
      <c r="E16" s="502">
        <v>1</v>
      </c>
      <c r="F16" s="344"/>
      <c r="G16" s="329" t="str">
        <f>CONCATENATE("constant, source (1)",IF(NOT(ISBLANK(E18)),", overridden",""))</f>
        <v>constant, source (1)</v>
      </c>
      <c r="H16" s="329"/>
      <c r="I16" s="83"/>
      <c r="J16" s="131"/>
      <c r="K16" s="601"/>
      <c r="L16" s="601"/>
      <c r="M16" s="601"/>
      <c r="N16" s="601"/>
      <c r="O16" s="601"/>
      <c r="P16" s="601"/>
      <c r="Q16" s="601"/>
      <c r="R16" s="601"/>
      <c r="S16" s="601"/>
    </row>
    <row r="17" spans="1:19" ht="4.3499999999999996" customHeight="1" x14ac:dyDescent="0.25">
      <c r="A17" s="77"/>
      <c r="B17" s="85"/>
      <c r="C17" s="602"/>
      <c r="D17" s="603"/>
      <c r="E17" s="606"/>
      <c r="F17" s="344"/>
      <c r="G17" s="604"/>
      <c r="H17" s="329"/>
      <c r="I17" s="83"/>
      <c r="J17" s="131"/>
      <c r="K17" s="601"/>
      <c r="L17" s="601"/>
      <c r="M17" s="601"/>
      <c r="N17" s="601"/>
      <c r="O17" s="601"/>
      <c r="P17" s="601"/>
      <c r="Q17" s="601"/>
      <c r="R17" s="601"/>
      <c r="S17" s="601"/>
    </row>
    <row r="18" spans="1:19" ht="15" customHeight="1" x14ac:dyDescent="0.25">
      <c r="A18" s="77"/>
      <c r="B18" s="85"/>
      <c r="C18" s="602" t="s">
        <v>154</v>
      </c>
      <c r="D18" s="329"/>
      <c r="E18" s="68"/>
      <c r="F18" s="344"/>
      <c r="G18" s="607" t="s">
        <v>11</v>
      </c>
      <c r="H18" s="329"/>
      <c r="I18" s="83"/>
      <c r="J18" s="77"/>
    </row>
    <row r="19" spans="1:19" ht="4.3499999999999996" customHeight="1" x14ac:dyDescent="0.25">
      <c r="A19" s="77"/>
      <c r="B19" s="85"/>
      <c r="C19" s="602"/>
      <c r="D19" s="329"/>
      <c r="E19" s="329"/>
      <c r="F19" s="344"/>
      <c r="G19" s="329"/>
      <c r="H19" s="329"/>
      <c r="I19" s="83"/>
      <c r="J19" s="77"/>
    </row>
    <row r="20" spans="1:19" x14ac:dyDescent="0.25">
      <c r="A20" s="77"/>
      <c r="B20" s="85"/>
      <c r="C20" s="602" t="s">
        <v>155</v>
      </c>
      <c r="D20" s="329"/>
      <c r="E20" s="529">
        <f>IF(ISBLANK(E18),E16,E18)</f>
        <v>1</v>
      </c>
      <c r="F20" s="344"/>
      <c r="G20" s="339" t="s">
        <v>10</v>
      </c>
      <c r="H20" s="329"/>
      <c r="I20" s="83"/>
      <c r="J20" s="77"/>
    </row>
    <row r="21" spans="1:19" ht="4.3499999999999996" customHeight="1" x14ac:dyDescent="0.25">
      <c r="A21" s="77"/>
      <c r="B21" s="85"/>
      <c r="C21" s="602"/>
      <c r="D21" s="329"/>
      <c r="E21" s="344"/>
      <c r="F21" s="344"/>
      <c r="G21" s="339"/>
      <c r="H21" s="329"/>
      <c r="I21" s="83"/>
      <c r="J21" s="77"/>
    </row>
    <row r="22" spans="1:19" ht="15" customHeight="1" x14ac:dyDescent="0.25">
      <c r="A22" s="77"/>
      <c r="B22" s="85"/>
      <c r="C22" s="104" t="s">
        <v>714</v>
      </c>
      <c r="D22" s="603"/>
      <c r="E22" s="502" t="e">
        <f>IF(J22="Use Capcoa 2021",VL_REF!$U$3,INDEX(VL_TAZ!$O$9:$AD$9,1,MATCH($C22,VL_TAZ!$O$10:$AD$10,0)))</f>
        <v>#N/A</v>
      </c>
      <c r="F22" s="344"/>
      <c r="G22" s="98" t="str">
        <f>CONCATENATE("Alameda CTC model",IF(NOT(ISBLANK(E24)),", overridden",""))</f>
        <v>Alameda CTC model</v>
      </c>
      <c r="H22" s="329"/>
      <c r="I22" s="83"/>
      <c r="J22" s="239" t="s">
        <v>683</v>
      </c>
      <c r="K22" s="601"/>
      <c r="L22" s="601"/>
      <c r="M22" s="601"/>
      <c r="N22" s="601"/>
      <c r="O22" s="601"/>
      <c r="P22" s="601"/>
      <c r="Q22" s="601"/>
      <c r="R22" s="601"/>
      <c r="S22" s="601"/>
    </row>
    <row r="23" spans="1:19" ht="4.3499999999999996" customHeight="1" x14ac:dyDescent="0.25">
      <c r="A23" s="77"/>
      <c r="B23" s="85"/>
      <c r="C23" s="104"/>
      <c r="D23" s="603"/>
      <c r="E23" s="608"/>
      <c r="F23" s="344"/>
      <c r="G23" s="339"/>
      <c r="H23" s="329"/>
      <c r="I23" s="83"/>
      <c r="J23" s="241"/>
      <c r="K23" s="601"/>
      <c r="L23" s="601"/>
      <c r="M23" s="601"/>
      <c r="N23" s="601"/>
      <c r="O23" s="601"/>
      <c r="P23" s="601"/>
      <c r="Q23" s="601"/>
      <c r="R23" s="601"/>
      <c r="S23" s="601"/>
    </row>
    <row r="24" spans="1:19" ht="15" customHeight="1" x14ac:dyDescent="0.25">
      <c r="A24" s="77"/>
      <c r="B24" s="85"/>
      <c r="C24" s="104" t="s">
        <v>715</v>
      </c>
      <c r="D24" s="329"/>
      <c r="E24" s="68"/>
      <c r="F24" s="344"/>
      <c r="G24" s="607" t="s">
        <v>11</v>
      </c>
      <c r="H24" s="329"/>
      <c r="I24" s="83"/>
      <c r="J24" s="239"/>
    </row>
    <row r="25" spans="1:19" ht="4.3499999999999996" customHeight="1" x14ac:dyDescent="0.25">
      <c r="A25" s="77"/>
      <c r="B25" s="85"/>
      <c r="C25" s="104"/>
      <c r="D25" s="329"/>
      <c r="E25" s="329"/>
      <c r="F25" s="344"/>
      <c r="G25" s="329"/>
      <c r="H25" s="329"/>
      <c r="I25" s="83"/>
      <c r="J25" s="239"/>
    </row>
    <row r="26" spans="1:19" x14ac:dyDescent="0.25">
      <c r="A26" s="77"/>
      <c r="B26" s="85"/>
      <c r="C26" s="104" t="s">
        <v>717</v>
      </c>
      <c r="D26" s="329"/>
      <c r="E26" s="529" t="e">
        <f>IF(ISBLANK(E24),E22,E24)</f>
        <v>#N/A</v>
      </c>
      <c r="F26" s="344"/>
      <c r="G26" s="339" t="s">
        <v>10</v>
      </c>
      <c r="H26" s="329"/>
      <c r="I26" s="83"/>
      <c r="J26" s="239"/>
    </row>
    <row r="27" spans="1:19" ht="4.3499999999999996" customHeight="1" x14ac:dyDescent="0.25">
      <c r="A27" s="77"/>
      <c r="B27" s="85"/>
      <c r="C27" s="602"/>
      <c r="D27" s="329"/>
      <c r="E27" s="344"/>
      <c r="F27" s="344"/>
      <c r="G27" s="339"/>
      <c r="H27" s="329"/>
      <c r="I27" s="83"/>
      <c r="J27" s="239"/>
    </row>
    <row r="28" spans="1:19" ht="15" customHeight="1" x14ac:dyDescent="0.25">
      <c r="A28" s="77"/>
      <c r="B28" s="85"/>
      <c r="C28" s="104" t="s">
        <v>705</v>
      </c>
      <c r="D28" s="603"/>
      <c r="E28" s="266" t="e">
        <f>IF(J28="Use Capcoa 2021",VL_REF!$H$3,INDEX(VL_TAZ!$O$9:$AD$9,1,MATCH($C28,VL_TAZ!$O$10:$AD$10,0)))</f>
        <v>#N/A</v>
      </c>
      <c r="F28" s="344"/>
      <c r="G28" s="98" t="str">
        <f>CONCATENATE("Alameda CTC model",IF(NOT(ISBLANK(E30)),", overridden",""))</f>
        <v>Alameda CTC model</v>
      </c>
      <c r="H28" s="329"/>
      <c r="I28" s="83"/>
      <c r="J28" s="239" t="s">
        <v>683</v>
      </c>
      <c r="K28" s="601"/>
      <c r="L28" s="601"/>
      <c r="M28" s="601"/>
      <c r="N28" s="601"/>
      <c r="O28" s="601"/>
      <c r="P28" s="601"/>
      <c r="Q28" s="601"/>
      <c r="R28" s="601"/>
      <c r="S28" s="601"/>
    </row>
    <row r="29" spans="1:19" ht="4.3499999999999996" customHeight="1" x14ac:dyDescent="0.25">
      <c r="A29" s="77"/>
      <c r="B29" s="85"/>
      <c r="C29" s="104"/>
      <c r="D29" s="603"/>
      <c r="E29" s="329"/>
      <c r="F29" s="344"/>
      <c r="G29" s="604"/>
      <c r="H29" s="329"/>
      <c r="I29" s="83"/>
      <c r="J29" s="131"/>
      <c r="K29" s="601"/>
      <c r="L29" s="601"/>
      <c r="M29" s="601"/>
      <c r="N29" s="601"/>
      <c r="O29" s="601"/>
      <c r="P29" s="601"/>
      <c r="Q29" s="601"/>
      <c r="R29" s="601"/>
      <c r="S29" s="601"/>
    </row>
    <row r="30" spans="1:19" ht="15" customHeight="1" x14ac:dyDescent="0.25">
      <c r="A30" s="77"/>
      <c r="B30" s="85"/>
      <c r="C30" s="104" t="s">
        <v>706</v>
      </c>
      <c r="D30" s="603"/>
      <c r="E30" s="76"/>
      <c r="F30" s="344"/>
      <c r="G30" s="607" t="s">
        <v>11</v>
      </c>
      <c r="H30" s="329"/>
      <c r="I30" s="83"/>
      <c r="J30" s="131"/>
      <c r="K30" s="601"/>
      <c r="L30" s="609"/>
      <c r="M30" s="601"/>
      <c r="N30" s="601"/>
      <c r="O30" s="601"/>
      <c r="P30" s="601"/>
      <c r="Q30" s="601"/>
      <c r="R30" s="601"/>
      <c r="S30" s="601"/>
    </row>
    <row r="31" spans="1:19" ht="4.3499999999999996" customHeight="1" x14ac:dyDescent="0.25">
      <c r="A31" s="77"/>
      <c r="B31" s="85"/>
      <c r="C31" s="264"/>
      <c r="D31" s="603"/>
      <c r="E31" s="128"/>
      <c r="F31" s="344"/>
      <c r="G31" s="507"/>
      <c r="H31" s="329"/>
      <c r="I31" s="83"/>
      <c r="J31" s="131"/>
      <c r="K31" s="601"/>
      <c r="L31" s="601"/>
      <c r="M31" s="601"/>
      <c r="N31" s="601"/>
      <c r="O31" s="601"/>
      <c r="P31" s="601"/>
      <c r="Q31" s="601"/>
      <c r="R31" s="601"/>
      <c r="S31" s="601"/>
    </row>
    <row r="32" spans="1:19" ht="14.45" customHeight="1" x14ac:dyDescent="0.25">
      <c r="A32" s="77"/>
      <c r="B32" s="85"/>
      <c r="C32" s="104" t="s">
        <v>707</v>
      </c>
      <c r="D32" s="603"/>
      <c r="E32" s="610" t="str">
        <f>IFERROR(IF(ISBLANK(E30),E28,IF(E30&lt;50%,E28,IF(E30&gt;=50%,E30,E28))),"")</f>
        <v/>
      </c>
      <c r="F32" s="344"/>
      <c r="G32" s="507" t="s">
        <v>10</v>
      </c>
      <c r="H32" s="329"/>
      <c r="I32" s="83"/>
      <c r="J32" s="131"/>
      <c r="K32" s="601"/>
      <c r="L32" s="601"/>
      <c r="M32" s="601"/>
      <c r="N32" s="601"/>
      <c r="O32" s="601"/>
      <c r="P32" s="601"/>
      <c r="Q32" s="601"/>
      <c r="R32" s="601"/>
      <c r="S32" s="601"/>
    </row>
    <row r="33" spans="1:19" ht="4.3499999999999996" customHeight="1" x14ac:dyDescent="0.25">
      <c r="A33" s="77"/>
      <c r="B33" s="85"/>
      <c r="C33" s="602"/>
      <c r="D33" s="603"/>
      <c r="E33" s="329"/>
      <c r="F33" s="344"/>
      <c r="G33" s="604"/>
      <c r="H33" s="329"/>
      <c r="I33" s="83"/>
      <c r="J33" s="131"/>
      <c r="K33" s="601"/>
      <c r="L33" s="601"/>
      <c r="M33" s="601"/>
      <c r="N33" s="601"/>
      <c r="O33" s="601"/>
      <c r="P33" s="601"/>
      <c r="Q33" s="601"/>
      <c r="R33" s="601"/>
      <c r="S33" s="601"/>
    </row>
    <row r="34" spans="1:19" ht="15" customHeight="1" x14ac:dyDescent="0.25">
      <c r="A34" s="77"/>
      <c r="B34" s="85"/>
      <c r="C34" s="602" t="s">
        <v>5</v>
      </c>
      <c r="D34" s="603"/>
      <c r="E34" s="611" t="str">
        <f>IF(ISBLANK(E10),"",IFERROR(MAX(-D6,-(E10*E12*E14*E20)/(E26*E32)),""))</f>
        <v/>
      </c>
      <c r="F34" s="612"/>
      <c r="G34" s="69" t="b">
        <v>0</v>
      </c>
      <c r="H34" s="207" t="str">
        <f>IF(OR(G34=TRUE,E34=""),"Not Active","Active")</f>
        <v>Not Active</v>
      </c>
      <c r="I34" s="83"/>
      <c r="J34" s="131"/>
      <c r="K34" s="601"/>
      <c r="L34" s="601"/>
      <c r="M34" s="601"/>
      <c r="N34" s="601"/>
      <c r="O34" s="601"/>
      <c r="P34" s="601"/>
      <c r="Q34" s="601"/>
      <c r="R34" s="601"/>
      <c r="S34" s="601"/>
    </row>
    <row r="35" spans="1:19" ht="15" customHeight="1" x14ac:dyDescent="0.25">
      <c r="A35" s="77"/>
      <c r="B35" s="85"/>
      <c r="C35" s="329"/>
      <c r="D35" s="329"/>
      <c r="E35" s="329"/>
      <c r="F35" s="329"/>
      <c r="G35" s="344"/>
      <c r="H35" s="329"/>
      <c r="I35" s="83"/>
      <c r="J35" s="131"/>
      <c r="K35" s="601"/>
      <c r="L35" s="601"/>
      <c r="M35" s="601"/>
      <c r="N35" s="601"/>
      <c r="O35" s="601"/>
      <c r="P35" s="601"/>
      <c r="Q35" s="601"/>
      <c r="R35" s="601"/>
      <c r="S35" s="601"/>
    </row>
    <row r="36" spans="1:19" ht="51.95" customHeight="1" x14ac:dyDescent="0.25">
      <c r="A36" s="77"/>
      <c r="B36" s="85"/>
      <c r="C36" s="803" t="str">
        <f>"Formula:  % Change in VMT =  " &amp; SUBSTITUTE("-( " &amp; C10 &amp; " * " &amp; C12 &amp; " * " &amp; C14 &amp; " * " &amp; C20 &amp; " )/( " &amp; C26 &amp; " * " &amp; C32 &amp; " )"," used for calculation","")</f>
        <v>Formula:  % Change in VMT =  -( % of neighborhood/city covered by new microtransit service * Microtransit share of all person trips * Auto trip substitution rate * Microtransit trip length (miles) )/( One-way vehicle trip length in neighborhood/city (miles) * Vehicle mode share )</v>
      </c>
      <c r="D36" s="804"/>
      <c r="E36" s="804"/>
      <c r="F36" s="804"/>
      <c r="G36" s="804"/>
      <c r="H36" s="805"/>
      <c r="I36" s="83"/>
      <c r="J36" s="131"/>
      <c r="K36" s="601"/>
      <c r="L36" s="601"/>
      <c r="M36" s="601"/>
      <c r="N36" s="601"/>
      <c r="O36" s="601"/>
      <c r="P36" s="601"/>
      <c r="Q36" s="601"/>
      <c r="R36" s="601"/>
      <c r="S36" s="601"/>
    </row>
    <row r="37" spans="1:19" ht="15" customHeight="1" x14ac:dyDescent="0.25">
      <c r="A37" s="77"/>
      <c r="B37" s="85"/>
      <c r="C37" s="613"/>
      <c r="D37" s="226" t="s">
        <v>148</v>
      </c>
      <c r="E37" s="226"/>
      <c r="F37" s="226"/>
      <c r="G37" s="226"/>
      <c r="H37" s="472"/>
      <c r="I37" s="83"/>
      <c r="J37" s="131"/>
      <c r="K37" s="601"/>
      <c r="L37" s="601"/>
      <c r="M37" s="601"/>
      <c r="N37" s="601"/>
      <c r="O37" s="601"/>
      <c r="P37" s="601"/>
      <c r="Q37" s="601"/>
      <c r="R37" s="601"/>
      <c r="S37" s="601"/>
    </row>
    <row r="38" spans="1:19" ht="15" customHeight="1" x14ac:dyDescent="0.25">
      <c r="A38" s="77"/>
      <c r="B38" s="85"/>
      <c r="C38" s="344"/>
      <c r="D38" s="518"/>
      <c r="E38" s="518"/>
      <c r="F38" s="518"/>
      <c r="G38" s="518"/>
      <c r="H38" s="518"/>
      <c r="I38" s="83"/>
      <c r="J38" s="131"/>
      <c r="K38" s="601"/>
      <c r="L38" s="601"/>
      <c r="M38" s="601"/>
      <c r="N38" s="601"/>
      <c r="O38" s="601"/>
      <c r="P38" s="601"/>
      <c r="Q38" s="601"/>
      <c r="R38" s="601"/>
      <c r="S38" s="601"/>
    </row>
    <row r="39" spans="1:19" ht="15" customHeight="1" x14ac:dyDescent="0.25">
      <c r="A39" s="77"/>
      <c r="B39" s="85"/>
      <c r="C39" s="329" t="s">
        <v>6</v>
      </c>
      <c r="D39" s="329"/>
      <c r="E39" s="329"/>
      <c r="F39" s="329"/>
      <c r="G39" s="344"/>
      <c r="H39" s="329"/>
      <c r="I39" s="83"/>
      <c r="J39" s="131"/>
      <c r="K39" s="601"/>
      <c r="L39" s="601"/>
      <c r="M39" s="601"/>
      <c r="N39" s="601"/>
      <c r="O39" s="601"/>
      <c r="P39" s="601"/>
      <c r="Q39" s="601"/>
      <c r="R39" s="601"/>
      <c r="S39" s="601"/>
    </row>
    <row r="40" spans="1:19" ht="60" customHeight="1" x14ac:dyDescent="0.25">
      <c r="A40" s="77"/>
      <c r="B40" s="85"/>
      <c r="C40" s="666" t="s">
        <v>922</v>
      </c>
      <c r="D40" s="666"/>
      <c r="E40" s="666"/>
      <c r="F40" s="666"/>
      <c r="G40" s="666"/>
      <c r="H40" s="666"/>
      <c r="I40" s="812"/>
      <c r="J40" s="131"/>
      <c r="K40" s="601"/>
      <c r="L40" s="601"/>
      <c r="M40" s="601"/>
      <c r="N40" s="601"/>
      <c r="O40" s="601"/>
      <c r="P40" s="601"/>
      <c r="Q40" s="601"/>
      <c r="R40" s="601"/>
      <c r="S40" s="601"/>
    </row>
    <row r="41" spans="1:19" ht="15" customHeight="1" x14ac:dyDescent="0.25">
      <c r="A41" s="77"/>
      <c r="B41" s="101"/>
      <c r="C41" s="226"/>
      <c r="D41" s="226"/>
      <c r="E41" s="226"/>
      <c r="F41" s="226"/>
      <c r="G41" s="471"/>
      <c r="H41" s="226"/>
      <c r="I41" s="472"/>
      <c r="J41" s="77"/>
    </row>
    <row r="42" spans="1:19" ht="22.35" customHeight="1" x14ac:dyDescent="0.25">
      <c r="A42" s="77"/>
      <c r="B42" s="78"/>
      <c r="C42" s="78"/>
      <c r="D42" s="78"/>
      <c r="F42" s="77"/>
      <c r="G42" s="103"/>
      <c r="H42" s="77"/>
      <c r="I42" s="77"/>
      <c r="J42" s="77"/>
    </row>
  </sheetData>
  <sheetProtection algorithmName="SHA-512" hashValue="++iK/YAI+tt0kPD1lOwJBI/V8aHfXWReOHL/ooL5jiTx3mJtF1bfOxkk2pKiywV6jhFVEyIGkHMBC5mg22gKIA==" saltValue="6DsKMUbMRkwtYupyxOL/xg==" spinCount="100000" sheet="1" objects="1" scenarios="1" selectLockedCells="1"/>
  <mergeCells count="4">
    <mergeCell ref="B2:I2"/>
    <mergeCell ref="C8:H8"/>
    <mergeCell ref="C36:H36"/>
    <mergeCell ref="C40:I40"/>
  </mergeCells>
  <conditionalFormatting sqref="E34">
    <cfRule type="expression" dxfId="1" priority="18">
      <formula>-ROUND($D$6,3)=ROUND($E$34,3)</formula>
    </cfRule>
    <cfRule type="expression" dxfId="0" priority="20">
      <formula>AND(E34&lt;&gt;"",E34&gt;0)</formula>
    </cfRule>
  </conditionalFormatting>
  <dataValidations count="5">
    <dataValidation type="decimal" operator="greaterThan" allowBlank="1" errorTitle="User input error" error="Value must be greater than zero._x000a_" promptTitle="Restriction" prompt="Value must not exceed 20% (1)." sqref="E14 E12 E16" xr:uid="{00000000-0002-0000-1900-000000000000}">
      <formula1>0</formula1>
    </dataValidation>
    <dataValidation type="decimal" allowBlank="1" showErrorMessage="1" errorTitle="Restriction" error="Value must be between 0% and 100%_x000a_" promptTitle="Restriction" prompt="Value must be between 0% and 100%_x000a_" sqref="E10" xr:uid="{00000000-0002-0000-1900-000001000000}">
      <formula1>0</formula1>
      <formula2>1</formula2>
    </dataValidation>
    <dataValidation type="decimal" allowBlank="1" showErrorMessage="1" errorTitle="Restriction" error="Value must be between 0% and 100%_x000a_" promptTitle="Restriction" prompt="If value falls below minimum of 50%, default value will be used below." sqref="E30" xr:uid="{00000000-0002-0000-1900-000002000000}">
      <formula1>0</formula1>
      <formula2>1</formula2>
    </dataValidation>
    <dataValidation type="decimal" operator="greaterThanOrEqual" allowBlank="1" showErrorMessage="1" errorTitle="Restriction" error="Value must not be negative_x000a_" promptTitle="Restriction" prompt="If value exceeds maximum of 25%, default value will be used below." sqref="E24 E18" xr:uid="{00000000-0002-0000-1900-000003000000}">
      <formula1>0</formula1>
    </dataValidation>
    <dataValidation operator="greaterThan" allowBlank="1" errorTitle="User input error" error="Value must be greater than zero._x000a_" promptTitle="Restriction" prompt="Value must not exceed 20% (1)." sqref="E23" xr:uid="{00000000-0002-0000-1900-000004000000}"/>
  </dataValidations>
  <hyperlinks>
    <hyperlink ref="H5" location="Results!A1" display="Results Summary" xr:uid="{00000000-0004-0000-1900-000000000000}"/>
    <hyperlink ref="H4" location="Main!L65" display="Return to Main É" xr:uid="{00000000-0004-0000-19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8" r:id="rId4" name="Check Box 8">
              <controlPr defaultSize="0" autoFill="0" autoLine="0" autoPict="0" altText="Exclude From Results Summary">
                <anchor moveWithCells="1">
                  <from>
                    <xdr:col>6</xdr:col>
                    <xdr:colOff>0</xdr:colOff>
                    <xdr:row>32</xdr:row>
                    <xdr:rowOff>38100</xdr:rowOff>
                  </from>
                  <to>
                    <xdr:col>7</xdr:col>
                    <xdr:colOff>28575</xdr:colOff>
                    <xdr:row>34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F208-2928-44A7-914E-EC0228A75C4B}">
  <sheetPr codeName="Sheet4">
    <tabColor theme="1"/>
  </sheetPr>
  <dimension ref="A1:R11"/>
  <sheetViews>
    <sheetView showGridLines="0" showRowColHeaders="0" zoomScaleNormal="100" workbookViewId="0">
      <selection activeCell="B4" sqref="B4"/>
    </sheetView>
  </sheetViews>
  <sheetFormatPr defaultColWidth="0" defaultRowHeight="15" zeroHeight="1" x14ac:dyDescent="0.25"/>
  <cols>
    <col min="1" max="1" width="2.7109375" style="92" customWidth="1"/>
    <col min="2" max="2" width="168.42578125" style="92" customWidth="1"/>
    <col min="3" max="3" width="2.7109375" style="92" customWidth="1"/>
    <col min="4" max="11" width="9.140625" style="92" hidden="1" customWidth="1"/>
    <col min="12" max="18" width="0" style="92" hidden="1" customWidth="1"/>
    <col min="19" max="16384" width="9.140625" style="92" hidden="1"/>
  </cols>
  <sheetData>
    <row r="1" spans="1:3" x14ac:dyDescent="0.25">
      <c r="A1" s="78"/>
      <c r="B1" s="78"/>
      <c r="C1" s="78"/>
    </row>
    <row r="2" spans="1:3" ht="33.75" x14ac:dyDescent="0.25">
      <c r="A2" s="78"/>
      <c r="B2" s="438" t="s">
        <v>140</v>
      </c>
      <c r="C2" s="238"/>
    </row>
    <row r="3" spans="1:3" x14ac:dyDescent="0.25">
      <c r="A3" s="78"/>
      <c r="B3" s="78"/>
      <c r="C3" s="238"/>
    </row>
    <row r="4" spans="1:3" x14ac:dyDescent="0.25">
      <c r="A4" s="78"/>
      <c r="B4" s="616" t="s">
        <v>105</v>
      </c>
      <c r="C4" s="78"/>
    </row>
    <row r="5" spans="1:3" ht="5.0999999999999996" customHeight="1" x14ac:dyDescent="0.25">
      <c r="A5" s="78"/>
      <c r="B5" s="368"/>
      <c r="C5" s="78"/>
    </row>
    <row r="6" spans="1:3" ht="21" x14ac:dyDescent="0.25">
      <c r="A6" s="78"/>
      <c r="B6" s="439" t="s">
        <v>859</v>
      </c>
      <c r="C6" s="78"/>
    </row>
    <row r="7" spans="1:3" ht="180" x14ac:dyDescent="0.25">
      <c r="A7" s="78"/>
      <c r="B7" s="440" t="s">
        <v>912</v>
      </c>
      <c r="C7" s="78"/>
    </row>
    <row r="8" spans="1:3" x14ac:dyDescent="0.25">
      <c r="A8" s="78"/>
      <c r="B8" s="78"/>
      <c r="C8" s="78"/>
    </row>
    <row r="9" spans="1:3" ht="21" x14ac:dyDescent="0.25">
      <c r="A9" s="78"/>
      <c r="B9" s="439" t="s">
        <v>854</v>
      </c>
      <c r="C9" s="78"/>
    </row>
    <row r="10" spans="1:3" ht="357" customHeight="1" x14ac:dyDescent="0.25">
      <c r="A10" s="78"/>
      <c r="B10" s="440" t="str">
        <f>Conflict_Calc!$BO$9</f>
        <v/>
      </c>
      <c r="C10" s="78"/>
    </row>
    <row r="11" spans="1:3" x14ac:dyDescent="0.25">
      <c r="A11" s="78"/>
      <c r="B11" s="78"/>
      <c r="C11" s="78"/>
    </row>
  </sheetData>
  <sheetProtection algorithmName="SHA-512" hashValue="043pJfwGVgkh/UysY1qtN0sAF1i3fzhkmezIu4F/cKAG1g73vLOXiEXUmvd8tfe0RfzSWcD3NM+Z3MFGdx2L3A==" saltValue="PAPAGJK02hPlvNmk+mOvzg==" spinCount="100000" sheet="1" objects="1" scenarios="1" selectLockedCells="1"/>
  <hyperlinks>
    <hyperlink ref="B4" location="Results!A1" display="Results Summary" xr:uid="{8B0F6187-2DFE-4414-B438-23151D88A19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28491-CA9B-4398-A2BA-9E94B68D291E}">
  <sheetPr codeName="Sheet37"/>
  <dimension ref="A1:BH41"/>
  <sheetViews>
    <sheetView topLeftCell="A10" workbookViewId="0">
      <pane ySplit="1" topLeftCell="A17" activePane="bottomLeft" state="frozen"/>
      <selection activeCell="E10" sqref="E10"/>
      <selection pane="bottomLeft" activeCell="AF18" sqref="AF18:AF19"/>
    </sheetView>
  </sheetViews>
  <sheetFormatPr defaultColWidth="9.140625" defaultRowHeight="15" outlineLevelRow="1" outlineLevelCol="2" x14ac:dyDescent="0.25"/>
  <cols>
    <col min="1" max="1" width="9" style="245" customWidth="1"/>
    <col min="2" max="2" width="8.5703125" style="245" customWidth="1"/>
    <col min="3" max="4" width="8.5703125" style="245" hidden="1" customWidth="1" outlineLevel="1"/>
    <col min="5" max="5" width="32" style="245" customWidth="1" collapsed="1"/>
    <col min="6" max="6" width="35.5703125" style="244" hidden="1" customWidth="1" outlineLevel="2"/>
    <col min="7" max="7" width="32.42578125" style="244" hidden="1" customWidth="1" outlineLevel="2"/>
    <col min="8" max="8" width="38" style="244" hidden="1" customWidth="1" outlineLevel="2"/>
    <col min="9" max="10" width="11.42578125" style="245" hidden="1" customWidth="1" outlineLevel="2"/>
    <col min="11" max="11" width="12.140625" style="245" hidden="1" customWidth="1" outlineLevel="2"/>
    <col min="12" max="12" width="14" style="245" hidden="1" customWidth="1" outlineLevel="2"/>
    <col min="13" max="13" width="15" style="244" hidden="1" customWidth="1" outlineLevel="2"/>
    <col min="14" max="17" width="14.42578125" style="244" hidden="1" customWidth="1" outlineLevel="2"/>
    <col min="18" max="18" width="9.140625" style="245" hidden="1" customWidth="1" outlineLevel="2"/>
    <col min="19" max="19" width="12.5703125" style="245" hidden="1" customWidth="1" outlineLevel="1"/>
    <col min="20" max="20" width="9.140625" style="245" hidden="1" customWidth="1" outlineLevel="2"/>
    <col min="21" max="21" width="12.5703125" style="245" hidden="1" customWidth="1" outlineLevel="1"/>
    <col min="22" max="22" width="9.140625" style="245" hidden="1" customWidth="1" outlineLevel="2"/>
    <col min="23" max="23" width="12.5703125" style="245" hidden="1" customWidth="1" outlineLevel="1"/>
    <col min="24" max="24" width="12.42578125" style="245" hidden="1" customWidth="1" outlineLevel="1"/>
    <col min="25" max="25" width="12.85546875" style="245" hidden="1" customWidth="1" outlineLevel="1"/>
    <col min="26" max="26" width="12.5703125" style="245" hidden="1" customWidth="1" outlineLevel="1"/>
    <col min="27" max="27" width="8.140625" style="245" hidden="1" customWidth="1" outlineLevel="1"/>
    <col min="28" max="28" width="28.42578125" style="245" customWidth="1" collapsed="1"/>
    <col min="29" max="29" width="13" style="136" customWidth="1"/>
    <col min="30" max="30" width="25.85546875" style="136" customWidth="1"/>
    <col min="31" max="31" width="9.85546875" style="245" customWidth="1"/>
    <col min="32" max="32" width="12.42578125" style="137" customWidth="1"/>
    <col min="33" max="33" width="103.140625" style="245" customWidth="1"/>
    <col min="34" max="34" width="13.5703125" style="245" customWidth="1"/>
    <col min="35" max="42" width="18.5703125" style="137" customWidth="1"/>
    <col min="43" max="46" width="18.5703125" style="138" customWidth="1"/>
    <col min="47" max="51" width="18.5703125" style="139" customWidth="1"/>
    <col min="52" max="16384" width="9.140625" style="245"/>
  </cols>
  <sheetData>
    <row r="1" spans="1:60" hidden="1" outlineLevel="1" x14ac:dyDescent="0.25"/>
    <row r="2" spans="1:60" hidden="1" outlineLevel="1" x14ac:dyDescent="0.25"/>
    <row r="3" spans="1:60" hidden="1" outlineLevel="1" x14ac:dyDescent="0.25"/>
    <row r="4" spans="1:60" hidden="1" outlineLevel="1" x14ac:dyDescent="0.25"/>
    <row r="5" spans="1:60" hidden="1" outlineLevel="1" x14ac:dyDescent="0.25"/>
    <row r="6" spans="1:60" hidden="1" outlineLevel="1" x14ac:dyDescent="0.25"/>
    <row r="7" spans="1:60" hidden="1" outlineLevel="1" x14ac:dyDescent="0.25"/>
    <row r="8" spans="1:60" hidden="1" outlineLevel="1" x14ac:dyDescent="0.25">
      <c r="R8" s="245" t="s">
        <v>221</v>
      </c>
    </row>
    <row r="9" spans="1:60" hidden="1" outlineLevel="1" x14ac:dyDescent="0.25">
      <c r="R9" s="140" t="s">
        <v>222</v>
      </c>
      <c r="S9" s="140" t="s">
        <v>222</v>
      </c>
      <c r="T9" s="140" t="s">
        <v>223</v>
      </c>
      <c r="U9" s="140" t="s">
        <v>223</v>
      </c>
      <c r="V9" s="140" t="s">
        <v>224</v>
      </c>
      <c r="W9" s="140" t="s">
        <v>224</v>
      </c>
      <c r="X9" s="140"/>
      <c r="Y9" s="140"/>
      <c r="Z9" s="140"/>
    </row>
    <row r="10" spans="1:60" s="143" customFormat="1" ht="60" collapsed="1" x14ac:dyDescent="0.25">
      <c r="A10" s="141" t="s">
        <v>225</v>
      </c>
      <c r="B10" s="141" t="s">
        <v>226</v>
      </c>
      <c r="C10" s="141" t="s">
        <v>227</v>
      </c>
      <c r="D10" s="141" t="s">
        <v>228</v>
      </c>
      <c r="E10" s="141" t="s">
        <v>229</v>
      </c>
      <c r="F10" s="141" t="s">
        <v>230</v>
      </c>
      <c r="G10" s="141" t="s">
        <v>231</v>
      </c>
      <c r="H10" s="141" t="s">
        <v>232</v>
      </c>
      <c r="I10" s="141" t="s">
        <v>233</v>
      </c>
      <c r="J10" s="141" t="s">
        <v>234</v>
      </c>
      <c r="K10" s="141" t="s">
        <v>235</v>
      </c>
      <c r="L10" s="141" t="s">
        <v>236</v>
      </c>
      <c r="M10" s="141" t="s">
        <v>237</v>
      </c>
      <c r="N10" s="141" t="s">
        <v>238</v>
      </c>
      <c r="O10" s="141" t="s">
        <v>239</v>
      </c>
      <c r="P10" s="141" t="s">
        <v>240</v>
      </c>
      <c r="Q10" s="141" t="s">
        <v>241</v>
      </c>
      <c r="R10" s="141" t="s">
        <v>243</v>
      </c>
      <c r="S10" s="141" t="s">
        <v>242</v>
      </c>
      <c r="T10" s="141" t="s">
        <v>243</v>
      </c>
      <c r="U10" s="141" t="s">
        <v>244</v>
      </c>
      <c r="V10" s="141" t="s">
        <v>243</v>
      </c>
      <c r="W10" s="141" t="s">
        <v>244</v>
      </c>
      <c r="X10" s="141" t="s">
        <v>245</v>
      </c>
      <c r="Y10" s="141" t="s">
        <v>246</v>
      </c>
      <c r="Z10" s="141" t="s">
        <v>247</v>
      </c>
      <c r="AA10" s="141" t="s">
        <v>248</v>
      </c>
      <c r="AB10" s="141" t="s">
        <v>249</v>
      </c>
      <c r="AC10" s="142" t="s">
        <v>250</v>
      </c>
      <c r="AD10" s="142" t="s">
        <v>251</v>
      </c>
      <c r="AE10" s="143" t="s">
        <v>252</v>
      </c>
      <c r="AF10" s="144" t="s">
        <v>253</v>
      </c>
      <c r="AG10" s="143" t="s">
        <v>254</v>
      </c>
      <c r="AH10" s="143" t="s">
        <v>255</v>
      </c>
      <c r="AI10" s="144" t="s">
        <v>256</v>
      </c>
      <c r="AJ10" s="144" t="s">
        <v>257</v>
      </c>
      <c r="AK10" s="144" t="s">
        <v>258</v>
      </c>
      <c r="AL10" s="144" t="s">
        <v>259</v>
      </c>
      <c r="AM10" s="144" t="s">
        <v>260</v>
      </c>
      <c r="AN10" s="144" t="s">
        <v>261</v>
      </c>
      <c r="AO10" s="144" t="s">
        <v>262</v>
      </c>
      <c r="AP10" s="144" t="s">
        <v>263</v>
      </c>
      <c r="AQ10" s="145" t="s">
        <v>264</v>
      </c>
      <c r="AR10" s="145" t="s">
        <v>265</v>
      </c>
      <c r="AS10" s="145" t="s">
        <v>266</v>
      </c>
      <c r="AT10" s="145" t="s">
        <v>267</v>
      </c>
      <c r="AU10" s="146" t="s">
        <v>268</v>
      </c>
      <c r="AV10" s="146" t="s">
        <v>269</v>
      </c>
      <c r="AW10" s="146" t="s">
        <v>270</v>
      </c>
      <c r="AX10" s="146" t="s">
        <v>271</v>
      </c>
      <c r="AY10" s="146" t="s">
        <v>272</v>
      </c>
      <c r="BA10" s="143" t="s">
        <v>537</v>
      </c>
      <c r="BB10" s="143" t="s">
        <v>536</v>
      </c>
      <c r="BC10" s="143" t="s">
        <v>538</v>
      </c>
      <c r="BD10" s="143" t="s">
        <v>541</v>
      </c>
      <c r="BE10" s="143" t="s">
        <v>547</v>
      </c>
      <c r="BF10" s="143" t="s">
        <v>551</v>
      </c>
      <c r="BG10" s="143" t="s">
        <v>552</v>
      </c>
      <c r="BH10" s="143" t="s">
        <v>555</v>
      </c>
    </row>
    <row r="11" spans="1:60" ht="60" customHeight="1" x14ac:dyDescent="0.25">
      <c r="A11" s="245" t="s">
        <v>273</v>
      </c>
      <c r="B11" s="198" t="s">
        <v>21</v>
      </c>
      <c r="C11" s="244" t="s">
        <v>523</v>
      </c>
      <c r="D11" s="244" t="s">
        <v>524</v>
      </c>
      <c r="E11" s="245" t="s">
        <v>117</v>
      </c>
      <c r="H11" s="244" t="s">
        <v>525</v>
      </c>
      <c r="I11" s="245" t="s">
        <v>52</v>
      </c>
      <c r="J11" s="140" t="s">
        <v>51</v>
      </c>
      <c r="K11" s="245" t="s">
        <v>51</v>
      </c>
      <c r="L11" s="147">
        <v>6.2E-2</v>
      </c>
      <c r="M11" s="244" t="s">
        <v>526</v>
      </c>
      <c r="N11" s="244" t="s">
        <v>527</v>
      </c>
      <c r="R11" s="149">
        <v>0</v>
      </c>
      <c r="S11" s="149">
        <v>6.2E-2</v>
      </c>
      <c r="T11" s="149">
        <v>0.01</v>
      </c>
      <c r="U11" s="149">
        <v>6.2E-2</v>
      </c>
      <c r="V11" s="149">
        <v>0</v>
      </c>
      <c r="W11" s="149">
        <v>0.04</v>
      </c>
      <c r="X11" s="149">
        <v>0.04</v>
      </c>
      <c r="Y11" s="149" t="s">
        <v>224</v>
      </c>
      <c r="Z11" s="150">
        <v>-2.1999999999999999E-2</v>
      </c>
      <c r="AB11" s="244" t="s">
        <v>528</v>
      </c>
      <c r="AC11" s="136" t="s">
        <v>39</v>
      </c>
      <c r="AD11" s="136" t="s">
        <v>3</v>
      </c>
      <c r="AE11" s="149">
        <v>0.04</v>
      </c>
      <c r="AF11" s="151" t="s">
        <v>951</v>
      </c>
      <c r="AG11" s="244" t="s">
        <v>861</v>
      </c>
      <c r="AI11" s="151" t="s">
        <v>330</v>
      </c>
      <c r="AJ11" s="151" t="s">
        <v>283</v>
      </c>
      <c r="AK11" s="151" t="s">
        <v>283</v>
      </c>
      <c r="AL11" s="151" t="s">
        <v>283</v>
      </c>
      <c r="AM11" s="151" t="s">
        <v>283</v>
      </c>
      <c r="AN11" s="151" t="s">
        <v>283</v>
      </c>
      <c r="AO11" s="151" t="s">
        <v>283</v>
      </c>
      <c r="AP11" s="151" t="s">
        <v>283</v>
      </c>
      <c r="AQ11" s="155" t="s">
        <v>283</v>
      </c>
      <c r="AR11" s="155" t="s">
        <v>283</v>
      </c>
      <c r="AS11" s="155" t="s">
        <v>283</v>
      </c>
      <c r="AT11" s="155" t="s">
        <v>283</v>
      </c>
      <c r="AU11" s="152" t="s">
        <v>529</v>
      </c>
      <c r="AV11" s="152" t="s">
        <v>283</v>
      </c>
      <c r="AW11" s="152" t="s">
        <v>283</v>
      </c>
      <c r="AX11" s="152" t="s">
        <v>283</v>
      </c>
      <c r="AY11" s="152" t="s">
        <v>283</v>
      </c>
      <c r="BA11" s="245" t="str">
        <f t="array" ref="BA11">_xlfn.CONCAT(IF(NOT(ISERROR(SEARCH(BA$10&amp;". ",$AI11:$AY11))),$AI11:$AY11,""))</f>
        <v>B. Percent of employees eligible for program</v>
      </c>
      <c r="BB11" s="245" t="str">
        <f t="array" ref="BB11">_xlfn.CONCAT(IF(NOT(ISERROR(SEARCH(BB$10&amp;". ",$AI11:$AY11))),$AI11:$AY11,""))</f>
        <v>C. Percent reduction in commute VMT from eligible employees</v>
      </c>
      <c r="BC11" s="245" t="str">
        <f t="array" ref="BC11">_xlfn.CONCAT(IF(NOT(ISERROR(SEARCH(BC$10&amp;". ",$AI11:$AY11))),$AI11:$AY11,""))</f>
        <v/>
      </c>
      <c r="BD11" s="245" t="str">
        <f t="array" ref="BD11">_xlfn.CONCAT(IF(NOT(ISERROR(SEARCH(BD$10&amp;". ",$AI11:$AY11))),$AI11:$AY11,""))</f>
        <v/>
      </c>
      <c r="BE11" s="245" t="str">
        <f t="array" ref="BE11">_xlfn.CONCAT(IF(NOT(ISERROR(SEARCH(BE$10&amp;". ",$AI11:$AY11))),$AI11:$AY11,""))</f>
        <v/>
      </c>
      <c r="BF11" s="245" t="str">
        <f t="array" ref="BF11">_xlfn.CONCAT(IF(NOT(ISERROR(SEARCH(BF$10&amp;". ",$AI11:$AY11))),$AI11:$AY11,""))</f>
        <v/>
      </c>
      <c r="BG11" s="245" t="str">
        <f t="array" ref="BG11">_xlfn.CONCAT(IF(NOT(ISERROR(SEARCH(BG$10&amp;". ",$AI11:$AY11))),$AI11:$AY11,""))</f>
        <v/>
      </c>
      <c r="BH11" s="245" t="str">
        <f t="array" ref="BH11">_xlfn.CONCAT(IF(NOT(ISERROR(SEARCH(BH$10&amp;". ",$AI11:$AY11))),$AI11:$AY11,""))</f>
        <v/>
      </c>
    </row>
    <row r="12" spans="1:60" ht="60" customHeight="1" x14ac:dyDescent="0.25">
      <c r="A12" s="245" t="s">
        <v>273</v>
      </c>
      <c r="B12" s="198" t="s">
        <v>22</v>
      </c>
      <c r="C12" s="244" t="s">
        <v>323</v>
      </c>
      <c r="D12" s="244" t="s">
        <v>324</v>
      </c>
      <c r="E12" s="245" t="s">
        <v>118</v>
      </c>
      <c r="F12" s="244" t="s">
        <v>325</v>
      </c>
      <c r="H12" s="244" t="s">
        <v>326</v>
      </c>
      <c r="I12" s="245" t="s">
        <v>51</v>
      </c>
      <c r="J12" s="245" t="s">
        <v>51</v>
      </c>
      <c r="K12" s="245" t="s">
        <v>51</v>
      </c>
      <c r="L12" s="154">
        <v>0.26</v>
      </c>
      <c r="M12" s="148" t="s">
        <v>327</v>
      </c>
      <c r="N12" s="148" t="s">
        <v>328</v>
      </c>
      <c r="O12" s="148"/>
      <c r="P12" s="148"/>
      <c r="Q12" s="148"/>
      <c r="R12" s="149">
        <v>0</v>
      </c>
      <c r="S12" s="149">
        <v>0.26</v>
      </c>
      <c r="T12" s="149">
        <v>4.2000000000000003E-2</v>
      </c>
      <c r="U12" s="149">
        <v>0.21</v>
      </c>
      <c r="V12" s="149">
        <v>0</v>
      </c>
      <c r="W12" s="149">
        <v>0.26</v>
      </c>
      <c r="X12" s="149">
        <v>0.26</v>
      </c>
      <c r="Y12" s="149" t="s">
        <v>224</v>
      </c>
      <c r="Z12" s="150">
        <v>0</v>
      </c>
      <c r="AB12" s="244" t="s">
        <v>329</v>
      </c>
      <c r="AC12" s="136" t="s">
        <v>39</v>
      </c>
      <c r="AD12" s="136" t="s">
        <v>3</v>
      </c>
      <c r="AE12" s="149">
        <v>0.26</v>
      </c>
      <c r="AF12" s="151" t="s">
        <v>941</v>
      </c>
      <c r="AG12" s="244" t="s">
        <v>864</v>
      </c>
      <c r="AI12" s="151" t="s">
        <v>330</v>
      </c>
      <c r="AJ12" s="151" t="s">
        <v>283</v>
      </c>
      <c r="AK12" s="151" t="s">
        <v>283</v>
      </c>
      <c r="AL12" s="151" t="s">
        <v>283</v>
      </c>
      <c r="AM12" s="151" t="s">
        <v>283</v>
      </c>
      <c r="AN12" s="151" t="s">
        <v>283</v>
      </c>
      <c r="AO12" s="151" t="s">
        <v>283</v>
      </c>
      <c r="AP12" s="151" t="s">
        <v>283</v>
      </c>
      <c r="AQ12" s="155" t="s">
        <v>283</v>
      </c>
      <c r="AR12" s="155" t="s">
        <v>283</v>
      </c>
      <c r="AS12" s="155" t="s">
        <v>283</v>
      </c>
      <c r="AT12" s="155" t="s">
        <v>283</v>
      </c>
      <c r="AU12" s="152" t="s">
        <v>532</v>
      </c>
      <c r="AV12" s="152" t="s">
        <v>531</v>
      </c>
      <c r="AW12" s="152" t="s">
        <v>283</v>
      </c>
      <c r="AX12" s="152" t="s">
        <v>283</v>
      </c>
      <c r="AY12" s="152" t="s">
        <v>283</v>
      </c>
      <c r="BA12" s="245" t="str">
        <f t="array" ref="BA12">_xlfn.CONCAT(IF(NOT(ISERROR(SEARCH(BA$10&amp;". ",$AI12:$AY12))),$AI12:$AY12,""))</f>
        <v>B. Percent of employees eligible for program</v>
      </c>
      <c r="BB12" s="245" t="str">
        <f t="array" ref="BB12">_xlfn.CONCAT(IF(NOT(ISERROR(SEARCH(BB$10&amp;". ",$AI12:$AY12))),$AI12:$AY12,""))</f>
        <v>C. Percent reduction in vehicle mode share of employee commute trips</v>
      </c>
      <c r="BC12" s="245" t="str">
        <f t="array" ref="BC12">_xlfn.CONCAT(IF(NOT(ISERROR(SEARCH(BC$10&amp;". ",$AI12:$AY12))),$AI12:$AY12,""))</f>
        <v>D. Adjustment from vehicle mode share to commute VMT</v>
      </c>
      <c r="BD12" s="245" t="str">
        <f t="array" ref="BD12">_xlfn.CONCAT(IF(NOT(ISERROR(SEARCH(BD$10&amp;". ",$AI12:$AY12))),$AI12:$AY12,""))</f>
        <v/>
      </c>
      <c r="BE12" s="245" t="str">
        <f t="array" ref="BE12">_xlfn.CONCAT(IF(NOT(ISERROR(SEARCH(BE$10&amp;". ",$AI12:$AY12))),$AI12:$AY12,""))</f>
        <v/>
      </c>
      <c r="BF12" s="245" t="str">
        <f t="array" ref="BF12">_xlfn.CONCAT(IF(NOT(ISERROR(SEARCH(BF$10&amp;". ",$AI12:$AY12))),$AI12:$AY12,""))</f>
        <v/>
      </c>
      <c r="BG12" s="245" t="str">
        <f t="array" ref="BG12">_xlfn.CONCAT(IF(NOT(ISERROR(SEARCH(BG$10&amp;". ",$AI12:$AY12))),$AI12:$AY12,""))</f>
        <v/>
      </c>
      <c r="BH12" s="245" t="str">
        <f t="array" ref="BH12">_xlfn.CONCAT(IF(NOT(ISERROR(SEARCH(BH$10&amp;". ",$AI12:$AY12))),$AI12:$AY12,""))</f>
        <v/>
      </c>
    </row>
    <row r="13" spans="1:60" ht="60" customHeight="1" x14ac:dyDescent="0.25">
      <c r="A13" s="158" t="s">
        <v>273</v>
      </c>
      <c r="B13" s="199" t="s">
        <v>23</v>
      </c>
      <c r="C13" s="159" t="s">
        <v>507</v>
      </c>
      <c r="D13" s="159" t="s">
        <v>508</v>
      </c>
      <c r="E13" s="158" t="s">
        <v>119</v>
      </c>
      <c r="F13" s="159"/>
      <c r="G13" s="159" t="s">
        <v>382</v>
      </c>
      <c r="H13" s="159" t="s">
        <v>4</v>
      </c>
      <c r="I13" s="158" t="s">
        <v>52</v>
      </c>
      <c r="J13" s="158" t="s">
        <v>52</v>
      </c>
      <c r="K13" s="158" t="s">
        <v>51</v>
      </c>
      <c r="L13" s="163">
        <v>0.08</v>
      </c>
      <c r="M13" s="159" t="s">
        <v>509</v>
      </c>
      <c r="N13" s="159" t="s">
        <v>510</v>
      </c>
      <c r="O13" s="165">
        <v>0.04</v>
      </c>
      <c r="P13" s="165">
        <v>0.04</v>
      </c>
      <c r="Q13" s="165">
        <v>0.08</v>
      </c>
      <c r="R13" s="161">
        <v>0</v>
      </c>
      <c r="S13" s="161">
        <v>0.08</v>
      </c>
      <c r="T13" s="161">
        <v>0.01</v>
      </c>
      <c r="U13" s="161">
        <v>0.15</v>
      </c>
      <c r="V13" s="161">
        <v>0</v>
      </c>
      <c r="W13" s="161">
        <v>0.08</v>
      </c>
      <c r="X13" s="161">
        <v>0.08</v>
      </c>
      <c r="Y13" s="161" t="s">
        <v>224</v>
      </c>
      <c r="Z13" s="162">
        <v>0</v>
      </c>
      <c r="AA13" s="158"/>
      <c r="AB13" s="159" t="s">
        <v>511</v>
      </c>
      <c r="AC13" s="136" t="s">
        <v>39</v>
      </c>
      <c r="AD13" s="136" t="s">
        <v>3</v>
      </c>
      <c r="AE13" s="149">
        <v>0.08</v>
      </c>
      <c r="AF13" s="151" t="s">
        <v>928</v>
      </c>
      <c r="AG13" s="244" t="s">
        <v>865</v>
      </c>
      <c r="AI13" s="151" t="s">
        <v>330</v>
      </c>
      <c r="AJ13" s="151" t="s">
        <v>283</v>
      </c>
      <c r="AK13" s="151" t="s">
        <v>283</v>
      </c>
      <c r="AL13" s="151" t="s">
        <v>283</v>
      </c>
      <c r="AM13" s="151" t="s">
        <v>283</v>
      </c>
      <c r="AN13" s="151" t="s">
        <v>283</v>
      </c>
      <c r="AO13" s="151" t="s">
        <v>283</v>
      </c>
      <c r="AP13" s="151" t="s">
        <v>283</v>
      </c>
      <c r="AQ13" s="155" t="s">
        <v>283</v>
      </c>
      <c r="AR13" s="155" t="s">
        <v>283</v>
      </c>
      <c r="AS13" s="155" t="s">
        <v>283</v>
      </c>
      <c r="AT13" s="155" t="s">
        <v>283</v>
      </c>
      <c r="AU13" s="152" t="s">
        <v>512</v>
      </c>
      <c r="AV13" s="152" t="s">
        <v>283</v>
      </c>
      <c r="AW13" s="152" t="s">
        <v>283</v>
      </c>
      <c r="AX13" s="152" t="s">
        <v>283</v>
      </c>
      <c r="AY13" s="152" t="s">
        <v>283</v>
      </c>
      <c r="BA13" s="245" t="str">
        <f t="array" ref="BA13">_xlfn.CONCAT(IF(NOT(ISERROR(SEARCH(BA$10&amp;". ",$AI13:$AY13))),$AI13:$AY13,""))</f>
        <v>B. Percent of employees eligible for program</v>
      </c>
      <c r="BB13" s="245" t="str">
        <f t="array" ref="BB13">_xlfn.CONCAT(IF(NOT(ISERROR(SEARCH(BB$10&amp;". ",$AI13:$AY13))),$AI13:$AY13,""))</f>
        <v>C. Percent reduction in employee commute VMT</v>
      </c>
      <c r="BC13" s="245" t="str">
        <f t="array" ref="BC13">_xlfn.CONCAT(IF(NOT(ISERROR(SEARCH(BC$10&amp;". ",$AI13:$AY13))),$AI13:$AY13,""))</f>
        <v/>
      </c>
      <c r="BD13" s="245" t="str">
        <f t="array" ref="BD13">_xlfn.CONCAT(IF(NOT(ISERROR(SEARCH(BD$10&amp;". ",$AI13:$AY13))),$AI13:$AY13,""))</f>
        <v/>
      </c>
      <c r="BE13" s="245" t="str">
        <f t="array" ref="BE13">_xlfn.CONCAT(IF(NOT(ISERROR(SEARCH(BE$10&amp;". ",$AI13:$AY13))),$AI13:$AY13,""))</f>
        <v/>
      </c>
      <c r="BF13" s="245" t="str">
        <f t="array" ref="BF13">_xlfn.CONCAT(IF(NOT(ISERROR(SEARCH(BF$10&amp;". ",$AI13:$AY13))),$AI13:$AY13,""))</f>
        <v/>
      </c>
      <c r="BG13" s="245" t="str">
        <f t="array" ref="BG13">_xlfn.CONCAT(IF(NOT(ISERROR(SEARCH(BG$10&amp;". ",$AI13:$AY13))),$AI13:$AY13,""))</f>
        <v/>
      </c>
      <c r="BH13" s="245" t="str">
        <f t="array" ref="BH13">_xlfn.CONCAT(IF(NOT(ISERROR(SEARCH(BH$10&amp;". ",$AI13:$AY13))),$AI13:$AY13,""))</f>
        <v/>
      </c>
    </row>
    <row r="14" spans="1:60" ht="60" customHeight="1" x14ac:dyDescent="0.25">
      <c r="A14" s="245" t="s">
        <v>273</v>
      </c>
      <c r="B14" s="198" t="s">
        <v>760</v>
      </c>
      <c r="C14" s="244" t="s">
        <v>422</v>
      </c>
      <c r="D14" s="244" t="s">
        <v>423</v>
      </c>
      <c r="E14" s="245" t="s">
        <v>777</v>
      </c>
      <c r="F14" s="244" t="s">
        <v>424</v>
      </c>
      <c r="G14" s="244" t="s">
        <v>425</v>
      </c>
      <c r="H14" s="244" t="s">
        <v>426</v>
      </c>
      <c r="I14" s="245" t="s">
        <v>51</v>
      </c>
      <c r="J14" s="245" t="s">
        <v>51</v>
      </c>
      <c r="K14" s="245" t="s">
        <v>52</v>
      </c>
      <c r="M14" s="244" t="s">
        <v>427</v>
      </c>
      <c r="N14" s="153">
        <v>5.5E-2</v>
      </c>
      <c r="O14" s="153"/>
      <c r="P14" s="153"/>
      <c r="Q14" s="153"/>
      <c r="R14" s="149"/>
      <c r="S14" s="149"/>
      <c r="T14" s="149">
        <v>3.0000000000000001E-3</v>
      </c>
      <c r="U14" s="149">
        <v>0.2</v>
      </c>
      <c r="V14" s="149">
        <v>0</v>
      </c>
      <c r="W14" s="149">
        <v>5.5E-2</v>
      </c>
      <c r="X14" s="149">
        <v>5.5E-2</v>
      </c>
      <c r="Y14" s="149" t="s">
        <v>224</v>
      </c>
      <c r="Z14" s="150" t="s">
        <v>283</v>
      </c>
      <c r="AB14" s="244" t="s">
        <v>420</v>
      </c>
      <c r="AC14" s="136" t="s">
        <v>39</v>
      </c>
      <c r="AD14" s="136" t="s">
        <v>3</v>
      </c>
      <c r="AE14" s="149">
        <v>5.5E-2</v>
      </c>
      <c r="AF14" s="151" t="s">
        <v>965</v>
      </c>
      <c r="AG14" s="244" t="s">
        <v>866</v>
      </c>
      <c r="AI14" s="151" t="s">
        <v>428</v>
      </c>
      <c r="AJ14" s="151" t="s">
        <v>429</v>
      </c>
      <c r="AK14" s="151" t="s">
        <v>430</v>
      </c>
      <c r="AL14" s="151" t="s">
        <v>431</v>
      </c>
      <c r="AM14" s="151" t="s">
        <v>283</v>
      </c>
      <c r="AN14" s="151" t="s">
        <v>283</v>
      </c>
      <c r="AO14" s="151" t="s">
        <v>283</v>
      </c>
      <c r="AP14" s="151" t="s">
        <v>283</v>
      </c>
      <c r="AQ14" s="155" t="s">
        <v>432</v>
      </c>
      <c r="AR14" s="155" t="s">
        <v>283</v>
      </c>
      <c r="AS14" s="155" t="s">
        <v>283</v>
      </c>
      <c r="AT14" s="155" t="s">
        <v>283</v>
      </c>
      <c r="AU14" s="152" t="s">
        <v>433</v>
      </c>
      <c r="AV14" s="152" t="s">
        <v>434</v>
      </c>
      <c r="AW14" s="152" t="s">
        <v>435</v>
      </c>
      <c r="AX14" s="152" t="s">
        <v>283</v>
      </c>
      <c r="AY14" s="152" t="s">
        <v>283</v>
      </c>
      <c r="BA14" s="245" t="str">
        <f t="array" ref="BA14">_xlfn.CONCAT(IF(NOT(ISERROR(SEARCH(BA$10&amp;". ",$AI14:$AY14))),$AI14:$AY14,""))</f>
        <v>B. Average transit fare without subsidy</v>
      </c>
      <c r="BB14" s="245" t="str">
        <f t="array" ref="BB14">_xlfn.CONCAT(IF(NOT(ISERROR(SEARCH(BB$10&amp;". ",$AI14:$AY14))),$AI14:$AY14,""))</f>
        <v>C. Subsidy amount</v>
      </c>
      <c r="BC14" s="245" t="str">
        <f t="array" ref="BC14">_xlfn.CONCAT(IF(NOT(ISERROR(SEARCH(BC$10&amp;". ",$AI14:$AY14))),$AI14:$AY14,""))</f>
        <v>D. Percent of employees/residents eligible for subsidy</v>
      </c>
      <c r="BD14" s="245" t="str">
        <f t="array" ref="BD14">_xlfn.CONCAT(IF(NOT(ISERROR(SEARCH(BD$10&amp;". ",$AI14:$AY14))),$AI14:$AY14,""))</f>
        <v>E. Percent of project-generated VMT from employees/residents</v>
      </c>
      <c r="BE14" s="245" t="str">
        <f t="array" ref="BE14">_xlfn.CONCAT(IF(NOT(ISERROR(SEARCH(BE$10&amp;". ",$AI14:$AY14))),$AI14:$AY14,""))</f>
        <v>F. Transit mode share of all trips or work trips</v>
      </c>
      <c r="BF14" s="245" t="str">
        <f t="array" ref="BF14">_xlfn.CONCAT(IF(NOT(ISERROR(SEARCH(BF$10&amp;". ",$AI14:$AY14))),$AI14:$AY14,""))</f>
        <v>G. Elasticity of transit boardings with respect to transit fare price</v>
      </c>
      <c r="BG14" s="245" t="str">
        <f t="array" ref="BG14">_xlfn.CONCAT(IF(NOT(ISERROR(SEARCH(BG$10&amp;". ",$AI14:$AY14))),$AI14:$AY14,""))</f>
        <v>H. Percent of transit trips that would otherwise be made in a vehicle</v>
      </c>
      <c r="BH14" s="245" t="str">
        <f t="array" ref="BH14">_xlfn.CONCAT(IF(NOT(ISERROR(SEARCH(BH$10&amp;". ",$AI14:$AY14))),$AI14:$AY14,""))</f>
        <v>I. Conversion factor of vehicle trips to VMT</v>
      </c>
    </row>
    <row r="15" spans="1:60" ht="60" customHeight="1" x14ac:dyDescent="0.25">
      <c r="A15" s="245" t="s">
        <v>273</v>
      </c>
      <c r="B15" s="208" t="s">
        <v>761</v>
      </c>
      <c r="C15" s="244"/>
      <c r="D15" s="244"/>
      <c r="E15" s="245" t="s">
        <v>778</v>
      </c>
      <c r="N15" s="153"/>
      <c r="O15" s="153"/>
      <c r="P15" s="153"/>
      <c r="Q15" s="153"/>
      <c r="R15" s="149"/>
      <c r="S15" s="149"/>
      <c r="T15" s="149"/>
      <c r="U15" s="149"/>
      <c r="V15" s="149"/>
      <c r="W15" s="149"/>
      <c r="X15" s="149"/>
      <c r="Y15" s="149"/>
      <c r="Z15" s="150"/>
      <c r="AB15" s="244"/>
      <c r="AC15" s="136" t="s">
        <v>39</v>
      </c>
      <c r="AD15" s="136" t="s">
        <v>104</v>
      </c>
      <c r="AE15" s="149">
        <v>5.5E-2</v>
      </c>
      <c r="AF15" s="151" t="s">
        <v>966</v>
      </c>
      <c r="AG15" s="244" t="s">
        <v>866</v>
      </c>
      <c r="AI15" s="151"/>
      <c r="AJ15" s="151"/>
      <c r="AK15" s="151"/>
      <c r="AL15" s="151"/>
      <c r="AM15" s="151"/>
      <c r="AN15" s="151"/>
      <c r="AO15" s="151"/>
      <c r="AP15" s="151"/>
      <c r="AQ15" s="155"/>
      <c r="AR15" s="155"/>
      <c r="AS15" s="155"/>
      <c r="AT15" s="155"/>
      <c r="AU15" s="152"/>
      <c r="AV15" s="152"/>
      <c r="AW15" s="152"/>
      <c r="AX15" s="152"/>
      <c r="AY15" s="152"/>
    </row>
    <row r="16" spans="1:60" ht="60" customHeight="1" x14ac:dyDescent="0.25">
      <c r="A16" s="245" t="s">
        <v>273</v>
      </c>
      <c r="B16" s="245" t="s">
        <v>575</v>
      </c>
      <c r="C16" s="244" t="s">
        <v>422</v>
      </c>
      <c r="D16" s="244" t="s">
        <v>513</v>
      </c>
      <c r="E16" s="245" t="s">
        <v>121</v>
      </c>
      <c r="G16" s="244" t="s">
        <v>382</v>
      </c>
      <c r="H16" s="244" t="s">
        <v>514</v>
      </c>
      <c r="I16" s="245" t="s">
        <v>52</v>
      </c>
      <c r="J16" s="140" t="s">
        <v>51</v>
      </c>
      <c r="K16" s="245" t="s">
        <v>51</v>
      </c>
      <c r="L16" s="147">
        <v>0.109</v>
      </c>
      <c r="M16" s="244" t="s">
        <v>427</v>
      </c>
      <c r="N16" s="244" t="s">
        <v>515</v>
      </c>
      <c r="R16" s="149">
        <v>0</v>
      </c>
      <c r="S16" s="149">
        <v>0.109</v>
      </c>
      <c r="T16" s="149">
        <v>3.0000000000000001E-3</v>
      </c>
      <c r="U16" s="149">
        <v>0.2</v>
      </c>
      <c r="V16" s="149">
        <v>0</v>
      </c>
      <c r="W16" s="149">
        <v>5.5E-2</v>
      </c>
      <c r="X16" s="149" t="s">
        <v>283</v>
      </c>
      <c r="Y16" s="149" t="s">
        <v>283</v>
      </c>
      <c r="Z16" s="150" t="s">
        <v>283</v>
      </c>
      <c r="AA16" s="245" t="s">
        <v>516</v>
      </c>
      <c r="AB16" s="244" t="s">
        <v>517</v>
      </c>
      <c r="AC16" s="136" t="s">
        <v>283</v>
      </c>
      <c r="AD16" s="136" t="s">
        <v>283</v>
      </c>
      <c r="AE16" s="245" t="s">
        <v>283</v>
      </c>
      <c r="AF16" s="137" t="s">
        <v>283</v>
      </c>
      <c r="AG16" s="245" t="s">
        <v>283</v>
      </c>
      <c r="AH16" s="245" t="s">
        <v>283</v>
      </c>
      <c r="AI16" s="151" t="s">
        <v>283</v>
      </c>
      <c r="AJ16" s="151" t="s">
        <v>283</v>
      </c>
      <c r="AK16" s="151" t="s">
        <v>283</v>
      </c>
      <c r="AL16" s="151" t="s">
        <v>283</v>
      </c>
      <c r="AM16" s="151" t="s">
        <v>283</v>
      </c>
      <c r="AN16" s="151" t="s">
        <v>283</v>
      </c>
      <c r="AO16" s="151" t="s">
        <v>283</v>
      </c>
      <c r="AP16" s="151" t="s">
        <v>283</v>
      </c>
      <c r="AQ16" s="155" t="s">
        <v>283</v>
      </c>
      <c r="AR16" s="155" t="s">
        <v>283</v>
      </c>
      <c r="AS16" s="155" t="s">
        <v>283</v>
      </c>
      <c r="AT16" s="155" t="s">
        <v>283</v>
      </c>
      <c r="AU16" s="152" t="s">
        <v>283</v>
      </c>
      <c r="AV16" s="152" t="s">
        <v>283</v>
      </c>
      <c r="AW16" s="152" t="s">
        <v>283</v>
      </c>
      <c r="AX16" s="152" t="s">
        <v>283</v>
      </c>
      <c r="AY16" s="152" t="s">
        <v>283</v>
      </c>
      <c r="BA16" s="245" t="str">
        <f t="array" ref="BA16">_xlfn.CONCAT(IF(NOT(ISERROR(SEARCH(BA$10&amp;". ",$AI16:$AY16))),$AI16:$AY16,""))</f>
        <v/>
      </c>
      <c r="BB16" s="245" t="str">
        <f t="array" ref="BB16">_xlfn.CONCAT(IF(NOT(ISERROR(SEARCH(BB$10&amp;". ",$AI16:$AY16))),$AI16:$AY16,""))</f>
        <v/>
      </c>
      <c r="BC16" s="245" t="str">
        <f t="array" ref="BC16">_xlfn.CONCAT(IF(NOT(ISERROR(SEARCH(BC$10&amp;". ",$AI16:$AY16))),$AI16:$AY16,""))</f>
        <v/>
      </c>
      <c r="BD16" s="245" t="str">
        <f t="array" ref="BD16">_xlfn.CONCAT(IF(NOT(ISERROR(SEARCH(BD$10&amp;". ",$AI16:$AY16))),$AI16:$AY16,""))</f>
        <v/>
      </c>
      <c r="BE16" s="245" t="str">
        <f t="array" ref="BE16">_xlfn.CONCAT(IF(NOT(ISERROR(SEARCH(BE$10&amp;". ",$AI16:$AY16))),$AI16:$AY16,""))</f>
        <v/>
      </c>
      <c r="BF16" s="245" t="str">
        <f t="array" ref="BF16">_xlfn.CONCAT(IF(NOT(ISERROR(SEARCH(BF$10&amp;". ",$AI16:$AY16))),$AI16:$AY16,""))</f>
        <v/>
      </c>
      <c r="BG16" s="245" t="str">
        <f t="array" ref="BG16">_xlfn.CONCAT(IF(NOT(ISERROR(SEARCH(BG$10&amp;". ",$AI16:$AY16))),$AI16:$AY16,""))</f>
        <v/>
      </c>
      <c r="BH16" s="245" t="str">
        <f t="array" ref="BH16">_xlfn.CONCAT(IF(NOT(ISERROR(SEARCH(BH$10&amp;". ",$AI16:$AY16))),$AI16:$AY16,""))</f>
        <v/>
      </c>
    </row>
    <row r="17" spans="1:60" ht="60" customHeight="1" x14ac:dyDescent="0.25">
      <c r="A17" s="245" t="s">
        <v>273</v>
      </c>
      <c r="B17" s="198" t="s">
        <v>25</v>
      </c>
      <c r="C17" s="244" t="s">
        <v>380</v>
      </c>
      <c r="D17" s="244" t="s">
        <v>381</v>
      </c>
      <c r="E17" s="245" t="s">
        <v>120</v>
      </c>
      <c r="G17" s="244" t="s">
        <v>382</v>
      </c>
      <c r="H17" s="244" t="s">
        <v>383</v>
      </c>
      <c r="I17" s="245" t="s">
        <v>51</v>
      </c>
      <c r="J17" s="245" t="s">
        <v>51</v>
      </c>
      <c r="K17" s="245" t="s">
        <v>51</v>
      </c>
      <c r="L17" s="147">
        <v>7.0999999999999994E-2</v>
      </c>
      <c r="M17" s="244" t="s">
        <v>384</v>
      </c>
      <c r="N17" s="167" t="s">
        <v>385</v>
      </c>
      <c r="O17" s="167"/>
      <c r="P17" s="167"/>
      <c r="Q17" s="167"/>
      <c r="R17" s="149">
        <v>0</v>
      </c>
      <c r="S17" s="149">
        <v>7.0999999999999994E-2</v>
      </c>
      <c r="T17" s="149">
        <v>3.0000000000000001E-3</v>
      </c>
      <c r="U17" s="149">
        <v>0.13400000000000001</v>
      </c>
      <c r="V17" s="149">
        <v>0</v>
      </c>
      <c r="W17" s="149">
        <v>0.104</v>
      </c>
      <c r="X17" s="149">
        <v>0.104</v>
      </c>
      <c r="Y17" s="149" t="s">
        <v>224</v>
      </c>
      <c r="Z17" s="150">
        <v>3.3000000000000002E-2</v>
      </c>
      <c r="AB17" s="244" t="s">
        <v>355</v>
      </c>
      <c r="AC17" s="136" t="s">
        <v>39</v>
      </c>
      <c r="AD17" s="136" t="s">
        <v>3</v>
      </c>
      <c r="AE17" s="149">
        <v>0.104</v>
      </c>
      <c r="AF17" s="151" t="s">
        <v>889</v>
      </c>
      <c r="AG17" s="244" t="s">
        <v>868</v>
      </c>
      <c r="AI17" s="151" t="s">
        <v>283</v>
      </c>
      <c r="AJ17" s="151" t="s">
        <v>283</v>
      </c>
      <c r="AK17" s="151" t="s">
        <v>283</v>
      </c>
      <c r="AL17" s="151" t="s">
        <v>283</v>
      </c>
      <c r="AM17" s="151" t="s">
        <v>283</v>
      </c>
      <c r="AN17" s="151" t="s">
        <v>283</v>
      </c>
      <c r="AO17" s="151" t="s">
        <v>283</v>
      </c>
      <c r="AP17" s="151" t="s">
        <v>283</v>
      </c>
      <c r="AQ17" s="155" t="s">
        <v>386</v>
      </c>
      <c r="AR17" s="155" t="s">
        <v>387</v>
      </c>
      <c r="AS17" s="155" t="s">
        <v>388</v>
      </c>
      <c r="AT17" s="155" t="s">
        <v>283</v>
      </c>
      <c r="AU17" s="152" t="s">
        <v>389</v>
      </c>
      <c r="AV17" s="152" t="s">
        <v>283</v>
      </c>
      <c r="AW17" s="152" t="s">
        <v>283</v>
      </c>
      <c r="AX17" s="152" t="s">
        <v>283</v>
      </c>
      <c r="AY17" s="152" t="s">
        <v>283</v>
      </c>
      <c r="BA17" s="245" t="str">
        <f t="array" ref="BA17">_xlfn.CONCAT(IF(NOT(ISERROR(SEARCH(BA$10&amp;". ",$AI17:$AY17))),$AI17:$AY17,""))</f>
        <v>B. Percent of employees that participate in
vanpool program</v>
      </c>
      <c r="BB17" s="245" t="str">
        <f t="array" ref="BB17">_xlfn.CONCAT(IF(NOT(ISERROR(SEARCH(BB$10&amp;". ",$AI17:$AY17))),$AI17:$AY17,""))</f>
        <v>C. Average length of one-way vehicle commute
trip in region</v>
      </c>
      <c r="BC17" s="245" t="str">
        <f t="array" ref="BC17">_xlfn.CONCAT(IF(NOT(ISERROR(SEARCH(BC$10&amp;". ",$AI17:$AY17))),$AI17:$AY17,""))</f>
        <v>D. Average length of one-way vanpool commute
trip</v>
      </c>
      <c r="BD17" s="245" t="str">
        <f t="array" ref="BD17">_xlfn.CONCAT(IF(NOT(ISERROR(SEARCH(BD$10&amp;". ",$AI17:$AY17))),$AI17:$AY17,""))</f>
        <v>E. Average vanpool occupancy (including driver)</v>
      </c>
      <c r="BE17" s="245" t="str">
        <f t="array" ref="BE17">_xlfn.CONCAT(IF(NOT(ISERROR(SEARCH(BE$10&amp;". ",$AI17:$AY17))),$AI17:$AY17,""))</f>
        <v/>
      </c>
      <c r="BF17" s="245" t="str">
        <f t="array" ref="BF17">_xlfn.CONCAT(IF(NOT(ISERROR(SEARCH(BF$10&amp;". ",$AI17:$AY17))),$AI17:$AY17,""))</f>
        <v/>
      </c>
      <c r="BG17" s="245" t="str">
        <f t="array" ref="BG17">_xlfn.CONCAT(IF(NOT(ISERROR(SEARCH(BG$10&amp;". ",$AI17:$AY17))),$AI17:$AY17,""))</f>
        <v/>
      </c>
      <c r="BH17" s="245" t="str">
        <f t="array" ref="BH17">_xlfn.CONCAT(IF(NOT(ISERROR(SEARCH(BH$10&amp;". ",$AI17:$AY17))),$AI17:$AY17,""))</f>
        <v/>
      </c>
    </row>
    <row r="18" spans="1:60" ht="60" customHeight="1" x14ac:dyDescent="0.25">
      <c r="A18" s="158" t="s">
        <v>273</v>
      </c>
      <c r="B18" s="199" t="s">
        <v>53</v>
      </c>
      <c r="C18" s="159" t="s">
        <v>496</v>
      </c>
      <c r="D18" s="159" t="s">
        <v>331</v>
      </c>
      <c r="E18" s="158" t="s">
        <v>122</v>
      </c>
      <c r="F18" s="159"/>
      <c r="G18" s="159" t="s">
        <v>497</v>
      </c>
      <c r="H18" s="159" t="s">
        <v>498</v>
      </c>
      <c r="I18" s="158" t="s">
        <v>51</v>
      </c>
      <c r="J18" s="158" t="s">
        <v>418</v>
      </c>
      <c r="K18" s="158" t="s">
        <v>51</v>
      </c>
      <c r="L18" s="163">
        <v>0.44</v>
      </c>
      <c r="M18" s="159" t="s">
        <v>499</v>
      </c>
      <c r="N18" s="159" t="s">
        <v>331</v>
      </c>
      <c r="O18" s="159"/>
      <c r="P18" s="159"/>
      <c r="Q18" s="159"/>
      <c r="R18" s="161">
        <v>0</v>
      </c>
      <c r="S18" s="161">
        <v>0.44</v>
      </c>
      <c r="T18" s="161">
        <v>6.9999999999999999E-4</v>
      </c>
      <c r="U18" s="161">
        <v>5.5E-2</v>
      </c>
      <c r="V18" s="161"/>
      <c r="W18" s="161"/>
      <c r="X18" s="161">
        <v>0.44</v>
      </c>
      <c r="Y18" s="161" t="s">
        <v>494</v>
      </c>
      <c r="Z18" s="162">
        <v>0</v>
      </c>
      <c r="AA18" s="158"/>
      <c r="AB18" s="159" t="s">
        <v>495</v>
      </c>
      <c r="AC18" s="136" t="s">
        <v>39</v>
      </c>
      <c r="AD18" s="136" t="s">
        <v>3</v>
      </c>
      <c r="AE18" s="245" t="s">
        <v>283</v>
      </c>
      <c r="AF18" s="137" t="s">
        <v>283</v>
      </c>
      <c r="AG18" s="245" t="s">
        <v>283</v>
      </c>
      <c r="AH18" s="245" t="s">
        <v>283</v>
      </c>
      <c r="AI18" s="151" t="s">
        <v>283</v>
      </c>
      <c r="AJ18" s="151" t="s">
        <v>283</v>
      </c>
      <c r="AK18" s="151" t="s">
        <v>283</v>
      </c>
      <c r="AL18" s="151" t="s">
        <v>283</v>
      </c>
      <c r="AM18" s="151" t="s">
        <v>283</v>
      </c>
      <c r="AN18" s="151" t="s">
        <v>283</v>
      </c>
      <c r="AO18" s="151" t="s">
        <v>283</v>
      </c>
      <c r="AP18" s="151" t="s">
        <v>283</v>
      </c>
      <c r="AQ18" s="155" t="s">
        <v>283</v>
      </c>
      <c r="AR18" s="155" t="s">
        <v>283</v>
      </c>
      <c r="AS18" s="155" t="s">
        <v>283</v>
      </c>
      <c r="AT18" s="155" t="s">
        <v>283</v>
      </c>
      <c r="AU18" s="152" t="s">
        <v>283</v>
      </c>
      <c r="AV18" s="152" t="s">
        <v>283</v>
      </c>
      <c r="AW18" s="152" t="s">
        <v>283</v>
      </c>
      <c r="AX18" s="152" t="s">
        <v>283</v>
      </c>
      <c r="AY18" s="152" t="s">
        <v>283</v>
      </c>
      <c r="BA18" s="245" t="str">
        <f t="array" ref="BA18">_xlfn.CONCAT(IF(NOT(ISERROR(SEARCH(BA$10&amp;". ",$AI18:$AY18))),$AI18:$AY18,""))</f>
        <v/>
      </c>
      <c r="BB18" s="245" t="str">
        <f t="array" ref="BB18">_xlfn.CONCAT(IF(NOT(ISERROR(SEARCH(BB$10&amp;". ",$AI18:$AY18))),$AI18:$AY18,""))</f>
        <v/>
      </c>
      <c r="BC18" s="245" t="str">
        <f t="array" ref="BC18">_xlfn.CONCAT(IF(NOT(ISERROR(SEARCH(BC$10&amp;". ",$AI18:$AY18))),$AI18:$AY18,""))</f>
        <v/>
      </c>
      <c r="BD18" s="245" t="str">
        <f t="array" ref="BD18">_xlfn.CONCAT(IF(NOT(ISERROR(SEARCH(BD$10&amp;". ",$AI18:$AY18))),$AI18:$AY18,""))</f>
        <v/>
      </c>
      <c r="BE18" s="245" t="str">
        <f t="array" ref="BE18">_xlfn.CONCAT(IF(NOT(ISERROR(SEARCH(BE$10&amp;". ",$AI18:$AY18))),$AI18:$AY18,""))</f>
        <v/>
      </c>
      <c r="BF18" s="245" t="str">
        <f t="array" ref="BF18">_xlfn.CONCAT(IF(NOT(ISERROR(SEARCH(BF$10&amp;". ",$AI18:$AY18))),$AI18:$AY18,""))</f>
        <v/>
      </c>
      <c r="BG18" s="245" t="str">
        <f t="array" ref="BG18">_xlfn.CONCAT(IF(NOT(ISERROR(SEARCH(BG$10&amp;". ",$AI18:$AY18))),$AI18:$AY18,""))</f>
        <v/>
      </c>
      <c r="BH18" s="245" t="str">
        <f t="array" ref="BH18">_xlfn.CONCAT(IF(NOT(ISERROR(SEARCH(BH$10&amp;". ",$AI18:$AY18))),$AI18:$AY18,""))</f>
        <v/>
      </c>
    </row>
    <row r="19" spans="1:60" ht="60" customHeight="1" x14ac:dyDescent="0.25">
      <c r="A19" s="245" t="s">
        <v>273</v>
      </c>
      <c r="B19" s="198" t="s">
        <v>26</v>
      </c>
      <c r="C19" s="244" t="s">
        <v>481</v>
      </c>
      <c r="D19" s="244" t="s">
        <v>482</v>
      </c>
      <c r="E19" s="245" t="s">
        <v>88</v>
      </c>
      <c r="H19" s="244" t="s">
        <v>483</v>
      </c>
      <c r="I19" s="245" t="s">
        <v>51</v>
      </c>
      <c r="J19" s="245" t="s">
        <v>51</v>
      </c>
      <c r="K19" s="245" t="s">
        <v>52</v>
      </c>
      <c r="L19" s="154">
        <v>0.14000000000000001</v>
      </c>
      <c r="M19" s="244" t="s">
        <v>484</v>
      </c>
      <c r="N19" s="167" t="s">
        <v>485</v>
      </c>
      <c r="O19" s="167"/>
      <c r="P19" s="167"/>
      <c r="Q19" s="167"/>
      <c r="R19" s="149">
        <v>0</v>
      </c>
      <c r="S19" s="149">
        <v>0.14000000000000001</v>
      </c>
      <c r="T19" s="149">
        <v>5.0000000000000001E-3</v>
      </c>
      <c r="U19" s="149">
        <v>0.246</v>
      </c>
      <c r="V19" s="149">
        <v>0</v>
      </c>
      <c r="W19" s="149">
        <v>0.31</v>
      </c>
      <c r="X19" s="149">
        <v>0.31</v>
      </c>
      <c r="Y19" s="149" t="s">
        <v>224</v>
      </c>
      <c r="Z19" s="150">
        <v>0.16999999999999998</v>
      </c>
      <c r="AA19" s="245" t="s">
        <v>486</v>
      </c>
      <c r="AB19" s="244" t="s">
        <v>487</v>
      </c>
      <c r="AC19" s="136" t="s">
        <v>39</v>
      </c>
      <c r="AD19" s="136" t="s">
        <v>104</v>
      </c>
      <c r="AE19" s="149">
        <v>0.31</v>
      </c>
      <c r="AF19" s="151" t="s">
        <v>967</v>
      </c>
      <c r="AG19" s="244" t="s">
        <v>883</v>
      </c>
      <c r="AI19" s="151" t="s">
        <v>283</v>
      </c>
      <c r="AJ19" s="151" t="s">
        <v>283</v>
      </c>
      <c r="AK19" s="151" t="s">
        <v>283</v>
      </c>
      <c r="AL19" s="151" t="s">
        <v>283</v>
      </c>
      <c r="AM19" s="151" t="s">
        <v>283</v>
      </c>
      <c r="AN19" s="151" t="s">
        <v>283</v>
      </c>
      <c r="AO19" s="151" t="s">
        <v>283</v>
      </c>
      <c r="AP19" s="151" t="s">
        <v>283</v>
      </c>
      <c r="AQ19" s="155" t="s">
        <v>488</v>
      </c>
      <c r="AR19" s="155" t="s">
        <v>489</v>
      </c>
      <c r="AS19" s="155" t="s">
        <v>283</v>
      </c>
      <c r="AT19" s="155" t="s">
        <v>283</v>
      </c>
      <c r="AU19" s="152" t="s">
        <v>490</v>
      </c>
      <c r="AV19" s="152" t="s">
        <v>283</v>
      </c>
      <c r="AW19" s="152" t="s">
        <v>283</v>
      </c>
      <c r="AX19" s="152" t="s">
        <v>283</v>
      </c>
      <c r="AY19" s="152" t="s">
        <v>283</v>
      </c>
      <c r="BA19" s="245" t="str">
        <f t="array" ref="BA19">_xlfn.CONCAT(IF(NOT(ISERROR(SEARCH(BA$10&amp;". ",$AI19:$AY19))),$AI19:$AY19,""))</f>
        <v>B. Transit mode share in surrounding city</v>
      </c>
      <c r="BB19" s="245" t="str">
        <f t="array" ref="BB19">_xlfn.CONCAT(IF(NOT(ISERROR(SEARCH(BB$10&amp;". ",$AI19:$AY19))),$AI19:$AY19,""))</f>
        <v>C. Ratio of transit mode share for TOD area with
measure compared to existing transit mode
share in surrounding city</v>
      </c>
      <c r="BC19" s="245" t="str">
        <f t="array" ref="BC19">_xlfn.CONCAT(IF(NOT(ISERROR(SEARCH(BC$10&amp;". ",$AI19:$AY19))),$AI19:$AY19,""))</f>
        <v>D. Auto mode share in surrounding city</v>
      </c>
      <c r="BD19" s="245" t="str">
        <f t="array" ref="BD19">_xlfn.CONCAT(IF(NOT(ISERROR(SEARCH(BD$10&amp;". ",$AI19:$AY19))),$AI19:$AY19,""))</f>
        <v/>
      </c>
      <c r="BE19" s="245" t="str">
        <f t="array" ref="BE19">_xlfn.CONCAT(IF(NOT(ISERROR(SEARCH(BE$10&amp;". ",$AI19:$AY19))),$AI19:$AY19,""))</f>
        <v/>
      </c>
      <c r="BF19" s="245" t="str">
        <f t="array" ref="BF19">_xlfn.CONCAT(IF(NOT(ISERROR(SEARCH(BF$10&amp;". ",$AI19:$AY19))),$AI19:$AY19,""))</f>
        <v/>
      </c>
      <c r="BG19" s="245" t="str">
        <f t="array" ref="BG19">_xlfn.CONCAT(IF(NOT(ISERROR(SEARCH(BG$10&amp;". ",$AI19:$AY19))),$AI19:$AY19,""))</f>
        <v/>
      </c>
      <c r="BH19" s="245" t="str">
        <f t="array" ref="BH19">_xlfn.CONCAT(IF(NOT(ISERROR(SEARCH(BH$10&amp;". ",$AI19:$AY19))),$AI19:$AY19,""))</f>
        <v/>
      </c>
    </row>
    <row r="20" spans="1:60" ht="60" customHeight="1" x14ac:dyDescent="0.25">
      <c r="A20" s="245" t="s">
        <v>273</v>
      </c>
      <c r="B20" s="245" t="s">
        <v>27</v>
      </c>
      <c r="C20" s="244" t="s">
        <v>518</v>
      </c>
      <c r="D20" s="244" t="s">
        <v>331</v>
      </c>
      <c r="E20" s="245" t="s">
        <v>123</v>
      </c>
      <c r="F20" s="244" t="s">
        <v>519</v>
      </c>
      <c r="H20" s="244" t="s">
        <v>520</v>
      </c>
      <c r="I20" s="245" t="s">
        <v>51</v>
      </c>
      <c r="J20" s="245" t="s">
        <v>418</v>
      </c>
      <c r="K20" s="245" t="s">
        <v>52</v>
      </c>
      <c r="L20" s="154">
        <v>0.3</v>
      </c>
      <c r="M20" s="244" t="s">
        <v>521</v>
      </c>
      <c r="N20" s="244" t="s">
        <v>331</v>
      </c>
      <c r="R20" s="149">
        <v>0</v>
      </c>
      <c r="S20" s="149">
        <v>0.3</v>
      </c>
      <c r="T20" s="149">
        <v>0.09</v>
      </c>
      <c r="U20" s="149">
        <v>0.3</v>
      </c>
      <c r="V20" s="149"/>
      <c r="W20" s="149"/>
      <c r="X20" s="149" t="s">
        <v>283</v>
      </c>
      <c r="Y20" s="149" t="s">
        <v>283</v>
      </c>
      <c r="Z20" s="150" t="s">
        <v>283</v>
      </c>
      <c r="AA20" s="245" t="s">
        <v>522</v>
      </c>
      <c r="AB20" s="244" t="s">
        <v>517</v>
      </c>
      <c r="AC20" s="136" t="s">
        <v>283</v>
      </c>
      <c r="AD20" s="136" t="s">
        <v>283</v>
      </c>
      <c r="AE20" s="245" t="s">
        <v>283</v>
      </c>
      <c r="AF20" s="137" t="s">
        <v>283</v>
      </c>
      <c r="AG20" s="245" t="s">
        <v>283</v>
      </c>
      <c r="AH20" s="245" t="s">
        <v>283</v>
      </c>
      <c r="AI20" s="151" t="s">
        <v>283</v>
      </c>
      <c r="AJ20" s="151" t="s">
        <v>283</v>
      </c>
      <c r="AK20" s="151" t="s">
        <v>283</v>
      </c>
      <c r="AL20" s="151" t="s">
        <v>283</v>
      </c>
      <c r="AM20" s="151" t="s">
        <v>283</v>
      </c>
      <c r="AN20" s="151" t="s">
        <v>283</v>
      </c>
      <c r="AO20" s="151" t="s">
        <v>283</v>
      </c>
      <c r="AP20" s="151" t="s">
        <v>283</v>
      </c>
      <c r="AQ20" s="155" t="s">
        <v>283</v>
      </c>
      <c r="AR20" s="155" t="s">
        <v>283</v>
      </c>
      <c r="AS20" s="155" t="s">
        <v>283</v>
      </c>
      <c r="AT20" s="155" t="s">
        <v>283</v>
      </c>
      <c r="AU20" s="152" t="s">
        <v>283</v>
      </c>
      <c r="AV20" s="152" t="s">
        <v>283</v>
      </c>
      <c r="AW20" s="152" t="s">
        <v>283</v>
      </c>
      <c r="AX20" s="152" t="s">
        <v>283</v>
      </c>
      <c r="AY20" s="152" t="s">
        <v>283</v>
      </c>
      <c r="BA20" s="245" t="str">
        <f t="array" ref="BA20">_xlfn.CONCAT(IF(NOT(ISERROR(SEARCH(BA$10&amp;". ",$AI20:$AY20))),$AI20:$AY20,""))</f>
        <v/>
      </c>
      <c r="BB20" s="245" t="str">
        <f t="array" ref="BB20">_xlfn.CONCAT(IF(NOT(ISERROR(SEARCH(BB$10&amp;". ",$AI20:$AY20))),$AI20:$AY20,""))</f>
        <v/>
      </c>
      <c r="BC20" s="245" t="str">
        <f t="array" ref="BC20">_xlfn.CONCAT(IF(NOT(ISERROR(SEARCH(BC$10&amp;". ",$AI20:$AY20))),$AI20:$AY20,""))</f>
        <v/>
      </c>
      <c r="BD20" s="245" t="str">
        <f t="array" ref="BD20">_xlfn.CONCAT(IF(NOT(ISERROR(SEARCH(BD$10&amp;". ",$AI20:$AY20))),$AI20:$AY20,""))</f>
        <v/>
      </c>
      <c r="BE20" s="245" t="str">
        <f t="array" ref="BE20">_xlfn.CONCAT(IF(NOT(ISERROR(SEARCH(BE$10&amp;". ",$AI20:$AY20))),$AI20:$AY20,""))</f>
        <v/>
      </c>
      <c r="BF20" s="245" t="str">
        <f t="array" ref="BF20">_xlfn.CONCAT(IF(NOT(ISERROR(SEARCH(BF$10&amp;". ",$AI20:$AY20))),$AI20:$AY20,""))</f>
        <v/>
      </c>
      <c r="BG20" s="245" t="str">
        <f t="array" ref="BG20">_xlfn.CONCAT(IF(NOT(ISERROR(SEARCH(BG$10&amp;". ",$AI20:$AY20))),$AI20:$AY20,""))</f>
        <v/>
      </c>
      <c r="BH20" s="245" t="str">
        <f t="array" ref="BH20">_xlfn.CONCAT(IF(NOT(ISERROR(SEARCH(BH$10&amp;". ",$AI20:$AY20))),$AI20:$AY20,""))</f>
        <v/>
      </c>
    </row>
    <row r="21" spans="1:60" ht="60" customHeight="1" x14ac:dyDescent="0.25">
      <c r="A21" s="245" t="s">
        <v>273</v>
      </c>
      <c r="B21" s="198" t="s">
        <v>539</v>
      </c>
      <c r="C21" s="244" t="s">
        <v>447</v>
      </c>
      <c r="D21" s="244" t="s">
        <v>448</v>
      </c>
      <c r="E21" s="245" t="s">
        <v>449</v>
      </c>
      <c r="F21" s="244" t="s">
        <v>450</v>
      </c>
      <c r="H21" s="244" t="s">
        <v>451</v>
      </c>
      <c r="I21" s="245" t="s">
        <v>52</v>
      </c>
      <c r="J21" s="245" t="s">
        <v>51</v>
      </c>
      <c r="K21" s="245" t="s">
        <v>51</v>
      </c>
      <c r="M21" s="244" t="s">
        <v>452</v>
      </c>
      <c r="N21" s="244" t="s">
        <v>453</v>
      </c>
      <c r="R21" s="149"/>
      <c r="S21" s="149"/>
      <c r="T21" s="149">
        <v>8.0000000000000002E-3</v>
      </c>
      <c r="U21" s="149">
        <v>0.3</v>
      </c>
      <c r="V21" s="149">
        <v>0</v>
      </c>
      <c r="W21" s="149">
        <v>0.3</v>
      </c>
      <c r="X21" s="149">
        <v>0.3</v>
      </c>
      <c r="Y21" s="149" t="s">
        <v>224</v>
      </c>
      <c r="Z21" s="150" t="s">
        <v>283</v>
      </c>
      <c r="AB21" s="244" t="s">
        <v>420</v>
      </c>
      <c r="AC21" s="136" t="s">
        <v>39</v>
      </c>
      <c r="AD21" s="136" t="s">
        <v>104</v>
      </c>
      <c r="AE21" s="149">
        <v>0.3</v>
      </c>
      <c r="AF21" s="151" t="s">
        <v>905</v>
      </c>
      <c r="AG21" s="244" t="s">
        <v>870</v>
      </c>
      <c r="AI21" s="151" t="s">
        <v>454</v>
      </c>
      <c r="AJ21" s="151" t="s">
        <v>283</v>
      </c>
      <c r="AK21" s="151" t="s">
        <v>283</v>
      </c>
      <c r="AL21" s="151" t="s">
        <v>283</v>
      </c>
      <c r="AM21" s="151" t="s">
        <v>283</v>
      </c>
      <c r="AN21" s="151" t="s">
        <v>283</v>
      </c>
      <c r="AO21" s="151" t="s">
        <v>283</v>
      </c>
      <c r="AP21" s="151" t="s">
        <v>283</v>
      </c>
      <c r="AQ21" s="155" t="s">
        <v>283</v>
      </c>
      <c r="AR21" s="155" t="s">
        <v>283</v>
      </c>
      <c r="AS21" s="155" t="s">
        <v>283</v>
      </c>
      <c r="AT21" s="155" t="s">
        <v>283</v>
      </c>
      <c r="AU21" s="152" t="s">
        <v>455</v>
      </c>
      <c r="AV21" s="152" t="s">
        <v>456</v>
      </c>
      <c r="AW21" s="152" t="s">
        <v>283</v>
      </c>
      <c r="AX21" s="152" t="s">
        <v>283</v>
      </c>
      <c r="AY21" s="152" t="s">
        <v>283</v>
      </c>
      <c r="BA21" s="245" t="str">
        <f t="array" ref="BA21">_xlfn.CONCAT(IF(NOT(ISERROR(SEARCH(BA$10&amp;". ",$AI21:$AY21))),$AI21:$AY21,""))</f>
        <v>B. Residential density of project development</v>
      </c>
      <c r="BB21" s="245" t="str">
        <f t="array" ref="BB21">_xlfn.CONCAT(IF(NOT(ISERROR(SEARCH(BB$10&amp;". ",$AI21:$AY21))),$AI21:$AY21,""))</f>
        <v>C. Residential density of typical development</v>
      </c>
      <c r="BC21" s="245" t="str">
        <f t="array" ref="BC21">_xlfn.CONCAT(IF(NOT(ISERROR(SEARCH(BC$10&amp;". ",$AI21:$AY21))),$AI21:$AY21,""))</f>
        <v>D. Elasticity of VMT with respect to residential density</v>
      </c>
      <c r="BD21" s="245" t="str">
        <f t="array" ref="BD21">_xlfn.CONCAT(IF(NOT(ISERROR(SEARCH(BD$10&amp;". ",$AI21:$AY21))),$AI21:$AY21,""))</f>
        <v/>
      </c>
      <c r="BE21" s="245" t="str">
        <f t="array" ref="BE21">_xlfn.CONCAT(IF(NOT(ISERROR(SEARCH(BE$10&amp;". ",$AI21:$AY21))),$AI21:$AY21,""))</f>
        <v/>
      </c>
      <c r="BF21" s="245" t="str">
        <f t="array" ref="BF21">_xlfn.CONCAT(IF(NOT(ISERROR(SEARCH(BF$10&amp;". ",$AI21:$AY21))),$AI21:$AY21,""))</f>
        <v/>
      </c>
      <c r="BG21" s="245" t="str">
        <f t="array" ref="BG21">_xlfn.CONCAT(IF(NOT(ISERROR(SEARCH(BG$10&amp;". ",$AI21:$AY21))),$AI21:$AY21,""))</f>
        <v/>
      </c>
      <c r="BH21" s="245" t="str">
        <f t="array" ref="BH21">_xlfn.CONCAT(IF(NOT(ISERROR(SEARCH(BH$10&amp;". ",$AI21:$AY21))),$AI21:$AY21,""))</f>
        <v/>
      </c>
    </row>
    <row r="22" spans="1:60" ht="60" customHeight="1" x14ac:dyDescent="0.25">
      <c r="A22" s="245" t="s">
        <v>273</v>
      </c>
      <c r="B22" s="198" t="s">
        <v>540</v>
      </c>
      <c r="C22" s="244"/>
      <c r="D22" s="244" t="s">
        <v>457</v>
      </c>
      <c r="E22" s="245" t="s">
        <v>458</v>
      </c>
      <c r="H22" s="244" t="s">
        <v>459</v>
      </c>
      <c r="J22" s="245" t="s">
        <v>51</v>
      </c>
      <c r="K22" s="245" t="s">
        <v>51</v>
      </c>
      <c r="R22" s="149"/>
      <c r="S22" s="149"/>
      <c r="T22" s="149"/>
      <c r="U22" s="149"/>
      <c r="V22" s="149"/>
      <c r="W22" s="149">
        <v>0.3</v>
      </c>
      <c r="X22" s="149">
        <v>0.3</v>
      </c>
      <c r="Y22" s="149" t="s">
        <v>224</v>
      </c>
      <c r="Z22" s="150" t="s">
        <v>283</v>
      </c>
      <c r="AB22" s="244" t="s">
        <v>420</v>
      </c>
      <c r="AC22" s="136" t="s">
        <v>39</v>
      </c>
      <c r="AD22" s="136" t="s">
        <v>3</v>
      </c>
      <c r="AE22" s="149">
        <v>0.3</v>
      </c>
      <c r="AF22" s="151" t="s">
        <v>890</v>
      </c>
      <c r="AG22" s="244" t="s">
        <v>871</v>
      </c>
      <c r="AI22" s="151" t="s">
        <v>460</v>
      </c>
      <c r="AJ22" s="151" t="s">
        <v>283</v>
      </c>
      <c r="AK22" s="151" t="s">
        <v>283</v>
      </c>
      <c r="AL22" s="151" t="s">
        <v>283</v>
      </c>
      <c r="AM22" s="151" t="s">
        <v>283</v>
      </c>
      <c r="AN22" s="151" t="s">
        <v>283</v>
      </c>
      <c r="AO22" s="151" t="s">
        <v>283</v>
      </c>
      <c r="AP22" s="151" t="s">
        <v>283</v>
      </c>
      <c r="AQ22" s="155" t="s">
        <v>283</v>
      </c>
      <c r="AR22" s="155" t="s">
        <v>283</v>
      </c>
      <c r="AS22" s="155" t="s">
        <v>283</v>
      </c>
      <c r="AT22" s="155" t="s">
        <v>283</v>
      </c>
      <c r="AU22" s="152" t="s">
        <v>461</v>
      </c>
      <c r="AV22" s="152" t="s">
        <v>548</v>
      </c>
      <c r="AW22" s="152" t="s">
        <v>283</v>
      </c>
      <c r="AX22" s="152" t="s">
        <v>283</v>
      </c>
      <c r="AY22" s="152" t="s">
        <v>283</v>
      </c>
      <c r="BA22" s="245" t="str">
        <f t="array" ref="BA22">_xlfn.CONCAT(IF(NOT(ISERROR(SEARCH(BA$10&amp;". ",$AI22:$AY22))),$AI22:$AY22,""))</f>
        <v>B. Job density of project development</v>
      </c>
      <c r="BB22" s="245" t="str">
        <f t="array" ref="BB22">_xlfn.CONCAT(IF(NOT(ISERROR(SEARCH(BB$10&amp;". ",$AI22:$AY22))),$AI22:$AY22,""))</f>
        <v>C. Job density of typical development</v>
      </c>
      <c r="BC22" s="245" t="str">
        <f t="array" ref="BC22">_xlfn.CONCAT(IF(NOT(ISERROR(SEARCH(BC$10&amp;". ",$AI22:$AY22))),$AI22:$AY22,""))</f>
        <v>D. Elasticity of VMT with respect to job density</v>
      </c>
      <c r="BD22" s="245" t="str">
        <f t="array" ref="BD22">_xlfn.CONCAT(IF(NOT(ISERROR(SEARCH(BD$10&amp;". ",$AI22:$AY22))),$AI22:$AY22,""))</f>
        <v/>
      </c>
      <c r="BE22" s="245" t="str">
        <f t="array" ref="BE22">_xlfn.CONCAT(IF(NOT(ISERROR(SEARCH(BE$10&amp;". ",$AI22:$AY22))),$AI22:$AY22,""))</f>
        <v/>
      </c>
      <c r="BF22" s="245" t="str">
        <f t="array" ref="BF22">_xlfn.CONCAT(IF(NOT(ISERROR(SEARCH(BF$10&amp;". ",$AI22:$AY22))),$AI22:$AY22,""))</f>
        <v/>
      </c>
      <c r="BG22" s="245" t="str">
        <f t="array" ref="BG22">_xlfn.CONCAT(IF(NOT(ISERROR(SEARCH(BG$10&amp;". ",$AI22:$AY22))),$AI22:$AY22,""))</f>
        <v/>
      </c>
      <c r="BH22" s="245" t="str">
        <f t="array" ref="BH22">_xlfn.CONCAT(IF(NOT(ISERROR(SEARCH(BH$10&amp;". ",$AI22:$AY22))),$AI22:$AY22,""))</f>
        <v/>
      </c>
    </row>
    <row r="23" spans="1:60" ht="60" customHeight="1" x14ac:dyDescent="0.25">
      <c r="A23" s="245" t="s">
        <v>286</v>
      </c>
      <c r="B23" s="198" t="s">
        <v>815</v>
      </c>
      <c r="C23" s="244" t="s">
        <v>413</v>
      </c>
      <c r="D23" s="244" t="s">
        <v>414</v>
      </c>
      <c r="E23" s="245" t="s">
        <v>415</v>
      </c>
      <c r="F23" s="244" t="s">
        <v>416</v>
      </c>
      <c r="H23" s="244" t="s">
        <v>417</v>
      </c>
      <c r="I23" s="245" t="s">
        <v>51</v>
      </c>
      <c r="J23" s="245" t="s">
        <v>418</v>
      </c>
      <c r="K23" s="245" t="s">
        <v>51</v>
      </c>
      <c r="M23" s="244" t="s">
        <v>419</v>
      </c>
      <c r="N23" s="244" t="s">
        <v>354</v>
      </c>
      <c r="R23" s="149"/>
      <c r="S23" s="149"/>
      <c r="T23" s="149">
        <v>4.0000000000000002E-4</v>
      </c>
      <c r="U23" s="149">
        <v>1.2E-2</v>
      </c>
      <c r="V23" s="149"/>
      <c r="W23" s="149"/>
      <c r="X23" s="149">
        <v>1.2E-2</v>
      </c>
      <c r="Y23" s="149" t="s">
        <v>223</v>
      </c>
      <c r="Z23" s="150" t="s">
        <v>283</v>
      </c>
      <c r="AB23" s="244" t="s">
        <v>420</v>
      </c>
      <c r="AC23" s="136" t="s">
        <v>809</v>
      </c>
      <c r="AD23" s="136" t="s">
        <v>816</v>
      </c>
      <c r="AE23" s="149">
        <v>1.2E-2</v>
      </c>
      <c r="AF23" s="151" t="s">
        <v>959</v>
      </c>
      <c r="AG23" s="243" t="s">
        <v>884</v>
      </c>
      <c r="AH23" s="244" t="s">
        <v>421</v>
      </c>
      <c r="AI23" s="151" t="s">
        <v>597</v>
      </c>
      <c r="AJ23" s="151" t="s">
        <v>283</v>
      </c>
      <c r="AK23" s="151" t="s">
        <v>283</v>
      </c>
      <c r="AL23" s="151" t="s">
        <v>283</v>
      </c>
      <c r="AM23" s="151" t="s">
        <v>283</v>
      </c>
      <c r="AN23" s="151" t="s">
        <v>283</v>
      </c>
      <c r="AO23" s="151" t="s">
        <v>283</v>
      </c>
      <c r="AP23" s="151" t="s">
        <v>283</v>
      </c>
      <c r="AQ23" s="155" t="s">
        <v>283</v>
      </c>
      <c r="AR23" s="155" t="s">
        <v>283</v>
      </c>
      <c r="AS23" s="155" t="s">
        <v>283</v>
      </c>
      <c r="AT23" s="155" t="s">
        <v>283</v>
      </c>
      <c r="AU23" s="152" t="s">
        <v>598</v>
      </c>
      <c r="AV23" s="152" t="s">
        <v>283</v>
      </c>
      <c r="AW23" s="152" t="s">
        <v>283</v>
      </c>
      <c r="AX23" s="152" t="s">
        <v>283</v>
      </c>
      <c r="AY23" s="152" t="s">
        <v>283</v>
      </c>
      <c r="BA23" s="245" t="str">
        <f t="array" ref="BA23">_xlfn.CONCAT(IF(NOT(ISERROR(SEARCH(BA$10&amp;". ",$AI23:$AY23))),$AI23:$AY23,""))</f>
        <v>B. Percentage of units in project that are deed-restricted BMR housing</v>
      </c>
      <c r="BB23" s="245" t="str">
        <f t="array" ref="BB23">_xlfn.CONCAT(IF(NOT(ISERROR(SEARCH(BB$10&amp;". ",$AI23:$AY23))),$AI23:$AY23,""))</f>
        <v>C. Elasticity</v>
      </c>
      <c r="BC23" s="245" t="str">
        <f t="array" ref="BC23">_xlfn.CONCAT(IF(NOT(ISERROR(SEARCH(BC$10&amp;". ",$AI23:$AY23))),$AI23:$AY23,""))</f>
        <v/>
      </c>
      <c r="BD23" s="245" t="str">
        <f t="array" ref="BD23">_xlfn.CONCAT(IF(NOT(ISERROR(SEARCH(BD$10&amp;". ",$AI23:$AY23))),$AI23:$AY23,""))</f>
        <v/>
      </c>
      <c r="BE23" s="245" t="str">
        <f t="array" ref="BE23">_xlfn.CONCAT(IF(NOT(ISERROR(SEARCH(BE$10&amp;". ",$AI23:$AY23))),$AI23:$AY23,""))</f>
        <v/>
      </c>
      <c r="BF23" s="245" t="str">
        <f t="array" ref="BF23">_xlfn.CONCAT(IF(NOT(ISERROR(SEARCH(BF$10&amp;". ",$AI23:$AY23))),$AI23:$AY23,""))</f>
        <v/>
      </c>
      <c r="BG23" s="245" t="str">
        <f t="array" ref="BG23">_xlfn.CONCAT(IF(NOT(ISERROR(SEARCH(BG$10&amp;". ",$AI23:$AY23))),$AI23:$AY23,""))</f>
        <v/>
      </c>
      <c r="BH23" s="245" t="str">
        <f t="array" ref="BH23">_xlfn.CONCAT(IF(NOT(ISERROR(SEARCH(BH$10&amp;". ",$AI23:$AY23))),$AI23:$AY23,""))</f>
        <v/>
      </c>
    </row>
    <row r="24" spans="1:60" ht="60" customHeight="1" x14ac:dyDescent="0.25">
      <c r="A24" s="245" t="s">
        <v>273</v>
      </c>
      <c r="B24" s="198" t="s">
        <v>933</v>
      </c>
      <c r="C24" s="244" t="s">
        <v>274</v>
      </c>
      <c r="D24" s="244" t="s">
        <v>275</v>
      </c>
      <c r="E24" s="245" t="s">
        <v>932</v>
      </c>
      <c r="G24" s="244" t="s">
        <v>276</v>
      </c>
      <c r="H24" s="244" t="s">
        <v>277</v>
      </c>
      <c r="I24" s="245" t="s">
        <v>52</v>
      </c>
      <c r="J24" s="140" t="s">
        <v>51</v>
      </c>
      <c r="K24" s="245" t="s">
        <v>51</v>
      </c>
      <c r="L24" s="147">
        <v>7.4999999999999997E-2</v>
      </c>
      <c r="M24" s="244" t="s">
        <v>278</v>
      </c>
      <c r="N24" s="148">
        <v>0.2</v>
      </c>
      <c r="O24" s="148"/>
      <c r="P24" s="148"/>
      <c r="Q24" s="148"/>
      <c r="R24" s="149">
        <v>0</v>
      </c>
      <c r="S24" s="149">
        <v>7.4999999999999997E-2</v>
      </c>
      <c r="T24" s="149">
        <v>1E-3</v>
      </c>
      <c r="U24" s="149">
        <v>0.19700000000000001</v>
      </c>
      <c r="V24" s="149">
        <v>0</v>
      </c>
      <c r="W24" s="149">
        <v>0.2</v>
      </c>
      <c r="X24" s="149">
        <v>0.2</v>
      </c>
      <c r="Y24" s="149" t="s">
        <v>224</v>
      </c>
      <c r="Z24" s="150">
        <v>0.125</v>
      </c>
      <c r="AB24" s="244" t="s">
        <v>279</v>
      </c>
      <c r="AC24" s="136" t="s">
        <v>39</v>
      </c>
      <c r="AD24" s="136" t="s">
        <v>3</v>
      </c>
      <c r="AE24" s="149">
        <v>0.2</v>
      </c>
      <c r="AF24" s="151" t="s">
        <v>957</v>
      </c>
      <c r="AG24" s="244" t="s">
        <v>891</v>
      </c>
      <c r="AI24" s="151" t="s">
        <v>280</v>
      </c>
      <c r="AJ24" s="151" t="s">
        <v>281</v>
      </c>
      <c r="AK24" s="151" t="s">
        <v>282</v>
      </c>
      <c r="AL24" s="151" t="s">
        <v>283</v>
      </c>
      <c r="AM24" s="151" t="s">
        <v>283</v>
      </c>
      <c r="AN24" s="151" t="s">
        <v>283</v>
      </c>
      <c r="AO24" s="151" t="s">
        <v>283</v>
      </c>
      <c r="AP24" s="151" t="s">
        <v>283</v>
      </c>
      <c r="AQ24" s="155" t="s">
        <v>283</v>
      </c>
      <c r="AR24" s="155" t="s">
        <v>283</v>
      </c>
      <c r="AS24" s="155" t="s">
        <v>283</v>
      </c>
      <c r="AT24" s="155" t="s">
        <v>283</v>
      </c>
      <c r="AU24" s="152" t="s">
        <v>284</v>
      </c>
      <c r="AV24" s="152" t="s">
        <v>285</v>
      </c>
      <c r="AW24" s="152" t="s">
        <v>283</v>
      </c>
      <c r="AX24" s="152" t="s">
        <v>283</v>
      </c>
      <c r="AY24" s="152" t="s">
        <v>283</v>
      </c>
      <c r="BA24" s="245" t="str">
        <f t="array" ref="BA24">_xlfn.CONCAT(IF(NOT(ISERROR(SEARCH(BA$10&amp;". ",$AI24:$AY24))),$AI24:$AY24,""))</f>
        <v>B. Proposed parking price</v>
      </c>
      <c r="BB24" s="245" t="str">
        <f t="array" ref="BB24">_xlfn.CONCAT(IF(NOT(ISERROR(SEARCH(BB$10&amp;". ",$AI24:$AY24))),$AI24:$AY24,""))</f>
        <v>C. Baseline parking price</v>
      </c>
      <c r="BC24" s="245" t="str">
        <f t="array" ref="BC24">_xlfn.CONCAT(IF(NOT(ISERROR(SEARCH(BC$10&amp;". ",$AI24:$AY24))),$AI24:$AY24,""))</f>
        <v>D. Share of employees paying for parking</v>
      </c>
      <c r="BD24" s="245" t="str">
        <f t="array" ref="BD24">_xlfn.CONCAT(IF(NOT(ISERROR(SEARCH(BD$10&amp;". ",$AI24:$AY24))),$AI24:$AY24,""))</f>
        <v>E. Elasticity of parking demand with respecting
to parking price</v>
      </c>
      <c r="BE24" s="245" t="str">
        <f t="array" ref="BE24">_xlfn.CONCAT(IF(NOT(ISERROR(SEARCH(BE$10&amp;". ",$AI24:$AY24))),$AI24:$AY24,""))</f>
        <v>F. Ratio of vehicle trip reduction to VMT</v>
      </c>
      <c r="BF24" s="245" t="str">
        <f t="array" ref="BF24">_xlfn.CONCAT(IF(NOT(ISERROR(SEARCH(BF$10&amp;". ",$AI24:$AY24))),$AI24:$AY24,""))</f>
        <v/>
      </c>
      <c r="BG24" s="245" t="str">
        <f t="array" ref="BG24">_xlfn.CONCAT(IF(NOT(ISERROR(SEARCH(BG$10&amp;". ",$AI24:$AY24))),$AI24:$AY24,""))</f>
        <v/>
      </c>
      <c r="BH24" s="245" t="str">
        <f t="array" ref="BH24">_xlfn.CONCAT(IF(NOT(ISERROR(SEARCH(BH$10&amp;". ",$AI24:$AY24))),$AI24:$AY24,""))</f>
        <v/>
      </c>
    </row>
    <row r="25" spans="1:60" s="251" customFormat="1" ht="60" customHeight="1" x14ac:dyDescent="0.25">
      <c r="A25" s="251" t="s">
        <v>273</v>
      </c>
      <c r="B25" s="198" t="s">
        <v>931</v>
      </c>
      <c r="C25" s="250"/>
      <c r="D25" s="250" t="s">
        <v>935</v>
      </c>
      <c r="E25" s="251" t="s">
        <v>934</v>
      </c>
      <c r="F25" s="250"/>
      <c r="G25" s="250"/>
      <c r="H25" s="250"/>
      <c r="I25" s="251" t="s">
        <v>51</v>
      </c>
      <c r="J25" s="252" t="s">
        <v>51</v>
      </c>
      <c r="K25" s="251" t="s">
        <v>51</v>
      </c>
      <c r="L25" s="147"/>
      <c r="M25" s="250"/>
      <c r="N25" s="148">
        <v>0.13300000000000001</v>
      </c>
      <c r="O25" s="148"/>
      <c r="P25" s="148"/>
      <c r="Q25" s="148"/>
      <c r="R25" s="149"/>
      <c r="S25" s="149"/>
      <c r="T25" s="149"/>
      <c r="U25" s="149"/>
      <c r="V25" s="149"/>
      <c r="W25" s="149"/>
      <c r="X25" s="149">
        <v>0.13300000000000001</v>
      </c>
      <c r="Y25" s="149" t="s">
        <v>224</v>
      </c>
      <c r="Z25" s="150"/>
      <c r="AB25" s="250" t="s">
        <v>420</v>
      </c>
      <c r="AC25" s="136" t="s">
        <v>39</v>
      </c>
      <c r="AD25" s="136" t="s">
        <v>104</v>
      </c>
      <c r="AE25" s="149">
        <v>0.13300000000000001</v>
      </c>
      <c r="AF25" s="151" t="s">
        <v>950</v>
      </c>
      <c r="AG25" s="250" t="s">
        <v>936</v>
      </c>
      <c r="AI25" s="151" t="s">
        <v>937</v>
      </c>
      <c r="AJ25" s="151"/>
      <c r="AK25" s="151"/>
      <c r="AL25" s="151"/>
      <c r="AM25" s="151"/>
      <c r="AN25" s="151"/>
      <c r="AO25" s="151"/>
      <c r="AP25" s="151"/>
      <c r="AQ25" s="155" t="s">
        <v>938</v>
      </c>
      <c r="AR25" s="155"/>
      <c r="AS25" s="155"/>
      <c r="AT25" s="155"/>
      <c r="AU25" s="152" t="s">
        <v>939</v>
      </c>
      <c r="AV25" s="152" t="s">
        <v>940</v>
      </c>
      <c r="AW25" s="152" t="s">
        <v>349</v>
      </c>
      <c r="AX25" s="152"/>
      <c r="AY25" s="152"/>
      <c r="BA25" s="251" t="s">
        <v>937</v>
      </c>
      <c r="BB25" s="251" t="s">
        <v>938</v>
      </c>
      <c r="BC25" s="251" t="s">
        <v>939</v>
      </c>
      <c r="BD25" s="251" t="s">
        <v>940</v>
      </c>
      <c r="BE25" s="251" t="s">
        <v>349</v>
      </c>
    </row>
    <row r="26" spans="1:60" ht="60" customHeight="1" x14ac:dyDescent="0.25">
      <c r="A26" s="158" t="s">
        <v>273</v>
      </c>
      <c r="B26" s="199" t="s">
        <v>28</v>
      </c>
      <c r="C26" s="159" t="s">
        <v>500</v>
      </c>
      <c r="D26" s="159" t="s">
        <v>501</v>
      </c>
      <c r="E26" s="158" t="s">
        <v>124</v>
      </c>
      <c r="F26" s="159"/>
      <c r="G26" s="159" t="s">
        <v>502</v>
      </c>
      <c r="H26" s="159" t="s">
        <v>503</v>
      </c>
      <c r="I26" s="158" t="s">
        <v>52</v>
      </c>
      <c r="J26" s="164" t="s">
        <v>51</v>
      </c>
      <c r="K26" s="158" t="s">
        <v>51</v>
      </c>
      <c r="L26" s="163">
        <v>0.12</v>
      </c>
      <c r="M26" s="159" t="s">
        <v>504</v>
      </c>
      <c r="N26" s="165">
        <v>0.12</v>
      </c>
      <c r="O26" s="165"/>
      <c r="P26" s="165"/>
      <c r="Q26" s="165"/>
      <c r="R26" s="161">
        <v>0</v>
      </c>
      <c r="S26" s="161">
        <v>0.12</v>
      </c>
      <c r="T26" s="161">
        <v>6.0000000000000001E-3</v>
      </c>
      <c r="U26" s="161">
        <v>7.6999999999999999E-2</v>
      </c>
      <c r="V26" s="161">
        <v>0</v>
      </c>
      <c r="W26" s="161">
        <v>0.12</v>
      </c>
      <c r="X26" s="161">
        <v>0.12</v>
      </c>
      <c r="Y26" s="161" t="s">
        <v>224</v>
      </c>
      <c r="Z26" s="162">
        <v>0</v>
      </c>
      <c r="AA26" s="158"/>
      <c r="AB26" s="159" t="s">
        <v>495</v>
      </c>
      <c r="AC26" s="136" t="s">
        <v>39</v>
      </c>
      <c r="AD26" s="136" t="s">
        <v>3</v>
      </c>
      <c r="AE26" s="149">
        <v>0.12</v>
      </c>
      <c r="AF26" s="151" t="s">
        <v>892</v>
      </c>
      <c r="AG26" s="244" t="s">
        <v>872</v>
      </c>
      <c r="AI26" s="151" t="s">
        <v>505</v>
      </c>
      <c r="AJ26" s="151" t="s">
        <v>283</v>
      </c>
      <c r="AK26" s="151" t="s">
        <v>283</v>
      </c>
      <c r="AL26" s="151" t="s">
        <v>283</v>
      </c>
      <c r="AM26" s="151" t="s">
        <v>283</v>
      </c>
      <c r="AN26" s="151" t="s">
        <v>283</v>
      </c>
      <c r="AO26" s="151" t="s">
        <v>283</v>
      </c>
      <c r="AP26" s="151" t="s">
        <v>283</v>
      </c>
      <c r="AQ26" s="155" t="s">
        <v>283</v>
      </c>
      <c r="AR26" s="155" t="s">
        <v>283</v>
      </c>
      <c r="AS26" s="155" t="s">
        <v>283</v>
      </c>
      <c r="AT26" s="155" t="s">
        <v>283</v>
      </c>
      <c r="AU26" s="152" t="s">
        <v>506</v>
      </c>
      <c r="AV26" s="152" t="s">
        <v>283</v>
      </c>
      <c r="AW26" s="152" t="s">
        <v>283</v>
      </c>
      <c r="AX26" s="152" t="s">
        <v>283</v>
      </c>
      <c r="AY26" s="152" t="s">
        <v>283</v>
      </c>
      <c r="BA26" s="245" t="str">
        <f t="array" ref="BA26">_xlfn.CONCAT(IF(NOT(ISERROR(SEARCH(BA$10&amp;". ",$AI26:$AY26))),$AI26:$AY26,""))</f>
        <v>B. Percentage of employees eligible</v>
      </c>
      <c r="BB26" s="245" t="str">
        <f t="array" ref="BB26">_xlfn.CONCAT(IF(NOT(ISERROR(SEARCH(BB$10&amp;". ",$AI26:$AY26))),$AI26:$AY26,""))</f>
        <v>C. Percent reduction in commute VMT from implementation of measure</v>
      </c>
      <c r="BC26" s="245" t="str">
        <f t="array" ref="BC26">_xlfn.CONCAT(IF(NOT(ISERROR(SEARCH(BC$10&amp;". ",$AI26:$AY26))),$AI26:$AY26,""))</f>
        <v/>
      </c>
      <c r="BD26" s="245" t="str">
        <f t="array" ref="BD26">_xlfn.CONCAT(IF(NOT(ISERROR(SEARCH(BD$10&amp;". ",$AI26:$AY26))),$AI26:$AY26,""))</f>
        <v/>
      </c>
      <c r="BE26" s="245" t="str">
        <f t="array" ref="BE26">_xlfn.CONCAT(IF(NOT(ISERROR(SEARCH(BE$10&amp;". ",$AI26:$AY26))),$AI26:$AY26,""))</f>
        <v/>
      </c>
      <c r="BF26" s="245" t="str">
        <f t="array" ref="BF26">_xlfn.CONCAT(IF(NOT(ISERROR(SEARCH(BF$10&amp;". ",$AI26:$AY26))),$AI26:$AY26,""))</f>
        <v/>
      </c>
      <c r="BG26" s="245" t="str">
        <f t="array" ref="BG26">_xlfn.CONCAT(IF(NOT(ISERROR(SEARCH(BG$10&amp;". ",$AI26:$AY26))),$AI26:$AY26,""))</f>
        <v/>
      </c>
      <c r="BH26" s="245" t="str">
        <f t="array" ref="BH26">_xlfn.CONCAT(IF(NOT(ISERROR(SEARCH(BH$10&amp;". ",$AI26:$AY26))),$AI26:$AY26,""))</f>
        <v/>
      </c>
    </row>
    <row r="27" spans="1:60" ht="60" customHeight="1" x14ac:dyDescent="0.25">
      <c r="A27" s="245" t="s">
        <v>273</v>
      </c>
      <c r="B27" s="198" t="s">
        <v>572</v>
      </c>
      <c r="C27" s="244" t="s">
        <v>436</v>
      </c>
      <c r="D27" s="244" t="s">
        <v>437</v>
      </c>
      <c r="E27" s="245" t="s">
        <v>438</v>
      </c>
      <c r="F27" s="244" t="s">
        <v>439</v>
      </c>
      <c r="H27" s="244" t="s">
        <v>440</v>
      </c>
      <c r="I27" s="245" t="s">
        <v>51</v>
      </c>
      <c r="J27" s="245" t="s">
        <v>51</v>
      </c>
      <c r="K27" s="245" t="s">
        <v>51</v>
      </c>
      <c r="M27" s="244" t="s">
        <v>441</v>
      </c>
      <c r="N27" s="153">
        <v>0.13700000000000001</v>
      </c>
      <c r="O27" s="153"/>
      <c r="P27" s="153"/>
      <c r="Q27" s="153"/>
      <c r="R27" s="149"/>
      <c r="S27" s="149"/>
      <c r="T27" s="149">
        <v>0.05</v>
      </c>
      <c r="U27" s="149">
        <v>0.125</v>
      </c>
      <c r="V27" s="149">
        <v>0</v>
      </c>
      <c r="W27" s="149">
        <v>0.13700000000000001</v>
      </c>
      <c r="X27" s="149">
        <v>0.13700000000000001</v>
      </c>
      <c r="Y27" s="149" t="s">
        <v>224</v>
      </c>
      <c r="Z27" s="150" t="s">
        <v>283</v>
      </c>
      <c r="AB27" s="244" t="s">
        <v>420</v>
      </c>
      <c r="AC27" s="136" t="s">
        <v>39</v>
      </c>
      <c r="AD27" s="136" t="s">
        <v>104</v>
      </c>
      <c r="AE27" s="149">
        <v>0.13700000000000001</v>
      </c>
      <c r="AF27" s="151" t="s">
        <v>956</v>
      </c>
      <c r="AG27" s="244" t="s">
        <v>919</v>
      </c>
      <c r="AI27" s="151" t="s">
        <v>442</v>
      </c>
      <c r="AJ27" s="151" t="s">
        <v>443</v>
      </c>
      <c r="AK27" s="151" t="s">
        <v>444</v>
      </c>
      <c r="AL27" s="151" t="s">
        <v>283</v>
      </c>
      <c r="AM27" s="151" t="s">
        <v>283</v>
      </c>
      <c r="AN27" s="151" t="s">
        <v>283</v>
      </c>
      <c r="AO27" s="151" t="s">
        <v>283</v>
      </c>
      <c r="AP27" s="151" t="s">
        <v>283</v>
      </c>
      <c r="AQ27" s="155" t="s">
        <v>283</v>
      </c>
      <c r="AR27" s="155" t="s">
        <v>283</v>
      </c>
      <c r="AS27" s="155" t="s">
        <v>283</v>
      </c>
      <c r="AT27" s="155" t="s">
        <v>283</v>
      </c>
      <c r="AU27" s="152" t="s">
        <v>445</v>
      </c>
      <c r="AV27" s="152" t="s">
        <v>446</v>
      </c>
      <c r="AW27" s="152" t="s">
        <v>283</v>
      </c>
      <c r="AX27" s="152" t="s">
        <v>283</v>
      </c>
      <c r="AY27" s="152" t="s">
        <v>283</v>
      </c>
      <c r="BA27" s="245" t="str">
        <f t="array" ref="BA27">_xlfn.CONCAT(IF(NOT(ISERROR(SEARCH(BA$10&amp;". ",$AI27:$AY27))),$AI27:$AY27,""))</f>
        <v>B. Residential parking demand</v>
      </c>
      <c r="BB27" s="245" t="str">
        <f t="array" ref="BB27">_xlfn.CONCAT(IF(NOT(ISERROR(SEARCH(BB$10&amp;". ",$AI27:$AY27))),$AI27:$AY27,""))</f>
        <v>C. Project residential parking supply</v>
      </c>
      <c r="BC27" s="245" t="str">
        <f t="array" ref="BC27">_xlfn.CONCAT(IF(NOT(ISERROR(SEARCH(BC$10&amp;". ",$AI27:$AY27))),$AI27:$AY27,""))</f>
        <v>D. Percentage of project VMT generated by residents</v>
      </c>
      <c r="BD27" s="245" t="str">
        <f t="array" ref="BD27">_xlfn.CONCAT(IF(NOT(ISERROR(SEARCH(BD$10&amp;". ",$AI27:$AY27))),$AI27:$AY27,""))</f>
        <v>E. Percent of household VMT that is commute based</v>
      </c>
      <c r="BE27" s="245" t="str">
        <f t="array" ref="BE27">_xlfn.CONCAT(IF(NOT(ISERROR(SEARCH(BE$10&amp;". ",$AI27:$AY27))),$AI27:$AY27,""))</f>
        <v>F. Percent reduction in commute mode share by
driving among households in areas with scarce
parking</v>
      </c>
      <c r="BF27" s="245" t="str">
        <f t="array" ref="BF27">_xlfn.CONCAT(IF(NOT(ISERROR(SEARCH(BF$10&amp;". ",$AI27:$AY27))),$AI27:$AY27,""))</f>
        <v/>
      </c>
      <c r="BG27" s="245" t="str">
        <f t="array" ref="BG27">_xlfn.CONCAT(IF(NOT(ISERROR(SEARCH(BG$10&amp;". ",$AI27:$AY27))),$AI27:$AY27,""))</f>
        <v/>
      </c>
      <c r="BH27" s="245" t="str">
        <f t="array" ref="BH27">_xlfn.CONCAT(IF(NOT(ISERROR(SEARCH(BH$10&amp;". ",$AI27:$AY27))),$AI27:$AY27,""))</f>
        <v/>
      </c>
    </row>
    <row r="28" spans="1:60" ht="60" customHeight="1" x14ac:dyDescent="0.25">
      <c r="A28" s="245" t="s">
        <v>286</v>
      </c>
      <c r="B28" s="198" t="s">
        <v>29</v>
      </c>
      <c r="C28" s="244" t="s">
        <v>331</v>
      </c>
      <c r="D28" s="244" t="s">
        <v>397</v>
      </c>
      <c r="E28" s="245" t="s">
        <v>125</v>
      </c>
      <c r="H28" s="244" t="s">
        <v>398</v>
      </c>
      <c r="I28" s="245" t="s">
        <v>51</v>
      </c>
      <c r="J28" s="245" t="s">
        <v>51</v>
      </c>
      <c r="K28" s="245" t="s">
        <v>52</v>
      </c>
      <c r="L28" s="154">
        <v>0.06</v>
      </c>
      <c r="M28" s="244" t="s">
        <v>331</v>
      </c>
      <c r="N28" s="156">
        <v>0.3</v>
      </c>
      <c r="O28" s="156"/>
      <c r="P28" s="156"/>
      <c r="Q28" s="156"/>
      <c r="R28" s="149">
        <v>0</v>
      </c>
      <c r="S28" s="149">
        <v>0.06</v>
      </c>
      <c r="T28" s="149"/>
      <c r="U28" s="149"/>
      <c r="V28" s="149">
        <v>0</v>
      </c>
      <c r="W28" s="157">
        <v>0.14000000000000001</v>
      </c>
      <c r="X28" s="157">
        <v>0.14000000000000001</v>
      </c>
      <c r="Y28" s="149" t="s">
        <v>224</v>
      </c>
      <c r="Z28" s="150">
        <v>8.0000000000000016E-2</v>
      </c>
      <c r="AB28" s="244" t="s">
        <v>355</v>
      </c>
      <c r="AC28" s="136" t="s">
        <v>809</v>
      </c>
      <c r="AD28" s="136" t="s">
        <v>816</v>
      </c>
      <c r="AE28" s="149">
        <v>0.3</v>
      </c>
      <c r="AF28" s="151" t="s">
        <v>893</v>
      </c>
      <c r="AG28" s="244" t="s">
        <v>923</v>
      </c>
      <c r="AI28" s="151" t="s">
        <v>399</v>
      </c>
      <c r="AJ28" s="151" t="s">
        <v>283</v>
      </c>
      <c r="AK28" s="151" t="s">
        <v>283</v>
      </c>
      <c r="AL28" s="151" t="s">
        <v>283</v>
      </c>
      <c r="AM28" s="151" t="s">
        <v>283</v>
      </c>
      <c r="AN28" s="151" t="s">
        <v>283</v>
      </c>
      <c r="AO28" s="151" t="s">
        <v>283</v>
      </c>
      <c r="AP28" s="151" t="s">
        <v>283</v>
      </c>
      <c r="AQ28" s="155" t="s">
        <v>400</v>
      </c>
      <c r="AR28" s="155" t="s">
        <v>283</v>
      </c>
      <c r="AS28" s="155" t="s">
        <v>283</v>
      </c>
      <c r="AT28" s="155" t="s">
        <v>283</v>
      </c>
      <c r="AU28" s="152" t="s">
        <v>401</v>
      </c>
      <c r="AV28" s="152" t="s">
        <v>283</v>
      </c>
      <c r="AW28" s="152" t="s">
        <v>283</v>
      </c>
      <c r="AX28" s="152" t="s">
        <v>283</v>
      </c>
      <c r="AY28" s="152" t="s">
        <v>283</v>
      </c>
      <c r="BA28" s="245" t="str">
        <f t="array" ref="BA28">_xlfn.CONCAT(IF(NOT(ISERROR(SEARCH(BA$10&amp;". ",$AI28:$AY28))),$AI28:$AY28,""))</f>
        <v>B. Intersection density in project site with measure</v>
      </c>
      <c r="BB28" s="245" t="str">
        <f t="array" ref="BB28">_xlfn.CONCAT(IF(NOT(ISERROR(SEARCH(BB$10&amp;". ",$AI28:$AY28))),$AI28:$AY28,""))</f>
        <v>C. Average intersection density</v>
      </c>
      <c r="BC28" s="245" t="str">
        <f t="array" ref="BC28">_xlfn.CONCAT(IF(NOT(ISERROR(SEARCH(BC$10&amp;". ",$AI28:$AY28))),$AI28:$AY28,""))</f>
        <v>D. Elasticity of VMT with respect to intersection density</v>
      </c>
      <c r="BD28" s="245" t="str">
        <f t="array" ref="BD28">_xlfn.CONCAT(IF(NOT(ISERROR(SEARCH(BD$10&amp;". ",$AI28:$AY28))),$AI28:$AY28,""))</f>
        <v/>
      </c>
      <c r="BE28" s="245" t="str">
        <f t="array" ref="BE28">_xlfn.CONCAT(IF(NOT(ISERROR(SEARCH(BE$10&amp;". ",$AI28:$AY28))),$AI28:$AY28,""))</f>
        <v/>
      </c>
      <c r="BF28" s="245" t="str">
        <f t="array" ref="BF28">_xlfn.CONCAT(IF(NOT(ISERROR(SEARCH(BF$10&amp;". ",$AI28:$AY28))),$AI28:$AY28,""))</f>
        <v/>
      </c>
      <c r="BG28" s="245" t="str">
        <f t="array" ref="BG28">_xlfn.CONCAT(IF(NOT(ISERROR(SEARCH(BG$10&amp;". ",$AI28:$AY28))),$AI28:$AY28,""))</f>
        <v/>
      </c>
      <c r="BH28" s="245" t="str">
        <f t="array" ref="BH28">_xlfn.CONCAT(IF(NOT(ISERROR(SEARCH(BH$10&amp;". ",$AI28:$AY28))),$AI28:$AY28,""))</f>
        <v/>
      </c>
    </row>
    <row r="29" spans="1:60" ht="60" customHeight="1" x14ac:dyDescent="0.25">
      <c r="A29" s="245" t="s">
        <v>286</v>
      </c>
      <c r="B29" s="198" t="s">
        <v>30</v>
      </c>
      <c r="C29" s="244" t="s">
        <v>316</v>
      </c>
      <c r="D29" s="244" t="s">
        <v>317</v>
      </c>
      <c r="E29" s="245" t="s">
        <v>126</v>
      </c>
      <c r="H29" s="244" t="s">
        <v>318</v>
      </c>
      <c r="I29" s="245" t="s">
        <v>51</v>
      </c>
      <c r="J29" s="245" t="s">
        <v>51</v>
      </c>
      <c r="K29" s="245" t="s">
        <v>52</v>
      </c>
      <c r="L29" s="147">
        <v>1.4E-2</v>
      </c>
      <c r="M29" s="148">
        <v>0.02</v>
      </c>
      <c r="N29" s="153">
        <v>3.4000000000000002E-2</v>
      </c>
      <c r="O29" s="153"/>
      <c r="P29" s="153"/>
      <c r="Q29" s="153"/>
      <c r="R29" s="149">
        <v>0</v>
      </c>
      <c r="S29" s="149">
        <v>1.4E-2</v>
      </c>
      <c r="T29" s="149">
        <v>0</v>
      </c>
      <c r="U29" s="149">
        <v>0.02</v>
      </c>
      <c r="V29" s="149">
        <v>0</v>
      </c>
      <c r="W29" s="149">
        <v>3.4000000000000002E-2</v>
      </c>
      <c r="X29" s="149">
        <v>3.4000000000000002E-2</v>
      </c>
      <c r="Y29" s="149" t="s">
        <v>224</v>
      </c>
      <c r="Z29" s="150">
        <v>2.0000000000000004E-2</v>
      </c>
      <c r="AB29" s="244" t="s">
        <v>292</v>
      </c>
      <c r="AC29" s="136" t="s">
        <v>809</v>
      </c>
      <c r="AD29" s="136" t="s">
        <v>816</v>
      </c>
      <c r="AE29" s="149">
        <v>3.4000000000000002E-2</v>
      </c>
      <c r="AF29" s="151" t="s">
        <v>894</v>
      </c>
      <c r="AG29" s="244" t="s">
        <v>873</v>
      </c>
      <c r="AI29" s="151" t="s">
        <v>319</v>
      </c>
      <c r="AJ29" s="151" t="s">
        <v>320</v>
      </c>
      <c r="AK29" s="151" t="s">
        <v>321</v>
      </c>
      <c r="AL29" s="151" t="s">
        <v>283</v>
      </c>
      <c r="AM29" s="151" t="s">
        <v>283</v>
      </c>
      <c r="AN29" s="151" t="s">
        <v>283</v>
      </c>
      <c r="AO29" s="151" t="s">
        <v>283</v>
      </c>
      <c r="AP29" s="151" t="s">
        <v>283</v>
      </c>
      <c r="AQ29" s="155" t="s">
        <v>283</v>
      </c>
      <c r="AR29" s="155" t="s">
        <v>283</v>
      </c>
      <c r="AS29" s="155" t="s">
        <v>283</v>
      </c>
      <c r="AT29" s="155" t="s">
        <v>283</v>
      </c>
      <c r="AU29" s="152" t="s">
        <v>322</v>
      </c>
      <c r="AV29" s="152" t="s">
        <v>283</v>
      </c>
      <c r="AW29" s="152" t="s">
        <v>283</v>
      </c>
      <c r="AX29" s="152" t="s">
        <v>283</v>
      </c>
      <c r="AY29" s="152" t="s">
        <v>283</v>
      </c>
      <c r="BA29" s="245" t="str">
        <f t="array" ref="BA29">_xlfn.CONCAT(IF(NOT(ISERROR(SEARCH(BA$10&amp;". ",$AI29:$AY29))),$AI29:$AY29,""))</f>
        <v>B. Existing street length in study area</v>
      </c>
      <c r="BB29" s="245" t="str">
        <f t="array" ref="BB29">_xlfn.CONCAT(IF(NOT(ISERROR(SEARCH(BB$10&amp;". ",$AI29:$AY29))),$AI29:$AY29,""))</f>
        <v>C. Existing sidewalk length in study area</v>
      </c>
      <c r="BC29" s="245" t="str">
        <f t="array" ref="BC29">_xlfn.CONCAT(IF(NOT(ISERROR(SEARCH(BC$10&amp;". ",$AI29:$AY29))),$AI29:$AY29,""))</f>
        <v>D. Sidewalk length in study area with measure</v>
      </c>
      <c r="BD29" s="245" t="str">
        <f t="array" ref="BD29">_xlfn.CONCAT(IF(NOT(ISERROR(SEARCH(BD$10&amp;". ",$AI29:$AY29))),$AI29:$AY29,""))</f>
        <v>E. Elasticity of VMT with respect to the ratio of
sidewalks-to-streets</v>
      </c>
      <c r="BE29" s="245" t="str">
        <f t="array" ref="BE29">_xlfn.CONCAT(IF(NOT(ISERROR(SEARCH(BE$10&amp;". ",$AI29:$AY29))),$AI29:$AY29,""))</f>
        <v/>
      </c>
      <c r="BF29" s="245" t="str">
        <f t="array" ref="BF29">_xlfn.CONCAT(IF(NOT(ISERROR(SEARCH(BF$10&amp;". ",$AI29:$AY29))),$AI29:$AY29,""))</f>
        <v/>
      </c>
      <c r="BG29" s="245" t="str">
        <f t="array" ref="BG29">_xlfn.CONCAT(IF(NOT(ISERROR(SEARCH(BG$10&amp;". ",$AI29:$AY29))),$AI29:$AY29,""))</f>
        <v/>
      </c>
      <c r="BH29" s="245" t="str">
        <f t="array" ref="BH29">_xlfn.CONCAT(IF(NOT(ISERROR(SEARCH(BH$10&amp;". ",$AI29:$AY29))),$AI29:$AY29,""))</f>
        <v/>
      </c>
    </row>
    <row r="30" spans="1:60" ht="60" customHeight="1" x14ac:dyDescent="0.25">
      <c r="A30" s="245" t="s">
        <v>286</v>
      </c>
      <c r="B30" s="198" t="s">
        <v>31</v>
      </c>
      <c r="C30" s="244" t="s">
        <v>331</v>
      </c>
      <c r="D30" s="244" t="s">
        <v>362</v>
      </c>
      <c r="E30" s="245" t="s">
        <v>127</v>
      </c>
      <c r="H30" s="244" t="s">
        <v>363</v>
      </c>
      <c r="I30" s="245" t="s">
        <v>51</v>
      </c>
      <c r="J30" s="245" t="s">
        <v>51</v>
      </c>
      <c r="K30" s="245" t="s">
        <v>52</v>
      </c>
      <c r="L30" s="154">
        <v>0.05</v>
      </c>
      <c r="M30" s="244" t="s">
        <v>331</v>
      </c>
      <c r="N30" s="153">
        <v>5.0000000000000001E-3</v>
      </c>
      <c r="O30" s="153"/>
      <c r="P30" s="153"/>
      <c r="Q30" s="153"/>
      <c r="R30" s="149">
        <v>0</v>
      </c>
      <c r="S30" s="149">
        <v>0.05</v>
      </c>
      <c r="T30" s="149"/>
      <c r="U30" s="149"/>
      <c r="V30" s="149">
        <v>0</v>
      </c>
      <c r="W30" s="149">
        <v>5.0000000000000001E-3</v>
      </c>
      <c r="X30" s="149">
        <v>5.0000000000000001E-3</v>
      </c>
      <c r="Y30" s="149" t="s">
        <v>224</v>
      </c>
      <c r="Z30" s="150">
        <v>-4.5000000000000005E-2</v>
      </c>
      <c r="AB30" s="244" t="s">
        <v>355</v>
      </c>
      <c r="AC30" s="136" t="s">
        <v>809</v>
      </c>
      <c r="AD30" s="136" t="s">
        <v>816</v>
      </c>
      <c r="AE30" s="149">
        <v>5.0000000000000001E-3</v>
      </c>
      <c r="AF30" s="151" t="s">
        <v>895</v>
      </c>
      <c r="AG30" s="244" t="s">
        <v>896</v>
      </c>
      <c r="AI30" s="151" t="s">
        <v>364</v>
      </c>
      <c r="AJ30" s="151" t="s">
        <v>365</v>
      </c>
      <c r="AK30" s="151" t="s">
        <v>283</v>
      </c>
      <c r="AL30" s="151" t="s">
        <v>283</v>
      </c>
      <c r="AM30" s="151" t="s">
        <v>283</v>
      </c>
      <c r="AN30" s="151" t="s">
        <v>283</v>
      </c>
      <c r="AO30" s="151" t="s">
        <v>283</v>
      </c>
      <c r="AP30" s="151" t="s">
        <v>283</v>
      </c>
      <c r="AQ30" s="155" t="s">
        <v>366</v>
      </c>
      <c r="AR30" s="155" t="s">
        <v>367</v>
      </c>
      <c r="AS30" s="155" t="s">
        <v>368</v>
      </c>
      <c r="AT30" s="155" t="s">
        <v>369</v>
      </c>
      <c r="AU30" s="152" t="s">
        <v>370</v>
      </c>
      <c r="AV30" s="152" t="s">
        <v>283</v>
      </c>
      <c r="AW30" s="152" t="s">
        <v>283</v>
      </c>
      <c r="AX30" s="152" t="s">
        <v>283</v>
      </c>
      <c r="AY30" s="152" t="s">
        <v>283</v>
      </c>
      <c r="BA30" s="245" t="str">
        <f t="array" ref="BA30">_xlfn.CONCAT(IF(NOT(ISERROR(SEARCH(BA$10&amp;". ",$AI30:$AY30))),$AI30:$AY30,""))</f>
        <v>B. Existing bikeway miles (only Class I, II, and
IV) in neighborhood/city</v>
      </c>
      <c r="BB30" s="245" t="str">
        <f t="array" ref="BB30">_xlfn.CONCAT(IF(NOT(ISERROR(SEARCH(BB$10&amp;". ",$AI30:$AY30))),$AI30:$AY30,""))</f>
        <v>C. Bikeway miles (only Class I, II, and IV) in
neighborhood/city with measure</v>
      </c>
      <c r="BC30" s="245" t="str">
        <f t="array" ref="BC30">_xlfn.CONCAT(IF(NOT(ISERROR(SEARCH(BC$10&amp;". ",$AI30:$AY30))),$AI30:$AY30,""))</f>
        <v>D. Bicycle mode share in neighborhood/city</v>
      </c>
      <c r="BD30" s="245" t="str">
        <f t="array" ref="BD30">_xlfn.CONCAT(IF(NOT(ISERROR(SEARCH(BD$10&amp;". ",$AI30:$AY30))),$AI30:$AY30,""))</f>
        <v>E. Vehicle mode share in neighborhood/city</v>
      </c>
      <c r="BE30" s="245" t="str">
        <f t="array" ref="BE30">_xlfn.CONCAT(IF(NOT(ISERROR(SEARCH(BE$10&amp;". ",$AI30:$AY30))),$AI30:$AY30,""))</f>
        <v>F. Average one-way bicycle trip length in
neighborhood/city</v>
      </c>
      <c r="BF30" s="245" t="str">
        <f t="array" ref="BF30">_xlfn.CONCAT(IF(NOT(ISERROR(SEARCH(BF$10&amp;". ",$AI30:$AY30))),$AI30:$AY30,""))</f>
        <v>G. Average one-way vehicle trip length in
neighborhood/city</v>
      </c>
      <c r="BG30" s="245" t="str">
        <f t="array" ref="BG30">_xlfn.CONCAT(IF(NOT(ISERROR(SEARCH(BG$10&amp;". ",$AI30:$AY30))),$AI30:$AY30,""))</f>
        <v>H. Elasticity of bike commuters with respect to
bikeway miles per 10,000 population</v>
      </c>
      <c r="BH30" s="245" t="str">
        <f t="array" ref="BH30">_xlfn.CONCAT(IF(NOT(ISERROR(SEARCH(BH$10&amp;". ",$AI30:$AY30))),$AI30:$AY30,""))</f>
        <v/>
      </c>
    </row>
    <row r="31" spans="1:60" ht="60" customHeight="1" x14ac:dyDescent="0.25">
      <c r="A31" s="245" t="s">
        <v>286</v>
      </c>
      <c r="B31" s="198" t="s">
        <v>32</v>
      </c>
      <c r="C31" s="244" t="s">
        <v>287</v>
      </c>
      <c r="D31" s="244" t="s">
        <v>288</v>
      </c>
      <c r="E31" s="245" t="s">
        <v>128</v>
      </c>
      <c r="G31" s="244" t="s">
        <v>289</v>
      </c>
      <c r="H31" s="244" t="s">
        <v>290</v>
      </c>
      <c r="I31" s="245" t="s">
        <v>51</v>
      </c>
      <c r="J31" s="245" t="s">
        <v>51</v>
      </c>
      <c r="K31" s="245" t="s">
        <v>51</v>
      </c>
      <c r="L31" s="147">
        <v>3.0000000000000001E-3</v>
      </c>
      <c r="M31" s="244" t="s">
        <v>291</v>
      </c>
      <c r="N31" s="148">
        <v>5.0000000000000001E-3</v>
      </c>
      <c r="O31" s="148"/>
      <c r="P31" s="148"/>
      <c r="Q31" s="148"/>
      <c r="R31" s="149">
        <v>0</v>
      </c>
      <c r="S31" s="149">
        <v>3.0000000000000001E-3</v>
      </c>
      <c r="T31" s="149"/>
      <c r="U31" s="149"/>
      <c r="V31" s="149">
        <v>0</v>
      </c>
      <c r="W31" s="149">
        <v>5.0000000000000001E-3</v>
      </c>
      <c r="X31" s="149">
        <v>5.0000000000000001E-3</v>
      </c>
      <c r="Y31" s="149" t="s">
        <v>224</v>
      </c>
      <c r="Z31" s="150">
        <v>2E-3</v>
      </c>
      <c r="AB31" s="167" t="s">
        <v>292</v>
      </c>
      <c r="AC31" s="136" t="s">
        <v>809</v>
      </c>
      <c r="AD31" s="136" t="s">
        <v>177</v>
      </c>
      <c r="AE31" s="149">
        <v>5.0000000000000001E-3</v>
      </c>
      <c r="AF31" s="151" t="s">
        <v>897</v>
      </c>
      <c r="AG31" s="244" t="s">
        <v>874</v>
      </c>
      <c r="AI31" s="151" t="s">
        <v>293</v>
      </c>
      <c r="AJ31" s="151" t="s">
        <v>294</v>
      </c>
      <c r="AK31" s="151" t="s">
        <v>295</v>
      </c>
      <c r="AL31" s="151" t="s">
        <v>296</v>
      </c>
      <c r="AM31" s="151" t="s">
        <v>297</v>
      </c>
      <c r="AN31" s="151" t="s">
        <v>298</v>
      </c>
      <c r="AO31" s="151" t="s">
        <v>299</v>
      </c>
      <c r="AP31" s="151" t="s">
        <v>300</v>
      </c>
      <c r="AQ31" s="155" t="s">
        <v>301</v>
      </c>
      <c r="AR31" s="155" t="s">
        <v>302</v>
      </c>
      <c r="AS31" s="155" t="s">
        <v>283</v>
      </c>
      <c r="AT31" s="155" t="s">
        <v>283</v>
      </c>
      <c r="AU31" s="152" t="s">
        <v>303</v>
      </c>
      <c r="AV31" s="152" t="s">
        <v>304</v>
      </c>
      <c r="AW31" s="152" t="s">
        <v>305</v>
      </c>
      <c r="AX31" s="152" t="s">
        <v>306</v>
      </c>
      <c r="AY31" s="152" t="s">
        <v>307</v>
      </c>
      <c r="BA31" s="245" t="str">
        <f t="array" ref="BA31">_xlfn.CONCAT(IF(NOT(ISERROR(SEARCH(BA$10&amp;". ",$AI31:$AY31))),$AI31:$AY31,""))</f>
        <v>B. Percent of neighborhood/city VMT on parallel
roadway</v>
      </c>
      <c r="BB31" s="245" t="str">
        <f t="array" ref="BB31">_xlfn.CONCAT(IF(NOT(ISERROR(SEARCH(BB$10&amp;". ",$AI31:$AY31))),$AI31:$AY31,""))</f>
        <v>C. Active transportation adjustment factor</v>
      </c>
      <c r="BC31" s="245" t="str">
        <f t="array" ref="BC31">_xlfn.CONCAT(IF(NOT(ISERROR(SEARCH(BC$10&amp;". ",$AI31:$AY31))),$AI31:$AY31,""))</f>
        <v>D. Credits for activity centers near project</v>
      </c>
      <c r="BD31" s="245" t="str">
        <f t="array" ref="BD31">_xlfn.CONCAT(IF(NOT(ISERROR(SEARCH(BD$10&amp;". ",$AI31:$AY31))),$AI31:$AY31,""))</f>
        <v>E. Growth factor adjustment for facility type</v>
      </c>
      <c r="BE31" s="245" t="str">
        <f t="array" ref="BE31">_xlfn.CONCAT(IF(NOT(ISERROR(SEARCH(BE$10&amp;". ",$AI31:$AY31))),$AI31:$AY31,""))</f>
        <v>F. Annual days of use of new facility</v>
      </c>
      <c r="BF31" s="245" t="str">
        <f t="array" ref="BF31">_xlfn.CONCAT(IF(NOT(ISERROR(SEARCH(BF$10&amp;". ",$AI31:$AY31))),$AI31:$AY31,""))</f>
        <v>G. Existing regional average one-way bicycle trip length</v>
      </c>
      <c r="BG31" s="245" t="str">
        <f t="array" ref="BG31">_xlfn.CONCAT(IF(NOT(ISERROR(SEARCH(BG$10&amp;". ",$AI31:$AY31))),$AI31:$AY31,""))</f>
        <v>H. Existing regional average one-way vehicle trip length</v>
      </c>
      <c r="BH31" s="245" t="str">
        <f t="array" ref="BH31">_xlfn.CONCAT(IF(NOT(ISERROR(SEARCH(BH$10&amp;". ",$AI31:$AY31))),$AI31:$AY31,""))</f>
        <v>I. Days per year</v>
      </c>
    </row>
    <row r="32" spans="1:60" ht="60" customHeight="1" x14ac:dyDescent="0.25">
      <c r="A32" s="245" t="s">
        <v>286</v>
      </c>
      <c r="B32" s="198" t="s">
        <v>43</v>
      </c>
      <c r="C32" s="244" t="s">
        <v>350</v>
      </c>
      <c r="D32" s="244" t="s">
        <v>351</v>
      </c>
      <c r="E32" s="245" t="s">
        <v>129</v>
      </c>
      <c r="F32" s="244" t="s">
        <v>352</v>
      </c>
      <c r="H32" s="244" t="s">
        <v>353</v>
      </c>
      <c r="I32" s="245" t="s">
        <v>51</v>
      </c>
      <c r="J32" s="245" t="s">
        <v>51</v>
      </c>
      <c r="K32" s="245" t="s">
        <v>52</v>
      </c>
      <c r="L32" s="147">
        <v>1E-3</v>
      </c>
      <c r="M32" s="244" t="s">
        <v>354</v>
      </c>
      <c r="N32" s="153">
        <v>1E-3</v>
      </c>
      <c r="O32" s="153"/>
      <c r="P32" s="153"/>
      <c r="Q32" s="153"/>
      <c r="R32" s="149">
        <v>0</v>
      </c>
      <c r="S32" s="149">
        <v>1E-3</v>
      </c>
      <c r="T32" s="149"/>
      <c r="U32" s="149"/>
      <c r="V32" s="149">
        <v>0</v>
      </c>
      <c r="W32" s="149">
        <v>1E-3</v>
      </c>
      <c r="X32" s="149">
        <v>1E-3</v>
      </c>
      <c r="Y32" s="149" t="s">
        <v>224</v>
      </c>
      <c r="Z32" s="150">
        <v>0</v>
      </c>
      <c r="AB32" s="244" t="s">
        <v>355</v>
      </c>
      <c r="AC32" s="136" t="s">
        <v>809</v>
      </c>
      <c r="AD32" s="136" t="s">
        <v>816</v>
      </c>
      <c r="AE32" s="149">
        <v>1E-3</v>
      </c>
      <c r="AF32" s="151" t="s">
        <v>953</v>
      </c>
      <c r="AG32" s="244" t="s">
        <v>875</v>
      </c>
      <c r="AI32" s="151" t="s">
        <v>356</v>
      </c>
      <c r="AJ32" s="151" t="s">
        <v>357</v>
      </c>
      <c r="AK32" s="151" t="s">
        <v>283</v>
      </c>
      <c r="AL32" s="151" t="s">
        <v>283</v>
      </c>
      <c r="AM32" s="151" t="s">
        <v>283</v>
      </c>
      <c r="AN32" s="151" t="s">
        <v>283</v>
      </c>
      <c r="AO32" s="151" t="s">
        <v>283</v>
      </c>
      <c r="AP32" s="151" t="s">
        <v>283</v>
      </c>
      <c r="AQ32" s="155" t="s">
        <v>358</v>
      </c>
      <c r="AR32" s="155" t="s">
        <v>283</v>
      </c>
      <c r="AS32" s="155" t="s">
        <v>283</v>
      </c>
      <c r="AT32" s="155" t="s">
        <v>283</v>
      </c>
      <c r="AU32" s="152" t="s">
        <v>359</v>
      </c>
      <c r="AV32" s="152" t="s">
        <v>360</v>
      </c>
      <c r="AW32" s="152" t="s">
        <v>361</v>
      </c>
      <c r="AX32" s="152" t="s">
        <v>560</v>
      </c>
      <c r="AY32" s="152" t="s">
        <v>283</v>
      </c>
      <c r="BA32" s="245" t="str">
        <f t="array" ref="BA32">_xlfn.CONCAT(IF(NOT(ISERROR(SEARCH(BA$10&amp;". ",$AI32:$AY32))),$AI32:$AY32,""))</f>
        <v>B. Percent of residences in neighborhood/city
with access to bikeshare system without
measure</v>
      </c>
      <c r="BB32" s="245" t="str">
        <f t="array" ref="BB32">_xlfn.CONCAT(IF(NOT(ISERROR(SEARCH(BB$10&amp;". ",$AI32:$AY32))),$AI32:$AY32,""))</f>
        <v>C. Percent of residences in neighborhood/city
with access to bikeshare system with measure</v>
      </c>
      <c r="BC32" s="245" t="str">
        <f t="array" ref="BC32">_xlfn.CONCAT(IF(NOT(ISERROR(SEARCH(BC$10&amp;". ",$AI32:$AY32))),$AI32:$AY32,""))</f>
        <v>D. Daily bikeshare trips per person</v>
      </c>
      <c r="BD32" s="245" t="str">
        <f t="array" ref="BD32">_xlfn.CONCAT(IF(NOT(ISERROR(SEARCH(BD$10&amp;". ",$AI32:$AY32))),$AI32:$AY32,""))</f>
        <v>E. Vehicle to bikeshare substitution rate</v>
      </c>
      <c r="BE32" s="245" t="str">
        <f t="array" ref="BE32">_xlfn.CONCAT(IF(NOT(ISERROR(SEARCH(BE$10&amp;". ",$AI32:$AY32))),$AI32:$AY32,""))</f>
        <v>F. Bikeshare average one-way trip length</v>
      </c>
      <c r="BF32" s="245" t="str">
        <f t="array" ref="BF32">_xlfn.CONCAT(IF(NOT(ISERROR(SEARCH(BF$10&amp;". ",$AI32:$AY32))),$AI32:$AY32,""))</f>
        <v>G. Daily vehicle trips per person</v>
      </c>
      <c r="BG32" s="245" t="str">
        <f t="array" ref="BG32">_xlfn.CONCAT(IF(NOT(ISERROR(SEARCH(BG$10&amp;". ",$AI32:$AY32))),$AI32:$AY32,""))</f>
        <v>H. Regional average one-way vehicle trip length</v>
      </c>
      <c r="BH32" s="245" t="str">
        <f t="array" ref="BH32">_xlfn.CONCAT(IF(NOT(ISERROR(SEARCH(BH$10&amp;". ",$AI32:$AY32))),$AI32:$AY32,""))</f>
        <v/>
      </c>
    </row>
    <row r="33" spans="1:60" ht="60" customHeight="1" x14ac:dyDescent="0.25">
      <c r="A33" s="245" t="s">
        <v>286</v>
      </c>
      <c r="B33" s="198" t="s">
        <v>44</v>
      </c>
      <c r="C33" s="244" t="s">
        <v>308</v>
      </c>
      <c r="D33" s="244" t="s">
        <v>309</v>
      </c>
      <c r="E33" s="245" t="s">
        <v>130</v>
      </c>
      <c r="H33" s="244" t="s">
        <v>310</v>
      </c>
      <c r="I33" s="245" t="s">
        <v>51</v>
      </c>
      <c r="J33" s="245" t="s">
        <v>51</v>
      </c>
      <c r="K33" s="245" t="s">
        <v>52</v>
      </c>
      <c r="L33" s="147">
        <v>7.0000000000000001E-3</v>
      </c>
      <c r="M33" s="244" t="s">
        <v>311</v>
      </c>
      <c r="N33" s="153">
        <v>7.0000000000000001E-3</v>
      </c>
      <c r="O33" s="153"/>
      <c r="P33" s="153"/>
      <c r="Q33" s="153"/>
      <c r="R33" s="149">
        <v>0</v>
      </c>
      <c r="S33" s="149">
        <v>7.0000000000000001E-3</v>
      </c>
      <c r="T33" s="149">
        <v>4.0000000000000001E-3</v>
      </c>
      <c r="U33" s="149">
        <v>7.0000000000000001E-3</v>
      </c>
      <c r="V33" s="149">
        <v>0</v>
      </c>
      <c r="W33" s="149">
        <v>7.0000000000000001E-3</v>
      </c>
      <c r="X33" s="149">
        <v>7.0000000000000001E-3</v>
      </c>
      <c r="Y33" s="149" t="s">
        <v>224</v>
      </c>
      <c r="Z33" s="150">
        <v>0</v>
      </c>
      <c r="AB33" s="244" t="s">
        <v>292</v>
      </c>
      <c r="AC33" s="136" t="s">
        <v>809</v>
      </c>
      <c r="AD33" s="136" t="s">
        <v>816</v>
      </c>
      <c r="AE33" s="149">
        <v>7.0000000000000001E-3</v>
      </c>
      <c r="AF33" s="151" t="s">
        <v>898</v>
      </c>
      <c r="AG33" s="244" t="s">
        <v>878</v>
      </c>
      <c r="AI33" s="151" t="s">
        <v>312</v>
      </c>
      <c r="AJ33" s="151" t="s">
        <v>313</v>
      </c>
      <c r="AK33" s="151" t="s">
        <v>283</v>
      </c>
      <c r="AL33" s="151" t="s">
        <v>283</v>
      </c>
      <c r="AM33" s="151" t="s">
        <v>283</v>
      </c>
      <c r="AN33" s="151" t="s">
        <v>283</v>
      </c>
      <c r="AO33" s="151" t="s">
        <v>283</v>
      </c>
      <c r="AP33" s="151" t="s">
        <v>283</v>
      </c>
      <c r="AQ33" s="155" t="s">
        <v>283</v>
      </c>
      <c r="AR33" s="155" t="s">
        <v>283</v>
      </c>
      <c r="AS33" s="155" t="s">
        <v>283</v>
      </c>
      <c r="AT33" s="155" t="s">
        <v>283</v>
      </c>
      <c r="AU33" s="152" t="s">
        <v>314</v>
      </c>
      <c r="AV33" s="152" t="s">
        <v>315</v>
      </c>
      <c r="AW33" s="152" t="s">
        <v>283</v>
      </c>
      <c r="AX33" s="152" t="s">
        <v>283</v>
      </c>
      <c r="AY33" s="152" t="s">
        <v>283</v>
      </c>
      <c r="BA33" s="245" t="str">
        <f t="array" ref="BA33">_xlfn.CONCAT(IF(NOT(ISERROR(SEARCH(BA$10&amp;". ",$AI33:$AY33))),$AI33:$AY33,""))</f>
        <v>B. Percent of residences in neighborhood/city with
access to carsharing without measure</v>
      </c>
      <c r="BB33" s="245" t="str">
        <f t="array" ref="BB33">_xlfn.CONCAT(IF(NOT(ISERROR(SEARCH(BB$10&amp;". ",$AI33:$AY33))),$AI33:$AY33,""))</f>
        <v>C. Percent of residences in neighborhood/city with
access to carsharing with measure</v>
      </c>
      <c r="BC33" s="245" t="str">
        <f t="array" ref="BC33">_xlfn.CONCAT(IF(NOT(ISERROR(SEARCH(BC$10&amp;". ",$AI33:$AY33))),$AI33:$AY33,""))</f>
        <v>D. Percent of adults with carshare access who
become members</v>
      </c>
      <c r="BD33" s="245" t="str">
        <f t="array" ref="BD33">_xlfn.CONCAT(IF(NOT(ISERROR(SEARCH(BD$10&amp;". ",$AI33:$AY33))),$AI33:$AY33,""))</f>
        <v>E. Percent VMT reduction by carshare members</v>
      </c>
      <c r="BE33" s="245" t="str">
        <f t="array" ref="BE33">_xlfn.CONCAT(IF(NOT(ISERROR(SEARCH(BE$10&amp;". ",$AI33:$AY33))),$AI33:$AY33,""))</f>
        <v/>
      </c>
      <c r="BF33" s="245" t="str">
        <f t="array" ref="BF33">_xlfn.CONCAT(IF(NOT(ISERROR(SEARCH(BF$10&amp;". ",$AI33:$AY33))),$AI33:$AY33,""))</f>
        <v/>
      </c>
      <c r="BG33" s="245" t="str">
        <f t="array" ref="BG33">_xlfn.CONCAT(IF(NOT(ISERROR(SEARCH(BG$10&amp;". ",$AI33:$AY33))),$AI33:$AY33,""))</f>
        <v/>
      </c>
      <c r="BH33" s="245" t="str">
        <f t="array" ref="BH33">_xlfn.CONCAT(IF(NOT(ISERROR(SEARCH(BH$10&amp;". ",$AI33:$AY33))),$AI33:$AY33,""))</f>
        <v/>
      </c>
    </row>
    <row r="34" spans="1:60" ht="60" customHeight="1" x14ac:dyDescent="0.25">
      <c r="A34" s="245" t="s">
        <v>286</v>
      </c>
      <c r="B34" s="198" t="s">
        <v>45</v>
      </c>
      <c r="C34" s="244" t="s">
        <v>331</v>
      </c>
      <c r="D34" s="244" t="s">
        <v>341</v>
      </c>
      <c r="E34" s="245" t="s">
        <v>131</v>
      </c>
      <c r="G34" s="244" t="s">
        <v>342</v>
      </c>
      <c r="H34" s="244" t="s">
        <v>343</v>
      </c>
      <c r="I34" s="245" t="s">
        <v>51</v>
      </c>
      <c r="J34" s="245" t="s">
        <v>51</v>
      </c>
      <c r="K34" s="245" t="s">
        <v>52</v>
      </c>
      <c r="L34" s="154">
        <v>0.02</v>
      </c>
      <c r="M34" s="244" t="s">
        <v>331</v>
      </c>
      <c r="N34" s="153">
        <v>2.3E-2</v>
      </c>
      <c r="O34" s="153"/>
      <c r="P34" s="153"/>
      <c r="Q34" s="153"/>
      <c r="R34" s="149">
        <v>0</v>
      </c>
      <c r="S34" s="149">
        <v>0.02</v>
      </c>
      <c r="T34" s="149">
        <v>0</v>
      </c>
      <c r="U34" s="149">
        <v>0.02</v>
      </c>
      <c r="V34" s="149">
        <v>0</v>
      </c>
      <c r="W34" s="149">
        <v>2.3E-2</v>
      </c>
      <c r="X34" s="149">
        <v>2.3E-2</v>
      </c>
      <c r="Y34" s="149" t="s">
        <v>224</v>
      </c>
      <c r="Z34" s="150">
        <v>2.9999999999999992E-3</v>
      </c>
      <c r="AB34" s="244" t="s">
        <v>344</v>
      </c>
      <c r="AC34" s="136" t="s">
        <v>809</v>
      </c>
      <c r="AD34" s="136" t="s">
        <v>816</v>
      </c>
      <c r="AE34" s="149">
        <v>2.3E-2</v>
      </c>
      <c r="AF34" s="151" t="s">
        <v>899</v>
      </c>
      <c r="AG34" s="244" t="s">
        <v>879</v>
      </c>
      <c r="AI34" s="151" t="s">
        <v>345</v>
      </c>
      <c r="AJ34" s="151" t="s">
        <v>346</v>
      </c>
      <c r="AK34" s="151" t="s">
        <v>283</v>
      </c>
      <c r="AL34" s="151" t="s">
        <v>283</v>
      </c>
      <c r="AM34" s="151" t="s">
        <v>283</v>
      </c>
      <c r="AN34" s="151" t="s">
        <v>283</v>
      </c>
      <c r="AO34" s="151" t="s">
        <v>283</v>
      </c>
      <c r="AP34" s="151" t="s">
        <v>283</v>
      </c>
      <c r="AQ34" s="155" t="s">
        <v>283</v>
      </c>
      <c r="AR34" s="155" t="s">
        <v>283</v>
      </c>
      <c r="AS34" s="155" t="s">
        <v>283</v>
      </c>
      <c r="AT34" s="155" t="s">
        <v>283</v>
      </c>
      <c r="AU34" s="152" t="s">
        <v>347</v>
      </c>
      <c r="AV34" s="152" t="s">
        <v>348</v>
      </c>
      <c r="AW34" s="152" t="s">
        <v>349</v>
      </c>
      <c r="AX34" s="152" t="s">
        <v>283</v>
      </c>
      <c r="AY34" s="152" t="s">
        <v>283</v>
      </c>
      <c r="BA34" s="245" t="str">
        <f t="array" ref="BA34">_xlfn.CONCAT(IF(NOT(ISERROR(SEARCH(BA$10&amp;". ",$AI34:$AY34))),$AI34:$AY34,""))</f>
        <v>B. Residences in neighborhood/city</v>
      </c>
      <c r="BB34" s="245" t="str">
        <f t="array" ref="BB34">_xlfn.CONCAT(IF(NOT(ISERROR(SEARCH(BB$10&amp;". ",$AI34:$AY34))),$AI34:$AY34,""))</f>
        <v>C. Residences in neighborhood/city targeted
with CBTP</v>
      </c>
      <c r="BC34" s="245" t="str">
        <f t="array" ref="BC34">_xlfn.CONCAT(IF(NOT(ISERROR(SEARCH(BC$10&amp;". ",$AI34:$AY34))),$AI34:$AY34,""))</f>
        <v>D. Percent of targeted residences that
participate</v>
      </c>
      <c r="BD34" s="245" t="str">
        <f t="array" ref="BD34">_xlfn.CONCAT(IF(NOT(ISERROR(SEARCH(BD$10&amp;". ",$AI34:$AY34))),$AI34:$AY34,""))</f>
        <v>E. Percent vehicle trip reduction by
participating residences</v>
      </c>
      <c r="BE34" s="245" t="str">
        <f t="array" ref="BE34">_xlfn.CONCAT(IF(NOT(ISERROR(SEARCH(BE$10&amp;". ",$AI34:$AY34))),$AI34:$AY34,""))</f>
        <v>F. Adjustment factor from vehicle trips to VMT</v>
      </c>
      <c r="BF34" s="245" t="str">
        <f t="array" ref="BF34">_xlfn.CONCAT(IF(NOT(ISERROR(SEARCH(BF$10&amp;". ",$AI34:$AY34))),$AI34:$AY34,""))</f>
        <v/>
      </c>
      <c r="BG34" s="245" t="str">
        <f t="array" ref="BG34">_xlfn.CONCAT(IF(NOT(ISERROR(SEARCH(BG$10&amp;". ",$AI34:$AY34))),$AI34:$AY34,""))</f>
        <v/>
      </c>
      <c r="BH34" s="245" t="str">
        <f t="array" ref="BH34">_xlfn.CONCAT(IF(NOT(ISERROR(SEARCH(BH$10&amp;". ",$AI34:$AY34))),$AI34:$AY34,""))</f>
        <v/>
      </c>
    </row>
    <row r="35" spans="1:60" ht="60" customHeight="1" x14ac:dyDescent="0.25">
      <c r="A35" s="245" t="s">
        <v>286</v>
      </c>
      <c r="B35" s="198" t="s">
        <v>576</v>
      </c>
      <c r="C35" s="244" t="s">
        <v>473</v>
      </c>
      <c r="D35" s="244" t="s">
        <v>474</v>
      </c>
      <c r="E35" s="245" t="s">
        <v>475</v>
      </c>
      <c r="F35" s="244" t="s">
        <v>416</v>
      </c>
      <c r="H35" s="244" t="s">
        <v>476</v>
      </c>
      <c r="I35" s="245" t="s">
        <v>51</v>
      </c>
      <c r="J35" s="245" t="s">
        <v>418</v>
      </c>
      <c r="K35" s="245" t="s">
        <v>51</v>
      </c>
      <c r="M35" s="244" t="s">
        <v>477</v>
      </c>
      <c r="N35" s="244" t="s">
        <v>354</v>
      </c>
      <c r="R35" s="149"/>
      <c r="S35" s="149"/>
      <c r="T35" s="149">
        <v>2.5000000000000001E-3</v>
      </c>
      <c r="U35" s="149">
        <v>0.01</v>
      </c>
      <c r="V35" s="149"/>
      <c r="W35" s="149"/>
      <c r="X35" s="149">
        <v>0.01</v>
      </c>
      <c r="Y35" s="149" t="s">
        <v>223</v>
      </c>
      <c r="Z35" s="150" t="s">
        <v>283</v>
      </c>
      <c r="AB35" s="244" t="s">
        <v>478</v>
      </c>
      <c r="AC35" s="136" t="s">
        <v>809</v>
      </c>
      <c r="AD35" s="136" t="s">
        <v>816</v>
      </c>
      <c r="AE35" s="149">
        <v>0.01</v>
      </c>
      <c r="AF35" s="151" t="s">
        <v>581</v>
      </c>
      <c r="AG35" s="244" t="s">
        <v>920</v>
      </c>
      <c r="AI35" s="151" t="s">
        <v>599</v>
      </c>
      <c r="AJ35" s="151" t="s">
        <v>600</v>
      </c>
      <c r="AK35" s="151" t="s">
        <v>283</v>
      </c>
      <c r="AL35" s="151" t="s">
        <v>283</v>
      </c>
      <c r="AM35" s="151" t="s">
        <v>283</v>
      </c>
      <c r="AN35" s="151" t="s">
        <v>283</v>
      </c>
      <c r="AO35" s="151" t="s">
        <v>283</v>
      </c>
      <c r="AP35" s="151" t="s">
        <v>283</v>
      </c>
      <c r="AQ35" s="155" t="s">
        <v>283</v>
      </c>
      <c r="AR35" s="155" t="s">
        <v>283</v>
      </c>
      <c r="AS35" s="155" t="s">
        <v>283</v>
      </c>
      <c r="AT35" s="155" t="s">
        <v>283</v>
      </c>
      <c r="AU35" s="152" t="s">
        <v>283</v>
      </c>
      <c r="AV35" s="152" t="s">
        <v>283</v>
      </c>
      <c r="AW35" s="152" t="s">
        <v>283</v>
      </c>
      <c r="AX35" s="152" t="s">
        <v>283</v>
      </c>
      <c r="AY35" s="152" t="s">
        <v>283</v>
      </c>
      <c r="BA35" s="245" t="str">
        <f t="array" ref="BA35">_xlfn.CONCAT(IF(NOT(ISERROR(SEARCH(BA$10&amp;". ",$AI35:$AY35))),$AI35:$AY35,""))</f>
        <v>B. Percentage of streets within project with traffic calming improvements</v>
      </c>
      <c r="BB35" s="245" t="str">
        <f t="array" ref="BB35">_xlfn.CONCAT(IF(NOT(ISERROR(SEARCH(BB$10&amp;". ",$AI35:$AY35))),$AI35:$AY35,""))</f>
        <v>C. Percentage of intersections within project with traffic calming improvements</v>
      </c>
      <c r="BC35" s="245" t="str">
        <f t="array" ref="BC35">_xlfn.CONCAT(IF(NOT(ISERROR(SEARCH(BC$10&amp;". ",$AI35:$AY35))),$AI35:$AY35,""))</f>
        <v/>
      </c>
      <c r="BD35" s="245" t="str">
        <f t="array" ref="BD35">_xlfn.CONCAT(IF(NOT(ISERROR(SEARCH(BD$10&amp;". ",$AI35:$AY35))),$AI35:$AY35,""))</f>
        <v/>
      </c>
      <c r="BE35" s="245" t="str">
        <f t="array" ref="BE35">_xlfn.CONCAT(IF(NOT(ISERROR(SEARCH(BE$10&amp;". ",$AI35:$AY35))),$AI35:$AY35,""))</f>
        <v/>
      </c>
      <c r="BF35" s="245" t="str">
        <f t="array" ref="BF35">_xlfn.CONCAT(IF(NOT(ISERROR(SEARCH(BF$10&amp;". ",$AI35:$AY35))),$AI35:$AY35,""))</f>
        <v/>
      </c>
      <c r="BG35" s="245" t="str">
        <f t="array" ref="BG35">_xlfn.CONCAT(IF(NOT(ISERROR(SEARCH(BG$10&amp;". ",$AI35:$AY35))),$AI35:$AY35,""))</f>
        <v/>
      </c>
      <c r="BH35" s="245" t="str">
        <f t="array" ref="BH35">_xlfn.CONCAT(IF(NOT(ISERROR(SEARCH(BH$10&amp;". ",$AI35:$AY35))),$AI35:$AY35,""))</f>
        <v/>
      </c>
    </row>
    <row r="36" spans="1:60" ht="60" customHeight="1" x14ac:dyDescent="0.25">
      <c r="A36" s="245" t="s">
        <v>273</v>
      </c>
      <c r="B36" s="198" t="s">
        <v>886</v>
      </c>
      <c r="C36" s="244" t="s">
        <v>462</v>
      </c>
      <c r="D36" s="244" t="s">
        <v>463</v>
      </c>
      <c r="E36" s="245" t="s">
        <v>464</v>
      </c>
      <c r="F36" s="244" t="s">
        <v>416</v>
      </c>
      <c r="G36" s="244" t="s">
        <v>465</v>
      </c>
      <c r="I36" s="245" t="s">
        <v>51</v>
      </c>
      <c r="J36" s="245" t="s">
        <v>51</v>
      </c>
      <c r="K36" s="245" t="s">
        <v>52</v>
      </c>
      <c r="M36" s="244" t="s">
        <v>466</v>
      </c>
      <c r="N36" s="244" t="s">
        <v>467</v>
      </c>
      <c r="R36" s="149"/>
      <c r="S36" s="149"/>
      <c r="T36" s="149">
        <v>0</v>
      </c>
      <c r="U36" s="149">
        <v>6.2500000000000003E-3</v>
      </c>
      <c r="V36" s="149">
        <v>1E-3</v>
      </c>
      <c r="W36" s="149">
        <v>4.3999999999999997E-2</v>
      </c>
      <c r="X36" s="149">
        <v>4.3999999999999997E-2</v>
      </c>
      <c r="Y36" s="149" t="s">
        <v>224</v>
      </c>
      <c r="Z36" s="150" t="s">
        <v>283</v>
      </c>
      <c r="AB36" s="244" t="s">
        <v>420</v>
      </c>
      <c r="AC36" s="136" t="s">
        <v>39</v>
      </c>
      <c r="AD36" s="136" t="s">
        <v>104</v>
      </c>
      <c r="AE36" s="149">
        <v>4.3999999999999997E-2</v>
      </c>
      <c r="AF36" s="151" t="s">
        <v>900</v>
      </c>
      <c r="AG36" s="244" t="s">
        <v>880</v>
      </c>
      <c r="AI36" s="151" t="s">
        <v>283</v>
      </c>
      <c r="AJ36" s="151" t="s">
        <v>283</v>
      </c>
      <c r="AK36" s="151" t="s">
        <v>283</v>
      </c>
      <c r="AL36" s="151" t="s">
        <v>283</v>
      </c>
      <c r="AM36" s="151" t="s">
        <v>283</v>
      </c>
      <c r="AN36" s="151" t="s">
        <v>283</v>
      </c>
      <c r="AO36" s="151" t="s">
        <v>283</v>
      </c>
      <c r="AP36" s="151" t="s">
        <v>283</v>
      </c>
      <c r="AQ36" s="155" t="s">
        <v>468</v>
      </c>
      <c r="AR36" s="155" t="s">
        <v>469</v>
      </c>
      <c r="AS36" s="155" t="s">
        <v>470</v>
      </c>
      <c r="AT36" s="155" t="s">
        <v>471</v>
      </c>
      <c r="AU36" s="152" t="s">
        <v>472</v>
      </c>
      <c r="AV36" s="152" t="s">
        <v>283</v>
      </c>
      <c r="AW36" s="152" t="s">
        <v>283</v>
      </c>
      <c r="AX36" s="152" t="s">
        <v>283</v>
      </c>
      <c r="AY36" s="152" t="s">
        <v>283</v>
      </c>
      <c r="BA36" s="245" t="str">
        <f t="array" ref="BA36">_xlfn.CONCAT(IF(NOT(ISERROR(SEARCH(BA$10&amp;". ",$AI36:$AY36))),$AI36:$AY36,""))</f>
        <v>B. Bike mode adjustment factor</v>
      </c>
      <c r="BB36" s="245" t="str">
        <f t="array" ref="BB36">_xlfn.CONCAT(IF(NOT(ISERROR(SEARCH(BB$10&amp;". ",$AI36:$AY36))),$AI36:$AY36,""))</f>
        <v>C. Existing bicycle trip length for all trips in region</v>
      </c>
      <c r="BC36" s="245" t="str">
        <f t="array" ref="BC36">_xlfn.CONCAT(IF(NOT(ISERROR(SEARCH(BC$10&amp;". ",$AI36:$AY36))),$AI36:$AY36,""))</f>
        <v>D. Existing vehicle trip length for all trips in region</v>
      </c>
      <c r="BD36" s="245" t="str">
        <f t="array" ref="BD36">_xlfn.CONCAT(IF(NOT(ISERROR(SEARCH(BD$10&amp;". ",$AI36:$AY36))),$AI36:$AY36,""))</f>
        <v>E. Existing bicycle mode share for work trips in region</v>
      </c>
      <c r="BE36" s="245" t="str">
        <f t="array" ref="BE36">_xlfn.CONCAT(IF(NOT(ISERROR(SEARCH(BE$10&amp;". ",$AI36:$AY36))),$AI36:$AY36,""))</f>
        <v>F. Existing vehicle mode share for work trips in region</v>
      </c>
      <c r="BF36" s="245" t="str">
        <f t="array" ref="BF36">_xlfn.CONCAT(IF(NOT(ISERROR(SEARCH(BF$10&amp;". ",$AI36:$AY36))),$AI36:$AY36,""))</f>
        <v/>
      </c>
      <c r="BG36" s="245" t="str">
        <f t="array" ref="BG36">_xlfn.CONCAT(IF(NOT(ISERROR(SEARCH(BG$10&amp;". ",$AI36:$AY36))),$AI36:$AY36,""))</f>
        <v/>
      </c>
      <c r="BH36" s="245" t="str">
        <f t="array" ref="BH36">_xlfn.CONCAT(IF(NOT(ISERROR(SEARCH(BH$10&amp;". ",$AI36:$AY36))),$AI36:$AY36,""))</f>
        <v/>
      </c>
    </row>
    <row r="37" spans="1:60" ht="60" customHeight="1" x14ac:dyDescent="0.25">
      <c r="A37" s="245" t="s">
        <v>286</v>
      </c>
      <c r="B37" s="198" t="s">
        <v>33</v>
      </c>
      <c r="C37" s="244" t="s">
        <v>402</v>
      </c>
      <c r="D37" s="244" t="s">
        <v>403</v>
      </c>
      <c r="E37" s="245" t="s">
        <v>133</v>
      </c>
      <c r="H37" s="244" t="s">
        <v>404</v>
      </c>
      <c r="I37" s="245" t="s">
        <v>51</v>
      </c>
      <c r="J37" s="245" t="s">
        <v>51</v>
      </c>
      <c r="K37" s="245" t="s">
        <v>52</v>
      </c>
      <c r="L37" s="147">
        <v>5.8999999999999997E-2</v>
      </c>
      <c r="M37" s="244" t="s">
        <v>405</v>
      </c>
      <c r="N37" s="153">
        <v>4.5999999999999999E-2</v>
      </c>
      <c r="O37" s="153"/>
      <c r="P37" s="153"/>
      <c r="Q37" s="153"/>
      <c r="R37" s="149">
        <v>0</v>
      </c>
      <c r="S37" s="149">
        <v>5.8999999999999997E-2</v>
      </c>
      <c r="T37" s="149">
        <v>1E-3</v>
      </c>
      <c r="U37" s="149">
        <v>8.2000000000000003E-2</v>
      </c>
      <c r="V37" s="149">
        <v>0</v>
      </c>
      <c r="W37" s="149">
        <v>4.5999999999999999E-2</v>
      </c>
      <c r="X37" s="149">
        <v>4.5999999999999999E-2</v>
      </c>
      <c r="Y37" s="149" t="s">
        <v>224</v>
      </c>
      <c r="Z37" s="150">
        <v>-1.2999999999999998E-2</v>
      </c>
      <c r="AB37" s="244" t="s">
        <v>406</v>
      </c>
      <c r="AC37" s="136" t="s">
        <v>809</v>
      </c>
      <c r="AD37" s="136" t="s">
        <v>816</v>
      </c>
      <c r="AE37" s="149">
        <v>4.5999999999999999E-2</v>
      </c>
      <c r="AF37" s="151" t="s">
        <v>901</v>
      </c>
      <c r="AG37" s="244" t="s">
        <v>881</v>
      </c>
      <c r="AI37" s="151" t="s">
        <v>407</v>
      </c>
      <c r="AJ37" s="151" t="s">
        <v>408</v>
      </c>
      <c r="AK37" s="151"/>
      <c r="AL37" s="151" t="s">
        <v>283</v>
      </c>
      <c r="AM37" s="151" t="s">
        <v>283</v>
      </c>
      <c r="AN37" s="151" t="s">
        <v>283</v>
      </c>
      <c r="AO37" s="151" t="s">
        <v>283</v>
      </c>
      <c r="AP37" s="151" t="s">
        <v>283</v>
      </c>
      <c r="AQ37" s="155" t="s">
        <v>409</v>
      </c>
      <c r="AR37" s="155" t="s">
        <v>283</v>
      </c>
      <c r="AS37" s="155" t="s">
        <v>283</v>
      </c>
      <c r="AT37" s="155" t="s">
        <v>283</v>
      </c>
      <c r="AU37" s="152" t="s">
        <v>410</v>
      </c>
      <c r="AV37" s="152" t="s">
        <v>411</v>
      </c>
      <c r="AW37" s="152" t="s">
        <v>412</v>
      </c>
      <c r="AX37" s="152" t="s">
        <v>283</v>
      </c>
      <c r="AY37" s="152" t="s">
        <v>283</v>
      </c>
      <c r="BA37" s="245" t="str">
        <f t="array" ref="BA37">_xlfn.CONCAT(IF(NOT(ISERROR(SEARCH(BA$10&amp;". ",$AI37:$AY37))),$AI37:$AY37,""))</f>
        <v>B. Total transit service miles in
neighborhood/city before expansion</v>
      </c>
      <c r="BB37" s="245" t="str">
        <f t="array" ref="BB37">_xlfn.CONCAT(IF(NOT(ISERROR(SEARCH(BB$10&amp;". ",$AI37:$AY37))),$AI37:$AY37,""))</f>
        <v>C. Total transit service miles in
neighborhood/city after expansion</v>
      </c>
      <c r="BC37" s="245" t="str">
        <f t="array" ref="BC37">_xlfn.CONCAT(IF(NOT(ISERROR(SEARCH(BC$10&amp;". ",$AI37:$AY37))),$AI37:$AY37,""))</f>
        <v>D. Transit mode share in neighborhood/city</v>
      </c>
      <c r="BD37" s="245" t="str">
        <f t="array" ref="BD37">_xlfn.CONCAT(IF(NOT(ISERROR(SEARCH(BD$10&amp;". ",$AI37:$AY37))),$AI37:$AY37,""))</f>
        <v>E. Elasticity of transit demand with respect to
service miles</v>
      </c>
      <c r="BE37" s="245" t="str">
        <f t="array" ref="BE37">_xlfn.CONCAT(IF(NOT(ISERROR(SEARCH(BE$10&amp;". ",$AI37:$AY37))),$AI37:$AY37,""))</f>
        <v>F. Statewide mode shift factor</v>
      </c>
      <c r="BF37" s="245" t="str">
        <f t="array" ref="BF37">_xlfn.CONCAT(IF(NOT(ISERROR(SEARCH(BF$10&amp;". ",$AI37:$AY37))),$AI37:$AY37,""))</f>
        <v>G. Ratio of vehicle trip reduction to VMT</v>
      </c>
      <c r="BG37" s="245" t="str">
        <f t="array" ref="BG37">_xlfn.CONCAT(IF(NOT(ISERROR(SEARCH(BG$10&amp;". ",$AI37:$AY37))),$AI37:$AY37,""))</f>
        <v/>
      </c>
      <c r="BH37" s="245" t="str">
        <f t="array" ref="BH37">_xlfn.CONCAT(IF(NOT(ISERROR(SEARCH(BH$10&amp;". ",$AI37:$AY37))),$AI37:$AY37,""))</f>
        <v/>
      </c>
    </row>
    <row r="38" spans="1:60" ht="60" customHeight="1" x14ac:dyDescent="0.25">
      <c r="A38" s="245" t="s">
        <v>286</v>
      </c>
      <c r="B38" s="198" t="s">
        <v>34</v>
      </c>
      <c r="C38" s="244" t="s">
        <v>390</v>
      </c>
      <c r="D38" s="244" t="s">
        <v>391</v>
      </c>
      <c r="E38" s="245" t="s">
        <v>134</v>
      </c>
      <c r="H38" s="244" t="s">
        <v>392</v>
      </c>
      <c r="I38" s="245" t="s">
        <v>51</v>
      </c>
      <c r="J38" s="245" t="s">
        <v>51</v>
      </c>
      <c r="K38" s="245" t="s">
        <v>52</v>
      </c>
      <c r="L38" s="147">
        <v>8.2000000000000003E-2</v>
      </c>
      <c r="M38" s="244" t="s">
        <v>393</v>
      </c>
      <c r="N38" s="153">
        <v>0.113</v>
      </c>
      <c r="O38" s="153"/>
      <c r="P38" s="153"/>
      <c r="Q38" s="153"/>
      <c r="R38" s="149">
        <v>0</v>
      </c>
      <c r="S38" s="149">
        <v>8.2000000000000003E-2</v>
      </c>
      <c r="T38" s="149">
        <v>2.0000000000000001E-4</v>
      </c>
      <c r="U38" s="149">
        <v>2.5000000000000001E-2</v>
      </c>
      <c r="V38" s="149">
        <v>0</v>
      </c>
      <c r="W38" s="149">
        <v>0.113</v>
      </c>
      <c r="X38" s="149">
        <v>0.113</v>
      </c>
      <c r="Y38" s="149" t="s">
        <v>224</v>
      </c>
      <c r="Z38" s="150">
        <v>3.1E-2</v>
      </c>
      <c r="AB38" s="244" t="s">
        <v>355</v>
      </c>
      <c r="AC38" s="136" t="s">
        <v>809</v>
      </c>
      <c r="AD38" s="136" t="s">
        <v>816</v>
      </c>
      <c r="AE38" s="149">
        <v>0.113</v>
      </c>
      <c r="AF38" s="151" t="s">
        <v>902</v>
      </c>
      <c r="AG38" s="244" t="s">
        <v>882</v>
      </c>
      <c r="AI38" s="151" t="s">
        <v>394</v>
      </c>
      <c r="AJ38" s="151" t="s">
        <v>395</v>
      </c>
      <c r="AK38" s="151" t="s">
        <v>283</v>
      </c>
      <c r="AL38" s="151" t="s">
        <v>283</v>
      </c>
      <c r="AM38" s="151" t="s">
        <v>283</v>
      </c>
      <c r="AN38" s="151" t="s">
        <v>283</v>
      </c>
      <c r="AO38" s="151" t="s">
        <v>283</v>
      </c>
      <c r="AP38" s="151" t="s">
        <v>283</v>
      </c>
      <c r="AQ38" s="155" t="s">
        <v>337</v>
      </c>
      <c r="AR38" s="155" t="s">
        <v>338</v>
      </c>
      <c r="AS38" s="155" t="s">
        <v>283</v>
      </c>
      <c r="AT38" s="155" t="s">
        <v>283</v>
      </c>
      <c r="AU38" s="152" t="s">
        <v>396</v>
      </c>
      <c r="AV38" s="152" t="s">
        <v>340</v>
      </c>
      <c r="AW38" s="152" t="s">
        <v>283</v>
      </c>
      <c r="AX38" s="152" t="s">
        <v>283</v>
      </c>
      <c r="AY38" s="152" t="s">
        <v>283</v>
      </c>
      <c r="BA38" s="245" t="str">
        <f t="array" ref="BA38">_xlfn.CONCAT(IF(NOT(ISERROR(SEARCH(BA$10&amp;". ",$AI38:$AY38))),$AI38:$AY38,""))</f>
        <v>B. Percent increase in transit frequency</v>
      </c>
      <c r="BB38" s="245" t="str">
        <f t="array" ref="BB38">_xlfn.CONCAT(IF(NOT(ISERROR(SEARCH(BB$10&amp;". ",$AI38:$AY38))),$AI38:$AY38,""))</f>
        <v>C. Level of implementation</v>
      </c>
      <c r="BC38" s="245" t="str">
        <f t="array" ref="BC38">_xlfn.CONCAT(IF(NOT(ISERROR(SEARCH(BC$10&amp;". ",$AI38:$AY38))),$AI38:$AY38,""))</f>
        <v>D. Elasticity of transit ridership with respect to
frequency of service</v>
      </c>
      <c r="BD38" s="245" t="str">
        <f t="array" ref="BD38">_xlfn.CONCAT(IF(NOT(ISERROR(SEARCH(BD$10&amp;". ",$AI38:$AY38))),$AI38:$AY38,""))</f>
        <v>E. Transit mode share in neighborhood/city</v>
      </c>
      <c r="BE38" s="245" t="str">
        <f t="array" ref="BE38">_xlfn.CONCAT(IF(NOT(ISERROR(SEARCH(BE$10&amp;". ",$AI38:$AY38))),$AI38:$AY38,""))</f>
        <v>F. Vehicle mode share in neighborhood/city</v>
      </c>
      <c r="BF38" s="245" t="str">
        <f t="array" ref="BF38">_xlfn.CONCAT(IF(NOT(ISERROR(SEARCH(BF$10&amp;". ",$AI38:$AY38))),$AI38:$AY38,""))</f>
        <v>G. Statewide mode shift factor</v>
      </c>
      <c r="BG38" s="245" t="str">
        <f t="array" ref="BG38">_xlfn.CONCAT(IF(NOT(ISERROR(SEARCH(BG$10&amp;". ",$AI38:$AY38))),$AI38:$AY38,""))</f>
        <v/>
      </c>
      <c r="BH38" s="245" t="str">
        <f t="array" ref="BH38">_xlfn.CONCAT(IF(NOT(ISERROR(SEARCH(BH$10&amp;". ",$AI38:$AY38))),$AI38:$AY38,""))</f>
        <v/>
      </c>
    </row>
    <row r="39" spans="1:60" ht="60" customHeight="1" x14ac:dyDescent="0.25">
      <c r="A39" s="245" t="s">
        <v>286</v>
      </c>
      <c r="B39" s="198" t="s">
        <v>35</v>
      </c>
      <c r="C39" s="244" t="s">
        <v>371</v>
      </c>
      <c r="D39" s="244" t="s">
        <v>372</v>
      </c>
      <c r="E39" s="245" t="s">
        <v>135</v>
      </c>
      <c r="G39" s="244" t="s">
        <v>373</v>
      </c>
      <c r="H39" s="244" t="s">
        <v>374</v>
      </c>
      <c r="I39" s="245" t="s">
        <v>51</v>
      </c>
      <c r="J39" s="245" t="s">
        <v>51</v>
      </c>
      <c r="K39" s="245" t="s">
        <v>52</v>
      </c>
      <c r="L39" s="147">
        <v>4.0000000000000001E-3</v>
      </c>
      <c r="M39" s="244" t="s">
        <v>354</v>
      </c>
      <c r="N39" s="153">
        <v>6.0000000000000001E-3</v>
      </c>
      <c r="O39" s="153"/>
      <c r="P39" s="153"/>
      <c r="Q39" s="153"/>
      <c r="R39" s="149">
        <v>0</v>
      </c>
      <c r="S39" s="149">
        <v>4.0000000000000001E-3</v>
      </c>
      <c r="T39" s="149"/>
      <c r="U39" s="149"/>
      <c r="V39" s="149">
        <v>0</v>
      </c>
      <c r="W39" s="149">
        <v>6.0000000000000001E-3</v>
      </c>
      <c r="X39" s="149">
        <v>6.0000000000000001E-3</v>
      </c>
      <c r="Y39" s="149" t="s">
        <v>224</v>
      </c>
      <c r="Z39" s="150">
        <v>2E-3</v>
      </c>
      <c r="AB39" s="244" t="s">
        <v>355</v>
      </c>
      <c r="AC39" s="136" t="s">
        <v>809</v>
      </c>
      <c r="AD39" s="136" t="s">
        <v>816</v>
      </c>
      <c r="AE39" s="149">
        <v>6.0000000000000001E-3</v>
      </c>
      <c r="AF39" s="151" t="s">
        <v>903</v>
      </c>
      <c r="AG39" s="244" t="s">
        <v>921</v>
      </c>
      <c r="AI39" s="151" t="s">
        <v>375</v>
      </c>
      <c r="AJ39" s="151" t="s">
        <v>283</v>
      </c>
      <c r="AK39" s="151" t="s">
        <v>283</v>
      </c>
      <c r="AL39" s="151" t="s">
        <v>283</v>
      </c>
      <c r="AM39" s="151" t="s">
        <v>283</v>
      </c>
      <c r="AN39" s="151" t="s">
        <v>283</v>
      </c>
      <c r="AO39" s="151" t="s">
        <v>283</v>
      </c>
      <c r="AP39" s="151" t="s">
        <v>283</v>
      </c>
      <c r="AQ39" s="155" t="s">
        <v>376</v>
      </c>
      <c r="AR39" s="155" t="s">
        <v>377</v>
      </c>
      <c r="AS39" s="155" t="s">
        <v>378</v>
      </c>
      <c r="AT39" s="155" t="s">
        <v>283</v>
      </c>
      <c r="AU39" s="152" t="s">
        <v>379</v>
      </c>
      <c r="AV39" s="152" t="s">
        <v>340</v>
      </c>
      <c r="AW39" s="152" t="s">
        <v>283</v>
      </c>
      <c r="AX39" s="152" t="s">
        <v>283</v>
      </c>
      <c r="AY39" s="152" t="s">
        <v>283</v>
      </c>
      <c r="BA39" s="245" t="str">
        <f t="array" ref="BA39">_xlfn.CONCAT(IF(NOT(ISERROR(SEARCH(BA$10&amp;". ",$AI39:$AY39))),$AI39:$AY39,""))</f>
        <v>B. Percent of neighborhood/city transit
routes that receive treatments</v>
      </c>
      <c r="BB39" s="245" t="str">
        <f t="array" ref="BB39">_xlfn.CONCAT(IF(NOT(ISERROR(SEARCH(BB$10&amp;". ",$AI39:$AY39))),$AI39:$AY39,""))</f>
        <v>C. Percent change in transit travel time due
to treatments</v>
      </c>
      <c r="BC39" s="245" t="str">
        <f t="array" ref="BC39">_xlfn.CONCAT(IF(NOT(ISERROR(SEARCH(BC$10&amp;". ",$AI39:$AY39))),$AI39:$AY39,""))</f>
        <v>D. Elasticity of transit ridership with
respect to transit travel time</v>
      </c>
      <c r="BD39" s="245" t="str">
        <f t="array" ref="BD39">_xlfn.CONCAT(IF(NOT(ISERROR(SEARCH(BD$10&amp;". ",$AI39:$AY39))),$AI39:$AY39,""))</f>
        <v>E. Transit mode share in
neighborhood/city</v>
      </c>
      <c r="BE39" s="245" t="str">
        <f t="array" ref="BE39">_xlfn.CONCAT(IF(NOT(ISERROR(SEARCH(BE$10&amp;". ",$AI39:$AY39))),$AI39:$AY39,""))</f>
        <v>F. Vehicle mode share in
neighborhood/city</v>
      </c>
      <c r="BF39" s="245" t="str">
        <f t="array" ref="BF39">_xlfn.CONCAT(IF(NOT(ISERROR(SEARCH(BF$10&amp;". ",$AI39:$AY39))),$AI39:$AY39,""))</f>
        <v>G. Statewide mode shift factor</v>
      </c>
      <c r="BG39" s="245" t="str">
        <f t="array" ref="BG39">_xlfn.CONCAT(IF(NOT(ISERROR(SEARCH(BG$10&amp;". ",$AI39:$AY39))),$AI39:$AY39,""))</f>
        <v/>
      </c>
      <c r="BH39" s="245" t="str">
        <f t="array" ref="BH39">_xlfn.CONCAT(IF(NOT(ISERROR(SEARCH(BH$10&amp;". ",$AI39:$AY39))),$AI39:$AY39,""))</f>
        <v/>
      </c>
    </row>
    <row r="40" spans="1:60" ht="60" customHeight="1" x14ac:dyDescent="0.25">
      <c r="A40" s="245" t="s">
        <v>286</v>
      </c>
      <c r="B40" s="198" t="s">
        <v>36</v>
      </c>
      <c r="C40" s="244" t="s">
        <v>331</v>
      </c>
      <c r="D40" s="244" t="s">
        <v>332</v>
      </c>
      <c r="E40" s="245" t="s">
        <v>136</v>
      </c>
      <c r="H40" s="244" t="s">
        <v>333</v>
      </c>
      <c r="I40" s="245" t="s">
        <v>51</v>
      </c>
      <c r="J40" s="245" t="s">
        <v>51</v>
      </c>
      <c r="K40" s="245" t="s">
        <v>52</v>
      </c>
      <c r="L40" s="147">
        <v>1.2E-2</v>
      </c>
      <c r="M40" s="244" t="s">
        <v>331</v>
      </c>
      <c r="N40" s="153">
        <v>1.2E-2</v>
      </c>
      <c r="O40" s="153"/>
      <c r="P40" s="153"/>
      <c r="Q40" s="153"/>
      <c r="R40" s="149">
        <v>0</v>
      </c>
      <c r="S40" s="149">
        <v>1.2E-2</v>
      </c>
      <c r="T40" s="149"/>
      <c r="U40" s="149"/>
      <c r="V40" s="149">
        <v>0</v>
      </c>
      <c r="W40" s="149">
        <v>1.2E-2</v>
      </c>
      <c r="X40" s="149">
        <v>1.2E-2</v>
      </c>
      <c r="Y40" s="149" t="s">
        <v>224</v>
      </c>
      <c r="Z40" s="150">
        <v>0</v>
      </c>
      <c r="AB40" s="244" t="s">
        <v>334</v>
      </c>
      <c r="AC40" s="136" t="s">
        <v>809</v>
      </c>
      <c r="AD40" s="136" t="s">
        <v>816</v>
      </c>
      <c r="AE40" s="149">
        <v>1.2E-2</v>
      </c>
      <c r="AF40" s="151" t="s">
        <v>904</v>
      </c>
      <c r="AG40" s="244" t="s">
        <v>882</v>
      </c>
      <c r="AI40" s="151" t="s">
        <v>335</v>
      </c>
      <c r="AJ40" s="151" t="s">
        <v>336</v>
      </c>
      <c r="AK40" s="151" t="s">
        <v>283</v>
      </c>
      <c r="AL40" s="151" t="s">
        <v>283</v>
      </c>
      <c r="AM40" s="151" t="s">
        <v>283</v>
      </c>
      <c r="AN40" s="151" t="s">
        <v>283</v>
      </c>
      <c r="AO40" s="151" t="s">
        <v>283</v>
      </c>
      <c r="AP40" s="151" t="s">
        <v>283</v>
      </c>
      <c r="AQ40" s="155" t="s">
        <v>337</v>
      </c>
      <c r="AR40" s="155" t="s">
        <v>338</v>
      </c>
      <c r="AS40" s="155" t="s">
        <v>283</v>
      </c>
      <c r="AT40" s="155" t="s">
        <v>283</v>
      </c>
      <c r="AU40" s="152" t="s">
        <v>339</v>
      </c>
      <c r="AV40" s="152" t="s">
        <v>340</v>
      </c>
      <c r="AW40" s="152" t="s">
        <v>283</v>
      </c>
      <c r="AX40" s="152" t="s">
        <v>283</v>
      </c>
      <c r="AY40" s="152" t="s">
        <v>283</v>
      </c>
      <c r="BA40" s="245" t="str">
        <f t="array" ref="BA40">_xlfn.CONCAT(IF(NOT(ISERROR(SEARCH(BA$10&amp;". ",$AI40:$AY40))),$AI40:$AY40,""))</f>
        <v>B. Percent reduction in transit fare with
measure</v>
      </c>
      <c r="BB40" s="245" t="str">
        <f t="array" ref="BB40">_xlfn.CONCAT(IF(NOT(ISERROR(SEARCH(BB$10&amp;". ",$AI40:$AY40))),$AI40:$AY40,""))</f>
        <v>C. Percent of neighborhood/city transit
routes that receive reduced fares</v>
      </c>
      <c r="BC40" s="245" t="str">
        <f t="array" ref="BC40">_xlfn.CONCAT(IF(NOT(ISERROR(SEARCH(BC$10&amp;". ",$AI40:$AY40))),$AI40:$AY40,""))</f>
        <v>D. Elasticity of transit ridership with respect
to transit fare</v>
      </c>
      <c r="BD40" s="245" t="str">
        <f t="array" ref="BD40">_xlfn.CONCAT(IF(NOT(ISERROR(SEARCH(BD$10&amp;". ",$AI40:$AY40))),$AI40:$AY40,""))</f>
        <v>E. Transit mode share in neighborhood/city</v>
      </c>
      <c r="BE40" s="245" t="str">
        <f t="array" ref="BE40">_xlfn.CONCAT(IF(NOT(ISERROR(SEARCH(BE$10&amp;". ",$AI40:$AY40))),$AI40:$AY40,""))</f>
        <v>F. Vehicle mode share in neighborhood/city</v>
      </c>
      <c r="BF40" s="245" t="str">
        <f t="array" ref="BF40">_xlfn.CONCAT(IF(NOT(ISERROR(SEARCH(BF$10&amp;". ",$AI40:$AY40))),$AI40:$AY40,""))</f>
        <v>G. Statewide mode shift factor</v>
      </c>
      <c r="BG40" s="245" t="str">
        <f t="array" ref="BG40">_xlfn.CONCAT(IF(NOT(ISERROR(SEARCH(BG$10&amp;". ",$AI40:$AY40))),$AI40:$AY40,""))</f>
        <v/>
      </c>
      <c r="BH40" s="245" t="str">
        <f t="array" ref="BH40">_xlfn.CONCAT(IF(NOT(ISERROR(SEARCH(BH$10&amp;". ",$AI40:$AY40))),$AI40:$AY40,""))</f>
        <v/>
      </c>
    </row>
    <row r="41" spans="1:60" ht="60" customHeight="1" x14ac:dyDescent="0.25">
      <c r="A41" s="158" t="s">
        <v>286</v>
      </c>
      <c r="B41" s="199" t="s">
        <v>37</v>
      </c>
      <c r="C41" s="159" t="s">
        <v>491</v>
      </c>
      <c r="D41" s="159" t="s">
        <v>331</v>
      </c>
      <c r="E41" s="158" t="s">
        <v>132</v>
      </c>
      <c r="F41" s="159"/>
      <c r="G41" s="159"/>
      <c r="H41" s="159" t="s">
        <v>492</v>
      </c>
      <c r="I41" s="158" t="s">
        <v>51</v>
      </c>
      <c r="J41" s="158" t="s">
        <v>418</v>
      </c>
      <c r="K41" s="158" t="s">
        <v>52</v>
      </c>
      <c r="L41" s="160">
        <v>1E-3</v>
      </c>
      <c r="M41" s="159" t="s">
        <v>493</v>
      </c>
      <c r="N41" s="159" t="s">
        <v>331</v>
      </c>
      <c r="O41" s="159"/>
      <c r="P41" s="159"/>
      <c r="Q41" s="159"/>
      <c r="R41" s="161">
        <v>0</v>
      </c>
      <c r="S41" s="161">
        <v>1E-3</v>
      </c>
      <c r="T41" s="161">
        <v>5.0000000000000001E-3</v>
      </c>
      <c r="U41" s="161">
        <v>0.127</v>
      </c>
      <c r="V41" s="161"/>
      <c r="W41" s="161"/>
      <c r="X41" s="161">
        <v>1E-3</v>
      </c>
      <c r="Y41" s="161" t="s">
        <v>494</v>
      </c>
      <c r="Z41" s="162">
        <v>0</v>
      </c>
      <c r="AA41" s="158"/>
      <c r="AB41" s="159" t="s">
        <v>495</v>
      </c>
      <c r="AC41" s="136" t="s">
        <v>809</v>
      </c>
      <c r="AD41" s="136" t="s">
        <v>816</v>
      </c>
      <c r="AE41" s="245" t="s">
        <v>283</v>
      </c>
      <c r="AF41" s="137" t="s">
        <v>283</v>
      </c>
      <c r="AG41" s="245" t="s">
        <v>283</v>
      </c>
      <c r="AH41" s="245" t="s">
        <v>283</v>
      </c>
      <c r="AI41" s="151" t="s">
        <v>283</v>
      </c>
      <c r="AJ41" s="151" t="s">
        <v>283</v>
      </c>
      <c r="AK41" s="151" t="s">
        <v>283</v>
      </c>
      <c r="AL41" s="151" t="s">
        <v>283</v>
      </c>
      <c r="AM41" s="151" t="s">
        <v>283</v>
      </c>
      <c r="AN41" s="151" t="s">
        <v>283</v>
      </c>
      <c r="AO41" s="151" t="s">
        <v>283</v>
      </c>
      <c r="AP41" s="151" t="s">
        <v>283</v>
      </c>
      <c r="AQ41" s="155" t="s">
        <v>283</v>
      </c>
      <c r="AR41" s="155" t="s">
        <v>283</v>
      </c>
      <c r="AS41" s="155" t="s">
        <v>283</v>
      </c>
      <c r="AT41" s="155" t="s">
        <v>283</v>
      </c>
      <c r="AU41" s="152" t="s">
        <v>283</v>
      </c>
      <c r="AV41" s="152" t="s">
        <v>283</v>
      </c>
      <c r="AW41" s="152" t="s">
        <v>283</v>
      </c>
      <c r="AX41" s="152" t="s">
        <v>283</v>
      </c>
      <c r="AY41" s="152" t="s">
        <v>283</v>
      </c>
      <c r="BA41" s="245" t="str">
        <f t="array" ref="BA41">_xlfn.CONCAT(IF(NOT(ISERROR(SEARCH(BA$10&amp;". ",$AI41:$AY41))),$AI41:$AY41,""))</f>
        <v/>
      </c>
      <c r="BB41" s="245" t="str">
        <f t="array" ref="BB41">_xlfn.CONCAT(IF(NOT(ISERROR(SEARCH(BB$10&amp;". ",$AI41:$AY41))),$AI41:$AY41,""))</f>
        <v/>
      </c>
      <c r="BC41" s="245" t="str">
        <f t="array" ref="BC41">_xlfn.CONCAT(IF(NOT(ISERROR(SEARCH(BC$10&amp;". ",$AI41:$AY41))),$AI41:$AY41,""))</f>
        <v/>
      </c>
      <c r="BD41" s="245" t="str">
        <f t="array" ref="BD41">_xlfn.CONCAT(IF(NOT(ISERROR(SEARCH(BD$10&amp;". ",$AI41:$AY41))),$AI41:$AY41,""))</f>
        <v/>
      </c>
      <c r="BE41" s="245" t="str">
        <f t="array" ref="BE41">_xlfn.CONCAT(IF(NOT(ISERROR(SEARCH(BE$10&amp;". ",$AI41:$AY41))),$AI41:$AY41,""))</f>
        <v/>
      </c>
      <c r="BF41" s="245" t="str">
        <f t="array" ref="BF41">_xlfn.CONCAT(IF(NOT(ISERROR(SEARCH(BF$10&amp;". ",$AI41:$AY41))),$AI41:$AY41,""))</f>
        <v/>
      </c>
      <c r="BG41" s="245" t="str">
        <f t="array" ref="BG41">_xlfn.CONCAT(IF(NOT(ISERROR(SEARCH(BG$10&amp;". ",$AI41:$AY41))),$AI41:$AY41,""))</f>
        <v/>
      </c>
      <c r="BH41" s="245" t="str">
        <f t="array" ref="BH41">_xlfn.CONCAT(IF(NOT(ISERROR(SEARCH(BH$10&amp;". ",$AI41:$AY41))),$AI41:$AY41,""))</f>
        <v/>
      </c>
    </row>
  </sheetData>
  <sortState ref="A11:BD41">
    <sortCondition ref="B11:B41"/>
  </sortState>
  <conditionalFormatting sqref="Z11:Z41">
    <cfRule type="colorScale" priority="1">
      <colorScale>
        <cfvo type="min"/>
        <cfvo type="num" val="0"/>
        <cfvo type="max"/>
        <color rgb="FFF8696B"/>
        <color rgb="FFFCFCFF"/>
        <color rgb="FF63BE7B"/>
      </colorScale>
    </cfRule>
  </conditionalFormatting>
  <hyperlinks>
    <hyperlink ref="B38" location="'5B T freq'!A1" display="5B" xr:uid="{F73AFA0F-1526-4154-9033-00746DCA6FCF}"/>
    <hyperlink ref="B39" location="'5C T treatments'!A1" display="5C" xr:uid="{5DA86EFD-02EA-4C02-AAD1-8D122592A0C8}"/>
    <hyperlink ref="B40" location="'5D T fare reduction'!A1" display="5D" xr:uid="{0547776C-F693-415B-AED6-0F93149E5CE1}"/>
    <hyperlink ref="B41" location="'5E microtransit'!A1" display="5E" xr:uid="{B8B94866-E56A-49BF-AC75-4254E0075B1D}"/>
    <hyperlink ref="B37" location="'5A T network exp'!A1" display="5A" xr:uid="{5AE10A04-FD76-4AFC-B6AF-CD06D4FFFBF1}"/>
    <hyperlink ref="B36" location="'4I bike facility'!A1" display="4I" xr:uid="{29D0559F-8759-409A-97E7-240E4BB27EAB}"/>
    <hyperlink ref="B35" location="'4H traffic calming'!A1" display="4H" xr:uid="{0F787A86-2A06-410A-A92C-0FF1AAC7FD8E}"/>
    <hyperlink ref="B34" location="'4G CBTP'!A1" display="4G" xr:uid="{CE44B40D-60FF-417E-9A60-10365927692B}"/>
    <hyperlink ref="B33" location="'4F carshare'!A1" display="4F" xr:uid="{BF0B6E53-EE21-41EA-AD40-B24CF9679D2B}"/>
    <hyperlink ref="B32" location="'4E bikeshare'!A1" display="4E" xr:uid="{5894545F-27FB-4436-A1B6-80759B5545B0}"/>
    <hyperlink ref="B31" location="'4D bike project'!A1" display="4D" xr:uid="{8A28E946-8309-46DC-B99D-E3A3C3C882D6}"/>
    <hyperlink ref="B30" location="'4C bike network'!A1" display="4C" xr:uid="{9DBE2BA1-DA80-41D5-B13E-86771E55FB1C}"/>
    <hyperlink ref="B29" location="'4B sidewalks'!A1" display="4B" xr:uid="{D270B308-248F-46D7-B8AA-9A557F78B505}"/>
    <hyperlink ref="B28" location="'4A street connect'!A1" display="4A" xr:uid="{EEB12A27-778A-4507-8C9C-8AA12E34B849}"/>
    <hyperlink ref="B27" location="'3C limit parking'!A1" display="3C" xr:uid="{0EEE36C3-2D52-4A9E-B410-8BDE7A71EF50}"/>
    <hyperlink ref="B26" location="'3B parking cash-out'!A1" display="3B" xr:uid="{65552651-7496-4588-8046-BC7DD322E1B3}"/>
    <hyperlink ref="B24" location="'3A parking price'!A1" display="3A" xr:uid="{C1CC6BA7-DC8D-492C-9CF9-7CC6FDDE944D}"/>
    <hyperlink ref="B23" location="'2C affordable housing'!A1" display="2C" xr:uid="{EF83E079-5A3C-45C3-AD23-806CDF5575C7}"/>
    <hyperlink ref="B22" location="'2B2 Inc Emp Dens'!A1" display="2B2" xr:uid="{6243DD57-1C2D-4591-A7B6-AAA163021192}"/>
    <hyperlink ref="B21" location="'2B1 Inc Res Dens'!A1" display="2B1" xr:uid="{7F83CD6D-CC3F-448D-B6E7-A0C086865C49}"/>
    <hyperlink ref="B19" location="'2A TOD'!A1" display="2A" xr:uid="{EC5AEB5E-C727-450D-95D3-47FF2E053C22}"/>
    <hyperlink ref="B18" location="'1F telecommute'!A1" display="1F" xr:uid="{DF8A7531-60C8-4A53-9811-BF2AEE723387}"/>
    <hyperlink ref="B17" location="'1E vanpool'!A1" display="1E" xr:uid="{5BE986D0-718B-4D0E-B2E3-94471B872444}"/>
    <hyperlink ref="B14" location="'1D transit subsidy'!A1" display="1D" xr:uid="{440171DB-869E-4EFA-A9F0-ECB19EA79963}"/>
    <hyperlink ref="B13" location="'1C carpool'!A1" display="1C" xr:uid="{10208770-9DD9-486C-8CBF-B65DB1287AB8}"/>
    <hyperlink ref="B12" location="'1B CTR program'!A1" display="1B" xr:uid="{ABE89C02-2F1D-4521-B689-D8EA598568A4}"/>
    <hyperlink ref="B11" location="'1A VCTR program'!A1" display="1A" xr:uid="{4000C6A5-99CF-4B2E-9E6A-4C4CD38F2B54}"/>
    <hyperlink ref="B25" location="'3A2 price res parking'!A1" display="3A2" xr:uid="{F17721B2-8F29-41F0-9DCA-2F26D7DF82B4}"/>
    <hyperlink ref="B15" location="'1D2 transit subsidy (residents)'!A1" display="1D2" xr:uid="{069E53F1-7DFE-4C29-9EEC-47B408B829FE}"/>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C3D5-FBCD-46A9-B092-1CF08A11209E}">
  <sheetPr codeName="Sheet29"/>
  <dimension ref="A1:CS22"/>
  <sheetViews>
    <sheetView topLeftCell="C1" workbookViewId="0">
      <selection activeCell="BM11" sqref="BM11"/>
    </sheetView>
  </sheetViews>
  <sheetFormatPr defaultRowHeight="15" x14ac:dyDescent="0.25"/>
  <cols>
    <col min="1" max="1" width="17.42578125" bestFit="1" customWidth="1"/>
    <col min="3" max="3" width="9.140625" style="43"/>
    <col min="4" max="4" width="49.42578125" style="43" bestFit="1" customWidth="1"/>
    <col min="5" max="5" width="16" style="43" customWidth="1"/>
    <col min="6" max="7" width="9.140625" style="43"/>
    <col min="8" max="8" width="34.140625" style="43" bestFit="1" customWidth="1"/>
    <col min="9" max="9" width="15.140625" style="43" bestFit="1" customWidth="1"/>
    <col min="10" max="12" width="9.140625" style="43"/>
    <col min="13" max="13" width="34.140625" style="43" bestFit="1" customWidth="1"/>
    <col min="14" max="14" width="15.140625" style="43" bestFit="1" customWidth="1"/>
    <col min="15" max="16" width="9.140625" style="43"/>
    <col min="17" max="17" width="34.140625" style="43" bestFit="1" customWidth="1"/>
    <col min="18" max="20" width="9.140625" style="43"/>
    <col min="21" max="21" width="34.140625" style="43" bestFit="1" customWidth="1"/>
    <col min="22" max="25" width="9.140625" style="43"/>
    <col min="26" max="26" width="34.140625" style="43" bestFit="1" customWidth="1"/>
    <col min="27" max="28" width="9.140625" style="43"/>
    <col min="46" max="46" width="38" bestFit="1" customWidth="1"/>
    <col min="48" max="51" width="9.140625" style="230"/>
    <col min="54" max="54" width="34.140625" bestFit="1" customWidth="1"/>
    <col min="66" max="66" width="52" bestFit="1" customWidth="1"/>
    <col min="70" max="70" width="34.140625" bestFit="1" customWidth="1"/>
  </cols>
  <sheetData>
    <row r="1" spans="1:97" x14ac:dyDescent="0.25">
      <c r="A1" s="170" t="s">
        <v>226</v>
      </c>
      <c r="C1" s="43" t="s">
        <v>23</v>
      </c>
      <c r="G1" s="43" t="s">
        <v>653</v>
      </c>
      <c r="L1" s="43" t="s">
        <v>24</v>
      </c>
      <c r="P1" s="43" t="s">
        <v>25</v>
      </c>
      <c r="T1" s="43" t="s">
        <v>654</v>
      </c>
      <c r="V1" s="43" t="s">
        <v>577</v>
      </c>
      <c r="Y1" s="43" t="s">
        <v>31</v>
      </c>
      <c r="AC1" s="43" t="s">
        <v>32</v>
      </c>
      <c r="AL1" t="s">
        <v>32</v>
      </c>
      <c r="AS1" t="s">
        <v>32</v>
      </c>
      <c r="AW1" s="230" t="s">
        <v>32</v>
      </c>
      <c r="BA1" t="s">
        <v>43</v>
      </c>
      <c r="BE1" t="s">
        <v>576</v>
      </c>
      <c r="BM1" t="s">
        <v>577</v>
      </c>
      <c r="BQ1" s="43" t="s">
        <v>577</v>
      </c>
      <c r="BV1" t="s">
        <v>823</v>
      </c>
      <c r="BY1" t="s">
        <v>833</v>
      </c>
      <c r="CB1" t="s">
        <v>835</v>
      </c>
      <c r="CE1" t="s">
        <v>841</v>
      </c>
      <c r="CH1" t="s">
        <v>53</v>
      </c>
    </row>
    <row r="2" spans="1:97" x14ac:dyDescent="0.25">
      <c r="A2" s="170" t="s">
        <v>228</v>
      </c>
      <c r="C2" s="43" t="s">
        <v>626</v>
      </c>
      <c r="G2" s="43" t="s">
        <v>630</v>
      </c>
      <c r="L2" s="43" t="s">
        <v>629</v>
      </c>
      <c r="P2" s="43" t="s">
        <v>641</v>
      </c>
      <c r="T2" s="43" t="s">
        <v>643</v>
      </c>
      <c r="Y2" s="43" t="s">
        <v>644</v>
      </c>
      <c r="AC2" s="43" t="s">
        <v>603</v>
      </c>
      <c r="AL2" t="s">
        <v>616</v>
      </c>
      <c r="AS2" t="s">
        <v>622</v>
      </c>
      <c r="AW2" s="230" t="s">
        <v>656</v>
      </c>
      <c r="BA2" t="s">
        <v>648</v>
      </c>
      <c r="BE2" t="s">
        <v>474</v>
      </c>
      <c r="BM2" t="s">
        <v>649</v>
      </c>
      <c r="BQ2" s="43" t="s">
        <v>650</v>
      </c>
      <c r="BV2" t="s">
        <v>824</v>
      </c>
      <c r="BY2" t="s">
        <v>92</v>
      </c>
      <c r="CB2" t="s">
        <v>63</v>
      </c>
      <c r="CE2" t="s">
        <v>842</v>
      </c>
      <c r="CH2" t="s">
        <v>840</v>
      </c>
    </row>
    <row r="3" spans="1:97" ht="15" customHeight="1" x14ac:dyDescent="0.25">
      <c r="A3" s="170" t="s">
        <v>604</v>
      </c>
      <c r="C3" s="192" t="e">
        <f>INDEX(E11:E14,MATCH(1,C11:C14,0),1)</f>
        <v>#N/A</v>
      </c>
      <c r="G3" s="192">
        <f>INDEX(I11:I16,MATCH(1,G11:G16,0),1)</f>
        <v>0.1138</v>
      </c>
      <c r="H3" s="192">
        <f>INDEX(J11:J16,MATCH(1,G11:G16,0),1)</f>
        <v>0.86960000000000004</v>
      </c>
      <c r="L3" s="192">
        <f>INDEX(N11:N16,MATCH(1,L11:L16,0),1)</f>
        <v>0.25600000000000001</v>
      </c>
      <c r="P3" s="192">
        <f>INDEX(R11:R16,MATCH(1,P11:P16,0),1)</f>
        <v>15.63</v>
      </c>
      <c r="T3" s="192">
        <f>INDEX(V11:V16,MATCH(1,T11:T16,0),1)</f>
        <v>2.1</v>
      </c>
      <c r="U3" s="192">
        <f>INDEX(W11:W16,MATCH(1,T11:T16,0),1)</f>
        <v>12.4</v>
      </c>
      <c r="Y3" s="192">
        <f>INDEX(AA11:AA16,MATCH(1,Y11:Y16,0),1)</f>
        <v>4.7000000000000002E-3</v>
      </c>
      <c r="AC3" s="192" t="e">
        <f>INDEX(AH11:AJ22,MATCH(1,AC11:AC22,0),MATCH(1,AH8:AJ8,0))</f>
        <v>#N/A</v>
      </c>
      <c r="AL3" s="192">
        <f>INDEX(AQ11:AQ14,MATCH(1,AM11:AM14,0),1)+INDEX(AP11:AP14,MATCH(1,AL11:AL14,0),1)</f>
        <v>0</v>
      </c>
      <c r="AS3" s="192" t="e">
        <f>INDEX(AU11:AU13,MATCH(1,AS11:AS13,0),1)</f>
        <v>#N/A</v>
      </c>
      <c r="BA3" s="192">
        <f>INDEX(BC11:BC16,MATCH(1,BA11:BA16,0),1)</f>
        <v>12.43</v>
      </c>
      <c r="BE3" s="192">
        <f>INDEX(BG11:BK15,MATCH(1,BE11:BE15,0),MATCH(1,BG8:BK8,0))</f>
        <v>0</v>
      </c>
      <c r="BM3" s="192" t="e">
        <f>INDEX(BO11:BO12,MATCH(1,BM11:BM12,0),1)</f>
        <v>#N/A</v>
      </c>
      <c r="BQ3" s="192">
        <f>INDEX(BS11:BS16,MATCH(1,BQ11:BQ16,0),1)</f>
        <v>2.8000000000000001E-2</v>
      </c>
      <c r="BR3" s="192">
        <f>INDEX(BT11:BT16,MATCH(1,BQ11:BQ16,0),1)</f>
        <v>0.67100000000000004</v>
      </c>
      <c r="CH3" s="231" t="e">
        <f>INDEX(CJ11:CJ14,MATCH(1,CH11:CH14,0),1)</f>
        <v>#N/A</v>
      </c>
      <c r="CI3" s="229"/>
      <c r="CJ3" s="229"/>
      <c r="CK3" s="229"/>
      <c r="CL3" s="229"/>
      <c r="CM3" s="229"/>
      <c r="CN3" s="229"/>
      <c r="CO3" s="229"/>
      <c r="CP3" s="229"/>
      <c r="CQ3" s="229"/>
      <c r="CR3" s="229"/>
      <c r="CS3" s="229"/>
    </row>
    <row r="4" spans="1:97" ht="177.75" customHeight="1" x14ac:dyDescent="0.25">
      <c r="A4" s="170" t="s">
        <v>605</v>
      </c>
      <c r="CH4" s="229" t="s">
        <v>178</v>
      </c>
      <c r="CI4" s="229"/>
      <c r="CJ4" s="229"/>
      <c r="CK4" s="229"/>
      <c r="CL4" s="229"/>
      <c r="CM4" s="229"/>
      <c r="CN4" s="229"/>
      <c r="CO4" s="229"/>
      <c r="CP4" s="229"/>
      <c r="CQ4" s="229"/>
      <c r="CR4" s="229"/>
      <c r="CS4" s="229"/>
    </row>
    <row r="5" spans="1:97" x14ac:dyDescent="0.25">
      <c r="A5" s="170"/>
      <c r="CH5" s="229"/>
      <c r="CI5" s="229"/>
      <c r="CJ5" s="229"/>
      <c r="CK5" s="229"/>
      <c r="CL5" s="229"/>
      <c r="CM5" s="229"/>
      <c r="CN5" s="229"/>
      <c r="CO5" s="229"/>
      <c r="CP5" s="229"/>
      <c r="CQ5" s="229"/>
      <c r="CR5" s="229"/>
      <c r="CS5" s="229"/>
    </row>
    <row r="6" spans="1:97" ht="15.75" thickBot="1" x14ac:dyDescent="0.3">
      <c r="A6" s="170" t="s">
        <v>612</v>
      </c>
      <c r="D6" s="173" t="e">
        <f>'1C carpool'!E11</f>
        <v>#N/A</v>
      </c>
      <c r="H6" s="173" t="s">
        <v>635</v>
      </c>
      <c r="I6" s="173" t="e">
        <f>'1D1 transit subsidy (employees)'!#REF!</f>
        <v>#REF!</v>
      </c>
      <c r="M6" s="173" t="s">
        <v>635</v>
      </c>
      <c r="N6" s="173" t="e">
        <f>'1D1 transit subsidy (employees)'!#REF!</f>
        <v>#REF!</v>
      </c>
      <c r="Q6" s="173" t="s">
        <v>635</v>
      </c>
      <c r="U6" s="173" t="s">
        <v>635</v>
      </c>
      <c r="Z6" s="173" t="s">
        <v>635</v>
      </c>
      <c r="AD6" s="195">
        <f>'4D bike project'!F30</f>
        <v>0</v>
      </c>
      <c r="AF6" s="195">
        <f>'4D bike project'!F32</f>
        <v>0</v>
      </c>
      <c r="AH6" s="194" t="e">
        <f>'4D bike project'!F36</f>
        <v>#N/A</v>
      </c>
      <c r="AI6" s="194" t="e">
        <f>'4D bike project'!F34</f>
        <v>#N/A</v>
      </c>
      <c r="AP6" s="195">
        <f>'4D bike project'!F40</f>
        <v>0</v>
      </c>
      <c r="AQ6" s="195">
        <f>'4D bike project'!F38</f>
        <v>0</v>
      </c>
      <c r="AT6" s="196">
        <f>'4D bike project'!E42</f>
        <v>0</v>
      </c>
      <c r="BB6" s="173" t="s">
        <v>635</v>
      </c>
      <c r="BE6" s="190">
        <f>'4H traffic calming'!$F$14</f>
        <v>0</v>
      </c>
      <c r="BG6" s="190">
        <f>'4H traffic calming'!$F$12</f>
        <v>0</v>
      </c>
      <c r="BN6" s="173">
        <f>'3D bike parking'!$E$37</f>
        <v>0</v>
      </c>
      <c r="BR6" s="173" t="s">
        <v>635</v>
      </c>
      <c r="CI6" s="228">
        <f>'1F telecommute'!E12</f>
        <v>0</v>
      </c>
    </row>
    <row r="7" spans="1:97" x14ac:dyDescent="0.25">
      <c r="A7" s="170"/>
      <c r="I7" s="31"/>
      <c r="J7" s="31"/>
      <c r="K7" s="31"/>
      <c r="L7" s="31"/>
      <c r="M7" s="31"/>
      <c r="N7" s="31"/>
      <c r="AH7" s="176" t="s">
        <v>615</v>
      </c>
      <c r="AI7" s="177"/>
      <c r="AJ7" s="178"/>
      <c r="BG7" s="189" t="s">
        <v>615</v>
      </c>
      <c r="BH7" s="177"/>
      <c r="BI7" s="177"/>
      <c r="BJ7" s="177"/>
      <c r="BK7" s="178"/>
    </row>
    <row r="8" spans="1:97" ht="15.75" thickBot="1" x14ac:dyDescent="0.3">
      <c r="A8" s="170"/>
      <c r="AH8" s="183" t="e">
        <f>IF(AH6="Yes",1,0)</f>
        <v>#N/A</v>
      </c>
      <c r="AI8" s="184" t="e">
        <f>IF(AH6="Yes",0,IF(AI6=AI10,1,0))</f>
        <v>#N/A</v>
      </c>
      <c r="AJ8" s="185" t="e">
        <f>IF(AH6="Yes",0,IF(AI6=AJ10,1,0))</f>
        <v>#N/A</v>
      </c>
      <c r="BG8" s="183">
        <f>IF(BG10=$BG$6,1,0)</f>
        <v>1</v>
      </c>
      <c r="BH8" s="184">
        <f t="shared" ref="BH8:BI8" si="0">IF(BH10=$BG$6,1,0)</f>
        <v>0</v>
      </c>
      <c r="BI8" s="184">
        <f t="shared" si="0"/>
        <v>0</v>
      </c>
      <c r="BJ8" s="184">
        <f t="shared" ref="BJ8:BK8" si="1">IF(BJ10=$BG$6,1,0)</f>
        <v>0</v>
      </c>
      <c r="BK8" s="179">
        <f t="shared" si="1"/>
        <v>0</v>
      </c>
    </row>
    <row r="9" spans="1:97" ht="60.75" thickBot="1" x14ac:dyDescent="0.3">
      <c r="D9" s="29" t="s">
        <v>20</v>
      </c>
      <c r="E9" s="29" t="s">
        <v>628</v>
      </c>
      <c r="H9" s="29" t="s">
        <v>633</v>
      </c>
      <c r="I9" s="43" t="s">
        <v>631</v>
      </c>
      <c r="M9" s="29" t="s">
        <v>633</v>
      </c>
      <c r="N9" s="29" t="s">
        <v>640</v>
      </c>
      <c r="Q9" s="29" t="s">
        <v>633</v>
      </c>
      <c r="R9" s="29" t="s">
        <v>642</v>
      </c>
      <c r="U9" s="29" t="s">
        <v>633</v>
      </c>
      <c r="V9" s="174" t="s">
        <v>647</v>
      </c>
      <c r="W9" s="174"/>
      <c r="Z9" s="29" t="s">
        <v>633</v>
      </c>
      <c r="AA9" s="29" t="s">
        <v>645</v>
      </c>
      <c r="AD9" s="174" t="s">
        <v>606</v>
      </c>
      <c r="AE9" s="175"/>
      <c r="AF9" s="174" t="s">
        <v>609</v>
      </c>
      <c r="AG9" s="175"/>
      <c r="AH9" s="29" t="s">
        <v>611</v>
      </c>
      <c r="AI9" s="174" t="s">
        <v>610</v>
      </c>
      <c r="AJ9" s="175"/>
      <c r="AL9" s="174" t="s">
        <v>620</v>
      </c>
      <c r="AM9" s="174" t="s">
        <v>621</v>
      </c>
      <c r="AN9" s="174" t="s">
        <v>617</v>
      </c>
      <c r="AO9" s="175"/>
      <c r="AP9" s="174" t="s">
        <v>618</v>
      </c>
      <c r="AQ9" s="174" t="s">
        <v>619</v>
      </c>
      <c r="BA9" s="43"/>
      <c r="BB9" s="29" t="s">
        <v>633</v>
      </c>
      <c r="BC9" s="29" t="s">
        <v>642</v>
      </c>
      <c r="BQ9" s="43"/>
      <c r="BR9" s="29" t="s">
        <v>633</v>
      </c>
      <c r="BS9" s="43" t="s">
        <v>631</v>
      </c>
      <c r="BT9" s="43"/>
    </row>
    <row r="10" spans="1:97" ht="30" x14ac:dyDescent="0.25">
      <c r="C10" s="180" t="s">
        <v>615</v>
      </c>
      <c r="G10" s="180" t="s">
        <v>615</v>
      </c>
      <c r="I10" s="43" t="s">
        <v>85</v>
      </c>
      <c r="J10" s="43" t="s">
        <v>632</v>
      </c>
      <c r="L10" s="180" t="s">
        <v>615</v>
      </c>
      <c r="P10" s="180" t="s">
        <v>615</v>
      </c>
      <c r="T10" s="180" t="s">
        <v>615</v>
      </c>
      <c r="V10" s="43" t="s">
        <v>646</v>
      </c>
      <c r="W10" s="43" t="s">
        <v>632</v>
      </c>
      <c r="Y10" s="180" t="s">
        <v>615</v>
      </c>
      <c r="AC10" s="180" t="s">
        <v>615</v>
      </c>
      <c r="AD10" s="29" t="s">
        <v>607</v>
      </c>
      <c r="AE10" t="s">
        <v>608</v>
      </c>
      <c r="AF10" s="29" t="s">
        <v>607</v>
      </c>
      <c r="AG10" s="43" t="s">
        <v>608</v>
      </c>
      <c r="AH10" s="29" t="s">
        <v>614</v>
      </c>
      <c r="AI10" s="29" t="s">
        <v>613</v>
      </c>
      <c r="AJ10" s="29" t="s">
        <v>614</v>
      </c>
      <c r="AL10" s="180" t="s">
        <v>615</v>
      </c>
      <c r="AM10" s="180" t="s">
        <v>615</v>
      </c>
      <c r="AN10" s="29" t="s">
        <v>607</v>
      </c>
      <c r="AO10" s="43" t="s">
        <v>608</v>
      </c>
      <c r="AP10" t="s">
        <v>614</v>
      </c>
      <c r="AQ10" t="s">
        <v>614</v>
      </c>
      <c r="AS10" s="180" t="s">
        <v>615</v>
      </c>
      <c r="AW10" s="171" t="s">
        <v>656</v>
      </c>
      <c r="BA10" s="180" t="s">
        <v>615</v>
      </c>
      <c r="BB10" s="43"/>
      <c r="BC10" s="43"/>
      <c r="BE10" s="180" t="s">
        <v>615</v>
      </c>
      <c r="BF10" s="187"/>
      <c r="BG10" s="187">
        <v>0</v>
      </c>
      <c r="BH10" s="187">
        <v>0.25</v>
      </c>
      <c r="BI10" s="187">
        <v>0.5</v>
      </c>
      <c r="BJ10" s="187">
        <v>0.75</v>
      </c>
      <c r="BK10" s="187">
        <v>1</v>
      </c>
      <c r="BM10" s="180" t="s">
        <v>615</v>
      </c>
      <c r="BQ10" s="180" t="s">
        <v>615</v>
      </c>
      <c r="BR10" s="43"/>
      <c r="BS10" s="43" t="s">
        <v>646</v>
      </c>
      <c r="BT10" s="43" t="s">
        <v>632</v>
      </c>
      <c r="BV10" s="171" t="s">
        <v>165</v>
      </c>
      <c r="BY10" s="171" t="s">
        <v>834</v>
      </c>
      <c r="CB10" s="171" t="s">
        <v>836</v>
      </c>
      <c r="CE10" s="171" t="s">
        <v>100</v>
      </c>
      <c r="CH10" s="232" t="s">
        <v>615</v>
      </c>
      <c r="CI10" s="171" t="s">
        <v>48</v>
      </c>
      <c r="CJ10" s="171" t="s">
        <v>49</v>
      </c>
    </row>
    <row r="11" spans="1:97" x14ac:dyDescent="0.25">
      <c r="C11" s="181" t="e">
        <f>IF(D11=$D$6,1,0)</f>
        <v>#N/A</v>
      </c>
      <c r="D11" s="43" t="s">
        <v>627</v>
      </c>
      <c r="E11" s="42">
        <v>-0.08</v>
      </c>
      <c r="G11" s="181">
        <v>0</v>
      </c>
      <c r="H11" s="186" t="s">
        <v>638</v>
      </c>
      <c r="I11" s="187">
        <v>4.2299999999999997E-2</v>
      </c>
      <c r="J11" s="187">
        <v>0.94189999999999996</v>
      </c>
      <c r="L11" s="181">
        <v>0</v>
      </c>
      <c r="M11" s="186" t="s">
        <v>638</v>
      </c>
      <c r="N11" s="187">
        <v>5.3900000000000003E-2</v>
      </c>
      <c r="P11" s="181">
        <v>0</v>
      </c>
      <c r="Q11" s="186" t="s">
        <v>638</v>
      </c>
      <c r="R11" s="43">
        <v>14.07</v>
      </c>
      <c r="T11" s="181">
        <v>0</v>
      </c>
      <c r="U11" s="186" t="s">
        <v>638</v>
      </c>
      <c r="V11" s="43">
        <v>1.7</v>
      </c>
      <c r="W11" s="43">
        <v>9.6999999999999993</v>
      </c>
      <c r="Y11" s="181">
        <v>0</v>
      </c>
      <c r="Z11" s="186" t="s">
        <v>638</v>
      </c>
      <c r="AA11" s="187">
        <v>1.8E-3</v>
      </c>
      <c r="AC11" s="181">
        <f>IF(AND(AD11&lt;=$AD$6,$AD$6&lt;=AE11,AF11&lt;=$AF$6,$AF$6&lt;=AG11),1,0)</f>
        <v>0</v>
      </c>
      <c r="AD11">
        <v>1</v>
      </c>
      <c r="AE11">
        <v>12000</v>
      </c>
      <c r="AF11">
        <v>0</v>
      </c>
      <c r="AG11">
        <v>1.0189999999999999</v>
      </c>
      <c r="AH11">
        <v>1.9E-3</v>
      </c>
      <c r="AI11" s="43">
        <v>1.9E-3</v>
      </c>
      <c r="AJ11" s="43">
        <v>1.04E-2</v>
      </c>
      <c r="AL11" s="181">
        <f>IF(AND(AN11&lt;=$AP$6,$AP$6&lt;=AO11),1,0)</f>
        <v>1</v>
      </c>
      <c r="AM11" s="181">
        <f>IF(AND(AN11&lt;=$AQ$6,$AQ$6&lt;=AO11),1,0)</f>
        <v>1</v>
      </c>
      <c r="AN11">
        <v>0</v>
      </c>
      <c r="AO11">
        <v>2</v>
      </c>
      <c r="AP11" s="43">
        <v>0</v>
      </c>
      <c r="AQ11" s="43">
        <v>0</v>
      </c>
      <c r="AS11" s="181">
        <f>IF(AT11=$AT$6,1,0)</f>
        <v>0</v>
      </c>
      <c r="AT11" s="186" t="s">
        <v>624</v>
      </c>
      <c r="AU11">
        <v>1.54</v>
      </c>
      <c r="AW11" s="230" t="s">
        <v>624</v>
      </c>
      <c r="BA11" s="181">
        <v>0</v>
      </c>
      <c r="BB11" s="186" t="s">
        <v>638</v>
      </c>
      <c r="BC11" s="188">
        <v>9.7200000000000006</v>
      </c>
      <c r="BE11" s="181">
        <f>IF(BF11=$BE$6,1,0)</f>
        <v>1</v>
      </c>
      <c r="BF11" s="187">
        <v>0</v>
      </c>
      <c r="BG11" s="187">
        <v>0</v>
      </c>
      <c r="BH11" s="187">
        <v>0</v>
      </c>
      <c r="BI11" s="187">
        <v>0</v>
      </c>
      <c r="BJ11" s="187">
        <v>0</v>
      </c>
      <c r="BK11" s="187">
        <v>0</v>
      </c>
      <c r="BM11" s="181">
        <f>IF(BN11=$BN$6,1,0)</f>
        <v>0</v>
      </c>
      <c r="BN11" t="s">
        <v>651</v>
      </c>
      <c r="BO11">
        <v>1.78</v>
      </c>
      <c r="BQ11" s="181">
        <v>0</v>
      </c>
      <c r="BR11" s="186" t="s">
        <v>638</v>
      </c>
      <c r="BS11" s="187">
        <v>0.01</v>
      </c>
      <c r="BT11" s="187">
        <v>0.90700000000000003</v>
      </c>
      <c r="BV11" s="28" t="s">
        <v>164</v>
      </c>
      <c r="BY11" s="41" t="s">
        <v>107</v>
      </c>
      <c r="CB11" t="s">
        <v>52</v>
      </c>
      <c r="CE11" s="40" t="s">
        <v>103</v>
      </c>
      <c r="CH11" s="233">
        <f>IF(CI$6=CI11,1,0)</f>
        <v>0</v>
      </c>
      <c r="CI11" s="32">
        <v>1.5</v>
      </c>
      <c r="CJ11" s="33">
        <v>-2.2000000000000001E-3</v>
      </c>
    </row>
    <row r="12" spans="1:97" ht="15.75" thickBot="1" x14ac:dyDescent="0.3">
      <c r="C12" s="181" t="e">
        <f t="shared" ref="C12:C14" si="2">IF(D12=$D$6,1,0)</f>
        <v>#N/A</v>
      </c>
      <c r="D12" s="43" t="s">
        <v>664</v>
      </c>
      <c r="E12" s="42">
        <v>-0.04</v>
      </c>
      <c r="G12" s="181">
        <v>0</v>
      </c>
      <c r="H12" s="186" t="s">
        <v>639</v>
      </c>
      <c r="I12" s="187">
        <v>1.37E-2</v>
      </c>
      <c r="J12" s="187">
        <v>0.96879999999999999</v>
      </c>
      <c r="L12" s="181">
        <v>0</v>
      </c>
      <c r="M12" s="186" t="s">
        <v>639</v>
      </c>
      <c r="N12" s="187">
        <v>1.12E-2</v>
      </c>
      <c r="P12" s="181">
        <v>0</v>
      </c>
      <c r="Q12" s="186" t="s">
        <v>639</v>
      </c>
      <c r="R12" s="43">
        <v>18.62</v>
      </c>
      <c r="T12" s="181">
        <v>0</v>
      </c>
      <c r="U12" s="186" t="s">
        <v>639</v>
      </c>
      <c r="V12" s="43">
        <v>2.2000000000000002</v>
      </c>
      <c r="W12" s="43">
        <v>11.7</v>
      </c>
      <c r="Y12" s="181">
        <v>0</v>
      </c>
      <c r="Z12" s="186" t="s">
        <v>639</v>
      </c>
      <c r="AA12" s="187">
        <v>5.9999999999999995E-4</v>
      </c>
      <c r="AC12" s="181">
        <f t="shared" ref="AC12:AC22" si="3">IF(AND(AD12&lt;=$AD$6,$AD$6&lt;=AE12,AF12&lt;=$AF$6,$AF$6&lt;=AG12),1,0)</f>
        <v>0</v>
      </c>
      <c r="AD12">
        <v>1</v>
      </c>
      <c r="AE12">
        <v>12000</v>
      </c>
      <c r="AF12" s="43">
        <v>1.02</v>
      </c>
      <c r="AG12" s="43">
        <v>2</v>
      </c>
      <c r="AH12">
        <v>2.8999999999999998E-3</v>
      </c>
      <c r="AI12" s="43">
        <v>2.8999999999999998E-3</v>
      </c>
      <c r="AJ12" s="43">
        <v>1.55E-2</v>
      </c>
      <c r="AL12" s="181">
        <f t="shared" ref="AL12:AL14" si="4">IF(AND(AN12&lt;=$AP$6,$AP$6&lt;=AO12),1,0)</f>
        <v>0</v>
      </c>
      <c r="AM12" s="181">
        <f t="shared" ref="AM12:AM14" si="5">IF(AND(AN12&lt;=$AQ$6,$AQ$6&lt;=AO12),1,0)</f>
        <v>0</v>
      </c>
      <c r="AN12">
        <v>3</v>
      </c>
      <c r="AO12">
        <v>3</v>
      </c>
      <c r="AP12" s="43">
        <v>5.0000000000000001E-4</v>
      </c>
      <c r="AQ12" s="43">
        <v>1E-3</v>
      </c>
      <c r="AS12" s="181">
        <f t="shared" ref="AS12:AS13" si="6">IF(AT12=$AT$6,1,0)</f>
        <v>0</v>
      </c>
      <c r="AT12" t="s">
        <v>625</v>
      </c>
      <c r="AU12">
        <v>1</v>
      </c>
      <c r="AW12" s="230" t="s">
        <v>625</v>
      </c>
      <c r="BA12" s="181">
        <v>0</v>
      </c>
      <c r="BB12" s="186" t="s">
        <v>639</v>
      </c>
      <c r="BC12" s="188">
        <v>11.69</v>
      </c>
      <c r="BE12" s="181">
        <f t="shared" ref="BE12:BE15" si="7">IF(BF12=$BE$6,1,0)</f>
        <v>0</v>
      </c>
      <c r="BF12" s="187">
        <v>0.25</v>
      </c>
      <c r="BG12" s="187">
        <v>0</v>
      </c>
      <c r="BH12" s="187">
        <v>2.5000000000000001E-3</v>
      </c>
      <c r="BI12" s="187">
        <v>2.5000000000000001E-3</v>
      </c>
      <c r="BJ12" s="187">
        <v>5.0000000000000001E-3</v>
      </c>
      <c r="BK12" s="187">
        <v>5.0000000000000001E-3</v>
      </c>
      <c r="BM12" s="182">
        <f>IF(BN12=$BN$6,1,0)</f>
        <v>0</v>
      </c>
      <c r="BN12" t="s">
        <v>652</v>
      </c>
      <c r="BO12">
        <v>4.8600000000000003</v>
      </c>
      <c r="BQ12" s="181">
        <v>0</v>
      </c>
      <c r="BR12" s="186" t="s">
        <v>639</v>
      </c>
      <c r="BS12" s="187">
        <v>4.0000000000000001E-3</v>
      </c>
      <c r="BT12" s="187">
        <v>0.95299999999999996</v>
      </c>
      <c r="BV12" s="28" t="s">
        <v>162</v>
      </c>
      <c r="BY12" s="41" t="s">
        <v>106</v>
      </c>
      <c r="CB12" t="s">
        <v>51</v>
      </c>
      <c r="CE12" s="230" t="s">
        <v>69</v>
      </c>
      <c r="CH12" s="233">
        <f t="shared" ref="CH12:CH14" si="8">IF(CI$6=CI12,1,0)</f>
        <v>0</v>
      </c>
      <c r="CI12" s="32">
        <v>1</v>
      </c>
      <c r="CJ12" s="33">
        <f>CI12/CI$11*CJ$11</f>
        <v>-1.4666666666666667E-3</v>
      </c>
    </row>
    <row r="13" spans="1:97" ht="15.75" thickBot="1" x14ac:dyDescent="0.3">
      <c r="C13" s="182" t="e">
        <f t="shared" si="2"/>
        <v>#N/A</v>
      </c>
      <c r="D13" s="43" t="s">
        <v>666</v>
      </c>
      <c r="E13" s="42">
        <v>-0.04</v>
      </c>
      <c r="G13" s="181">
        <v>0</v>
      </c>
      <c r="H13" s="186" t="s">
        <v>637</v>
      </c>
      <c r="I13" s="187">
        <v>2.9000000000000001E-2</v>
      </c>
      <c r="J13" s="187">
        <v>0.95040000000000002</v>
      </c>
      <c r="L13" s="181">
        <v>0</v>
      </c>
      <c r="M13" s="186" t="s">
        <v>637</v>
      </c>
      <c r="N13" s="187">
        <v>5.4399999999999997E-2</v>
      </c>
      <c r="P13" s="181">
        <v>0</v>
      </c>
      <c r="Q13" s="186" t="s">
        <v>637</v>
      </c>
      <c r="R13" s="43">
        <v>14.23</v>
      </c>
      <c r="T13" s="181">
        <v>0</v>
      </c>
      <c r="U13" s="186" t="s">
        <v>637</v>
      </c>
      <c r="V13" s="43">
        <v>2.9</v>
      </c>
      <c r="W13" s="43">
        <v>10.9</v>
      </c>
      <c r="Y13" s="181">
        <v>0</v>
      </c>
      <c r="Z13" s="186" t="s">
        <v>637</v>
      </c>
      <c r="AA13" s="187">
        <v>5.5999999999999999E-3</v>
      </c>
      <c r="AC13" s="181">
        <f t="shared" si="3"/>
        <v>0</v>
      </c>
      <c r="AD13">
        <v>1</v>
      </c>
      <c r="AE13">
        <v>12000</v>
      </c>
      <c r="AF13" s="43">
        <v>2.0099999999999998</v>
      </c>
      <c r="AG13" s="43">
        <v>99999999</v>
      </c>
      <c r="AH13">
        <v>3.8E-3</v>
      </c>
      <c r="AI13" s="43">
        <v>3.8E-3</v>
      </c>
      <c r="AJ13" s="43">
        <v>2.07E-2</v>
      </c>
      <c r="AL13" s="181">
        <f t="shared" si="4"/>
        <v>0</v>
      </c>
      <c r="AM13" s="181">
        <f t="shared" si="5"/>
        <v>0</v>
      </c>
      <c r="AN13">
        <v>4</v>
      </c>
      <c r="AO13">
        <v>6</v>
      </c>
      <c r="AP13" s="43">
        <v>1E-3</v>
      </c>
      <c r="AQ13" s="43">
        <v>2E-3</v>
      </c>
      <c r="AS13" s="182">
        <f t="shared" si="6"/>
        <v>0</v>
      </c>
      <c r="AT13" t="s">
        <v>623</v>
      </c>
      <c r="AU13">
        <v>0.54</v>
      </c>
      <c r="AW13" s="230" t="s">
        <v>623</v>
      </c>
      <c r="BA13" s="181">
        <v>0</v>
      </c>
      <c r="BB13" s="186" t="s">
        <v>637</v>
      </c>
      <c r="BC13" s="188">
        <v>10.92</v>
      </c>
      <c r="BE13" s="181">
        <f t="shared" si="7"/>
        <v>0</v>
      </c>
      <c r="BF13" s="187">
        <v>0.5</v>
      </c>
      <c r="BG13" s="187">
        <v>0</v>
      </c>
      <c r="BH13" s="187">
        <v>2.5000000000000001E-3</v>
      </c>
      <c r="BI13" s="187">
        <v>5.0000000000000001E-3</v>
      </c>
      <c r="BJ13" s="187">
        <v>5.0000000000000001E-3</v>
      </c>
      <c r="BK13" s="187">
        <v>7.4999999999999997E-3</v>
      </c>
      <c r="BQ13" s="181">
        <v>0</v>
      </c>
      <c r="BR13" s="186" t="s">
        <v>637</v>
      </c>
      <c r="BS13" s="187">
        <v>2.1999999999999999E-2</v>
      </c>
      <c r="BT13" s="187">
        <v>0.89500000000000002</v>
      </c>
      <c r="BV13" s="28" t="s">
        <v>143</v>
      </c>
      <c r="CE13" s="230" t="s">
        <v>101</v>
      </c>
      <c r="CH13" s="233">
        <f t="shared" si="8"/>
        <v>0</v>
      </c>
      <c r="CI13" s="32">
        <v>2</v>
      </c>
      <c r="CJ13" s="33">
        <f t="shared" ref="CJ13:CJ14" si="9">CI13/CI$11*CJ$11</f>
        <v>-2.9333333333333334E-3</v>
      </c>
    </row>
    <row r="14" spans="1:97" ht="15.75" thickBot="1" x14ac:dyDescent="0.3">
      <c r="C14" s="182" t="e">
        <f t="shared" si="2"/>
        <v>#N/A</v>
      </c>
      <c r="D14" s="43" t="s">
        <v>665</v>
      </c>
      <c r="E14" s="42">
        <v>0</v>
      </c>
      <c r="G14" s="181">
        <v>0</v>
      </c>
      <c r="H14" s="186" t="s">
        <v>636</v>
      </c>
      <c r="I14" s="187">
        <v>2.4E-2</v>
      </c>
      <c r="J14" s="187">
        <v>0.94850000000000001</v>
      </c>
      <c r="L14" s="181">
        <v>0</v>
      </c>
      <c r="M14" s="186" t="s">
        <v>636</v>
      </c>
      <c r="N14" s="187">
        <v>4.7399999999999998E-2</v>
      </c>
      <c r="P14" s="181">
        <v>0</v>
      </c>
      <c r="Q14" s="186" t="s">
        <v>636</v>
      </c>
      <c r="R14" s="43">
        <v>14.52</v>
      </c>
      <c r="T14" s="181">
        <v>0</v>
      </c>
      <c r="U14" s="186" t="s">
        <v>636</v>
      </c>
      <c r="V14" s="43">
        <v>2</v>
      </c>
      <c r="W14" s="43">
        <v>19.100000000000001</v>
      </c>
      <c r="Y14" s="181">
        <v>0</v>
      </c>
      <c r="Z14" s="186" t="s">
        <v>636</v>
      </c>
      <c r="AA14" s="187">
        <v>2.3E-3</v>
      </c>
      <c r="AC14" s="181">
        <f t="shared" si="3"/>
        <v>0</v>
      </c>
      <c r="AD14">
        <v>12001</v>
      </c>
      <c r="AE14">
        <v>24000</v>
      </c>
      <c r="AF14" s="43">
        <v>0</v>
      </c>
      <c r="AG14" s="43">
        <v>1.0189999999999999</v>
      </c>
      <c r="AH14">
        <v>1.4E-3</v>
      </c>
      <c r="AI14" s="43">
        <v>1.4E-3</v>
      </c>
      <c r="AJ14" s="43">
        <v>7.3000000000000001E-3</v>
      </c>
      <c r="AL14" s="182">
        <f t="shared" si="4"/>
        <v>0</v>
      </c>
      <c r="AM14" s="182">
        <f t="shared" si="5"/>
        <v>0</v>
      </c>
      <c r="AN14">
        <v>7</v>
      </c>
      <c r="AO14">
        <v>99999999</v>
      </c>
      <c r="AP14" s="43">
        <v>1.5E-3</v>
      </c>
      <c r="AQ14" s="43">
        <v>3.0000000000000001E-3</v>
      </c>
      <c r="BA14" s="181">
        <v>0</v>
      </c>
      <c r="BB14" s="186" t="s">
        <v>636</v>
      </c>
      <c r="BC14" s="188">
        <v>19.13</v>
      </c>
      <c r="BE14" s="181">
        <f t="shared" si="7"/>
        <v>0</v>
      </c>
      <c r="BF14" s="187">
        <v>0.75</v>
      </c>
      <c r="BG14" s="187">
        <v>0</v>
      </c>
      <c r="BH14" s="187">
        <v>5.0000000000000001E-3</v>
      </c>
      <c r="BI14" s="187">
        <v>5.0000000000000001E-3</v>
      </c>
      <c r="BJ14" s="187">
        <v>7.4999999999999997E-3</v>
      </c>
      <c r="BK14" s="187">
        <v>7.4999999999999997E-3</v>
      </c>
      <c r="BQ14" s="181">
        <v>0</v>
      </c>
      <c r="BR14" s="186" t="s">
        <v>636</v>
      </c>
      <c r="BS14" s="187">
        <v>1.2999999999999999E-2</v>
      </c>
      <c r="BT14" s="187">
        <v>0.91800000000000004</v>
      </c>
      <c r="BV14" s="28" t="s">
        <v>163</v>
      </c>
      <c r="CE14" s="230" t="s">
        <v>68</v>
      </c>
      <c r="CH14" s="234">
        <f t="shared" si="8"/>
        <v>0</v>
      </c>
      <c r="CI14" s="32">
        <v>3</v>
      </c>
      <c r="CJ14" s="33">
        <f t="shared" si="9"/>
        <v>-4.4000000000000003E-3</v>
      </c>
    </row>
    <row r="15" spans="1:97" ht="15.75" thickBot="1" x14ac:dyDescent="0.3">
      <c r="G15" s="181">
        <v>1</v>
      </c>
      <c r="H15" s="186" t="s">
        <v>635</v>
      </c>
      <c r="I15" s="187">
        <v>0.1138</v>
      </c>
      <c r="J15" s="187">
        <v>0.86960000000000004</v>
      </c>
      <c r="L15" s="181">
        <v>1</v>
      </c>
      <c r="M15" s="186" t="s">
        <v>635</v>
      </c>
      <c r="N15" s="187">
        <v>0.25600000000000001</v>
      </c>
      <c r="P15" s="181">
        <v>1</v>
      </c>
      <c r="Q15" s="186" t="s">
        <v>635</v>
      </c>
      <c r="R15" s="43">
        <v>15.63</v>
      </c>
      <c r="T15" s="181">
        <v>1</v>
      </c>
      <c r="U15" s="186" t="s">
        <v>635</v>
      </c>
      <c r="V15" s="43">
        <v>2.1</v>
      </c>
      <c r="W15" s="43">
        <v>12.4</v>
      </c>
      <c r="Y15" s="181">
        <v>1</v>
      </c>
      <c r="Z15" s="186" t="s">
        <v>635</v>
      </c>
      <c r="AA15" s="187">
        <v>4.7000000000000002E-3</v>
      </c>
      <c r="AC15" s="181">
        <f t="shared" si="3"/>
        <v>0</v>
      </c>
      <c r="AD15" s="43">
        <v>12001</v>
      </c>
      <c r="AE15" s="43">
        <v>24000</v>
      </c>
      <c r="AF15" s="43">
        <v>1.02</v>
      </c>
      <c r="AG15">
        <v>2</v>
      </c>
      <c r="AH15">
        <v>2E-3</v>
      </c>
      <c r="AI15" s="43">
        <v>2E-3</v>
      </c>
      <c r="AJ15" s="43">
        <v>1.09E-2</v>
      </c>
      <c r="BA15" s="181">
        <v>1</v>
      </c>
      <c r="BB15" s="186" t="s">
        <v>635</v>
      </c>
      <c r="BC15" s="188">
        <v>12.43</v>
      </c>
      <c r="BE15" s="182">
        <f t="shared" si="7"/>
        <v>0</v>
      </c>
      <c r="BF15" s="187">
        <v>1</v>
      </c>
      <c r="BG15" s="187">
        <v>0</v>
      </c>
      <c r="BH15" s="187">
        <v>5.0000000000000001E-3</v>
      </c>
      <c r="BI15" s="187">
        <v>7.4999999999999997E-3</v>
      </c>
      <c r="BJ15" s="187">
        <v>7.4999999999999997E-3</v>
      </c>
      <c r="BK15" s="187">
        <v>0.01</v>
      </c>
      <c r="BQ15" s="181">
        <v>1</v>
      </c>
      <c r="BR15" s="186" t="s">
        <v>635</v>
      </c>
      <c r="BS15" s="187">
        <v>2.8000000000000001E-2</v>
      </c>
      <c r="BT15" s="187">
        <v>0.67100000000000004</v>
      </c>
      <c r="BV15" s="28" t="s">
        <v>161</v>
      </c>
      <c r="CE15" s="230" t="s">
        <v>102</v>
      </c>
    </row>
    <row r="16" spans="1:97" ht="15.75" thickBot="1" x14ac:dyDescent="0.3">
      <c r="G16" s="182">
        <v>0</v>
      </c>
      <c r="H16" s="186" t="s">
        <v>634</v>
      </c>
      <c r="I16" s="187">
        <v>6.6900000000000001E-2</v>
      </c>
      <c r="J16" s="187">
        <v>0.91320000000000001</v>
      </c>
      <c r="L16" s="182">
        <v>0</v>
      </c>
      <c r="M16" s="186" t="s">
        <v>634</v>
      </c>
      <c r="N16" s="187">
        <v>6.1100000000000002E-2</v>
      </c>
      <c r="P16" s="182">
        <v>0</v>
      </c>
      <c r="Q16" s="186" t="s">
        <v>634</v>
      </c>
      <c r="R16" s="43">
        <v>12.44</v>
      </c>
      <c r="T16" s="182">
        <v>0</v>
      </c>
      <c r="U16" s="186" t="s">
        <v>634</v>
      </c>
      <c r="V16" s="43">
        <v>2.8</v>
      </c>
      <c r="W16" s="43">
        <v>11.5</v>
      </c>
      <c r="Y16" s="182">
        <v>0</v>
      </c>
      <c r="Z16" s="186" t="s">
        <v>634</v>
      </c>
      <c r="AA16" s="187">
        <v>7.9000000000000008E-3</v>
      </c>
      <c r="AC16" s="181">
        <f t="shared" si="3"/>
        <v>0</v>
      </c>
      <c r="AD16" s="43">
        <v>12001</v>
      </c>
      <c r="AE16" s="43">
        <v>24000</v>
      </c>
      <c r="AF16" s="43">
        <v>2.0099999999999998</v>
      </c>
      <c r="AG16" s="43">
        <v>99999999</v>
      </c>
      <c r="AH16">
        <v>2.7000000000000001E-3</v>
      </c>
      <c r="AI16" s="43">
        <v>2.7000000000000001E-3</v>
      </c>
      <c r="AJ16" s="43">
        <v>1.4500000000000001E-2</v>
      </c>
      <c r="BA16" s="182">
        <v>0</v>
      </c>
      <c r="BB16" s="186" t="s">
        <v>634</v>
      </c>
      <c r="BC16" s="188">
        <v>11.48</v>
      </c>
      <c r="BQ16" s="182">
        <v>0</v>
      </c>
      <c r="BR16" s="186" t="s">
        <v>634</v>
      </c>
      <c r="BS16" s="187">
        <v>4.1000000000000002E-2</v>
      </c>
      <c r="BT16" s="187">
        <v>0.86599999999999999</v>
      </c>
      <c r="BV16" s="28" t="s">
        <v>160</v>
      </c>
    </row>
    <row r="17" spans="29:36" x14ac:dyDescent="0.25">
      <c r="AC17" s="181">
        <f t="shared" si="3"/>
        <v>0</v>
      </c>
      <c r="AD17" s="43">
        <v>24001</v>
      </c>
      <c r="AE17" s="43">
        <v>30000</v>
      </c>
      <c r="AF17" s="43">
        <v>0</v>
      </c>
      <c r="AG17" s="43">
        <v>1.0189999999999999</v>
      </c>
      <c r="AH17">
        <v>1E-3</v>
      </c>
      <c r="AI17" s="43">
        <v>1E-3</v>
      </c>
      <c r="AJ17" s="43">
        <v>5.1999999999999998E-3</v>
      </c>
    </row>
    <row r="18" spans="29:36" x14ac:dyDescent="0.25">
      <c r="AC18" s="181">
        <f t="shared" si="3"/>
        <v>0</v>
      </c>
      <c r="AD18" s="43">
        <v>24001</v>
      </c>
      <c r="AE18" s="43">
        <v>30000</v>
      </c>
      <c r="AF18" s="43">
        <v>1.02</v>
      </c>
      <c r="AG18" s="43">
        <v>2</v>
      </c>
      <c r="AH18">
        <v>1.4E-3</v>
      </c>
      <c r="AI18" s="43">
        <v>1.4E-3</v>
      </c>
      <c r="AJ18" s="43">
        <v>7.7999999999999996E-3</v>
      </c>
    </row>
    <row r="19" spans="29:36" x14ac:dyDescent="0.25">
      <c r="AC19" s="181">
        <f t="shared" si="3"/>
        <v>0</v>
      </c>
      <c r="AD19" s="43">
        <v>24001</v>
      </c>
      <c r="AE19" s="43">
        <v>30000</v>
      </c>
      <c r="AF19" s="43">
        <v>2.0099999999999998</v>
      </c>
      <c r="AG19" s="43">
        <v>99999999</v>
      </c>
      <c r="AH19">
        <v>1.9E-3</v>
      </c>
      <c r="AI19" s="43">
        <v>1.9E-3</v>
      </c>
      <c r="AJ19" s="43">
        <v>1.04E-2</v>
      </c>
    </row>
    <row r="20" spans="29:36" x14ac:dyDescent="0.25">
      <c r="AC20" s="181">
        <f t="shared" si="3"/>
        <v>0</v>
      </c>
      <c r="AD20" s="43">
        <v>30001</v>
      </c>
      <c r="AE20" s="43">
        <v>99999999</v>
      </c>
      <c r="AF20" s="43">
        <v>0</v>
      </c>
      <c r="AG20" s="43">
        <v>1.0189999999999999</v>
      </c>
    </row>
    <row r="21" spans="29:36" x14ac:dyDescent="0.25">
      <c r="AC21" s="181">
        <f t="shared" si="3"/>
        <v>0</v>
      </c>
      <c r="AD21" s="43">
        <v>30001</v>
      </c>
      <c r="AE21" s="43">
        <v>99999999</v>
      </c>
      <c r="AF21" s="43">
        <v>1.02</v>
      </c>
      <c r="AG21" s="43">
        <v>2</v>
      </c>
    </row>
    <row r="22" spans="29:36" ht="15.75" thickBot="1" x14ac:dyDescent="0.3">
      <c r="AC22" s="182">
        <f t="shared" si="3"/>
        <v>0</v>
      </c>
      <c r="AD22" s="43">
        <v>30001</v>
      </c>
      <c r="AE22" s="43">
        <v>99999999</v>
      </c>
      <c r="AF22" s="43">
        <v>2.0099999999999998</v>
      </c>
      <c r="AG22" s="43">
        <v>99999999</v>
      </c>
    </row>
  </sheetData>
  <sortState ref="AD11:AG22">
    <sortCondition ref="AD11:AD22"/>
  </sortState>
  <conditionalFormatting sqref="AP11:AQ14">
    <cfRule type="expression" dxfId="78" priority="17">
      <formula>AL11=1</formula>
    </cfRule>
  </conditionalFormatting>
  <conditionalFormatting sqref="AH11:AJ22">
    <cfRule type="expression" dxfId="77" priority="16">
      <formula>AND($AC11=1,AH$8=1)</formula>
    </cfRule>
  </conditionalFormatting>
  <conditionalFormatting sqref="BG11:BK15">
    <cfRule type="expression" dxfId="76" priority="15">
      <formula>AND($BE11=1,BG$8=1)</formula>
    </cfRule>
  </conditionalFormatting>
  <conditionalFormatting sqref="BS11:BT16">
    <cfRule type="expression" dxfId="75" priority="14">
      <formula>$BQ11=1</formula>
    </cfRule>
  </conditionalFormatting>
  <conditionalFormatting sqref="BO11:BO12 AU11:AV13">
    <cfRule type="expression" dxfId="74" priority="13">
      <formula>AS11=1</formula>
    </cfRule>
  </conditionalFormatting>
  <conditionalFormatting sqref="BC11:BC16">
    <cfRule type="expression" dxfId="73" priority="12">
      <formula>BA11=1</formula>
    </cfRule>
  </conditionalFormatting>
  <conditionalFormatting sqref="AA11:AA16">
    <cfRule type="expression" dxfId="72" priority="10">
      <formula>Y11=1</formula>
    </cfRule>
  </conditionalFormatting>
  <conditionalFormatting sqref="N11:N16">
    <cfRule type="expression" dxfId="71" priority="9">
      <formula>L11=1</formula>
    </cfRule>
  </conditionalFormatting>
  <conditionalFormatting sqref="I11:J16">
    <cfRule type="expression" dxfId="70" priority="6">
      <formula>$G11=1</formula>
    </cfRule>
  </conditionalFormatting>
  <conditionalFormatting sqref="R11:R16">
    <cfRule type="expression" dxfId="69" priority="5">
      <formula>P11=1</formula>
    </cfRule>
  </conditionalFormatting>
  <conditionalFormatting sqref="V11:W16">
    <cfRule type="expression" dxfId="68" priority="4">
      <formula>$T11=1</formula>
    </cfRule>
  </conditionalFormatting>
  <conditionalFormatting sqref="E11:E13">
    <cfRule type="expression" dxfId="67" priority="3">
      <formula>C11=1</formula>
    </cfRule>
  </conditionalFormatting>
  <conditionalFormatting sqref="E14">
    <cfRule type="expression" dxfId="66" priority="2">
      <formula>C14=1</formula>
    </cfRule>
  </conditionalFormatting>
  <conditionalFormatting sqref="AY11:AY13">
    <cfRule type="expression" dxfId="65" priority="82">
      <formula>AT11=1</formula>
    </cfRule>
  </conditionalFormatting>
  <conditionalFormatting sqref="AX11:AX13">
    <cfRule type="expression" dxfId="64" priority="84">
      <formula>AT11=1</formula>
    </cfRule>
  </conditionalFormatting>
  <conditionalFormatting sqref="AW11:AW13">
    <cfRule type="expression" dxfId="63" priority="86">
      <formula>AT11=1</formula>
    </cfRule>
  </conditionalFormatting>
  <conditionalFormatting sqref="CJ11:CJ14">
    <cfRule type="expression" dxfId="62" priority="1">
      <formula>CJ11=$CH$3</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5957-461D-4135-9A1E-DDE8AD184800}">
  <sheetPr codeName="Sheet39"/>
  <dimension ref="A1:AN1591"/>
  <sheetViews>
    <sheetView topLeftCell="R1" workbookViewId="0">
      <pane ySplit="10" topLeftCell="A11" activePane="bottomLeft" state="frozen"/>
      <selection activeCell="BM11" sqref="BM11"/>
      <selection pane="bottomLeft" activeCell="R8" sqref="R8"/>
    </sheetView>
  </sheetViews>
  <sheetFormatPr defaultColWidth="9.140625" defaultRowHeight="15" outlineLevelCol="1" x14ac:dyDescent="0.25"/>
  <cols>
    <col min="1" max="1" width="11" style="134" bestFit="1" customWidth="1"/>
    <col min="2" max="2" width="15.5703125" style="134" bestFit="1" customWidth="1"/>
    <col min="3" max="3" width="11.42578125" style="134" hidden="1" customWidth="1" outlineLevel="1"/>
    <col min="4" max="4" width="14.42578125" style="134" hidden="1" customWidth="1" outlineLevel="1"/>
    <col min="5" max="5" width="16.5703125" style="135" hidden="1" customWidth="1" outlineLevel="1"/>
    <col min="6" max="8" width="17.85546875" style="135" hidden="1" customWidth="1" outlineLevel="1"/>
    <col min="9" max="9" width="15.5703125" style="135" hidden="1" customWidth="1" outlineLevel="1"/>
    <col min="10" max="10" width="17.85546875" style="135" hidden="1" customWidth="1" outlineLevel="1"/>
    <col min="11" max="11" width="18.85546875" style="135" hidden="1" customWidth="1" outlineLevel="1"/>
    <col min="12" max="14" width="13.5703125" style="135" hidden="1" customWidth="1" outlineLevel="1"/>
    <col min="15" max="15" width="49.42578125" style="43" bestFit="1" customWidth="1" collapsed="1"/>
    <col min="16" max="30" width="20.5703125" style="43" customWidth="1"/>
    <col min="31" max="38" width="9.140625" style="43"/>
    <col min="39" max="39" width="9.140625" style="230"/>
    <col min="40" max="16384" width="9.140625" style="43"/>
  </cols>
  <sheetData>
    <row r="1" spans="1:40" ht="60" x14ac:dyDescent="0.25">
      <c r="I1" s="200"/>
      <c r="J1" s="134"/>
      <c r="K1" s="134"/>
      <c r="L1" s="42"/>
      <c r="M1" s="42"/>
      <c r="N1" s="42"/>
      <c r="O1" s="172" t="s">
        <v>659</v>
      </c>
      <c r="P1" s="172" t="s">
        <v>157</v>
      </c>
      <c r="Q1" s="172" t="s">
        <v>810</v>
      </c>
      <c r="R1" s="172" t="s">
        <v>811</v>
      </c>
      <c r="S1" s="172" t="s">
        <v>812</v>
      </c>
      <c r="T1" s="172" t="s">
        <v>97</v>
      </c>
      <c r="U1" s="172" t="s">
        <v>98</v>
      </c>
      <c r="V1" s="172" t="s">
        <v>579</v>
      </c>
      <c r="W1" s="222" t="s">
        <v>820</v>
      </c>
      <c r="X1" s="172" t="s">
        <v>580</v>
      </c>
      <c r="Y1" s="172" t="s">
        <v>813</v>
      </c>
      <c r="Z1" s="172" t="s">
        <v>660</v>
      </c>
      <c r="AA1" s="172" t="s">
        <v>661</v>
      </c>
      <c r="AB1" s="172" t="s">
        <v>814</v>
      </c>
      <c r="AC1" s="172" t="s">
        <v>662</v>
      </c>
      <c r="AD1" s="172" t="s">
        <v>663</v>
      </c>
    </row>
    <row r="2" spans="1:40" x14ac:dyDescent="0.25">
      <c r="I2" s="200"/>
      <c r="J2" s="134"/>
      <c r="K2" s="134"/>
      <c r="L2" s="42"/>
      <c r="M2" s="42"/>
      <c r="N2" s="42"/>
      <c r="O2" s="171" t="s">
        <v>658</v>
      </c>
      <c r="P2" s="205" t="s">
        <v>25</v>
      </c>
      <c r="Q2" s="205" t="s">
        <v>36</v>
      </c>
      <c r="R2" s="205" t="s">
        <v>31</v>
      </c>
      <c r="S2" s="205" t="s">
        <v>31</v>
      </c>
      <c r="T2" s="205" t="s">
        <v>577</v>
      </c>
      <c r="U2" s="205" t="s">
        <v>577</v>
      </c>
      <c r="V2" s="205" t="s">
        <v>577</v>
      </c>
      <c r="W2" s="205" t="s">
        <v>760</v>
      </c>
      <c r="X2" s="205" t="s">
        <v>577</v>
      </c>
      <c r="Y2" s="205" t="s">
        <v>29</v>
      </c>
      <c r="Z2" s="205" t="s">
        <v>32</v>
      </c>
      <c r="AA2" s="205" t="s">
        <v>32</v>
      </c>
      <c r="AB2" s="205" t="s">
        <v>45</v>
      </c>
      <c r="AC2" s="206" t="s">
        <v>26</v>
      </c>
      <c r="AD2" s="206" t="s">
        <v>26</v>
      </c>
    </row>
    <row r="3" spans="1:40" x14ac:dyDescent="0.25">
      <c r="I3" s="200"/>
      <c r="J3" s="134"/>
      <c r="K3" s="134"/>
      <c r="L3" s="42"/>
      <c r="M3" s="42"/>
      <c r="N3" s="42"/>
      <c r="O3" s="205" t="s">
        <v>23</v>
      </c>
      <c r="Q3" s="205" t="s">
        <v>35</v>
      </c>
      <c r="S3" s="205" t="s">
        <v>36</v>
      </c>
      <c r="T3" s="205" t="s">
        <v>43</v>
      </c>
      <c r="U3" s="205" t="s">
        <v>43</v>
      </c>
    </row>
    <row r="4" spans="1:40" x14ac:dyDescent="0.25">
      <c r="I4" s="200"/>
      <c r="J4" s="134"/>
      <c r="K4" s="134"/>
      <c r="L4" s="42"/>
      <c r="M4" s="42"/>
      <c r="N4" s="42"/>
      <c r="Q4" s="205" t="s">
        <v>34</v>
      </c>
      <c r="S4" s="205" t="s">
        <v>35</v>
      </c>
      <c r="T4" s="205" t="s">
        <v>32</v>
      </c>
      <c r="U4" s="205" t="s">
        <v>32</v>
      </c>
    </row>
    <row r="5" spans="1:40" x14ac:dyDescent="0.25">
      <c r="I5" s="200"/>
      <c r="J5" s="134"/>
      <c r="K5" s="134"/>
      <c r="L5" s="42"/>
      <c r="M5" s="42"/>
      <c r="N5" s="42"/>
      <c r="Q5" s="205" t="s">
        <v>33</v>
      </c>
      <c r="S5" s="205" t="s">
        <v>34</v>
      </c>
      <c r="T5" s="205" t="s">
        <v>31</v>
      </c>
      <c r="U5" s="205" t="s">
        <v>31</v>
      </c>
    </row>
    <row r="6" spans="1:40" x14ac:dyDescent="0.25">
      <c r="I6" s="200"/>
      <c r="J6" s="134"/>
      <c r="K6" s="134"/>
      <c r="L6" s="42"/>
      <c r="M6" s="42"/>
      <c r="N6" s="42"/>
      <c r="Q6" s="205" t="s">
        <v>761</v>
      </c>
      <c r="S6" s="205" t="s">
        <v>33</v>
      </c>
    </row>
    <row r="7" spans="1:40" x14ac:dyDescent="0.25">
      <c r="I7" s="200"/>
      <c r="J7" s="134"/>
      <c r="K7" s="134"/>
      <c r="L7" s="42"/>
      <c r="M7" s="42"/>
      <c r="N7" s="42"/>
    </row>
    <row r="8" spans="1:40" x14ac:dyDescent="0.25">
      <c r="B8" s="202" t="s">
        <v>669</v>
      </c>
      <c r="I8" s="200"/>
      <c r="J8" s="134"/>
      <c r="K8" s="134"/>
      <c r="L8" s="42"/>
      <c r="M8" s="42"/>
      <c r="N8" s="42"/>
      <c r="O8" s="43" t="s">
        <v>855</v>
      </c>
      <c r="P8" s="43" t="s">
        <v>856</v>
      </c>
      <c r="Q8" s="230" t="s">
        <v>856</v>
      </c>
      <c r="R8" s="230" t="s">
        <v>856</v>
      </c>
      <c r="S8" s="230" t="s">
        <v>856</v>
      </c>
      <c r="T8" s="230" t="s">
        <v>856</v>
      </c>
      <c r="U8" s="230" t="s">
        <v>856</v>
      </c>
      <c r="V8" s="230" t="s">
        <v>856</v>
      </c>
      <c r="W8" s="230" t="s">
        <v>856</v>
      </c>
      <c r="X8" s="230" t="s">
        <v>856</v>
      </c>
      <c r="Y8" s="43" t="s">
        <v>857</v>
      </c>
      <c r="Z8" s="43" t="s">
        <v>858</v>
      </c>
      <c r="AA8" s="43" t="s">
        <v>856</v>
      </c>
      <c r="AB8" s="43" t="s">
        <v>856</v>
      </c>
      <c r="AC8" s="230" t="s">
        <v>856</v>
      </c>
      <c r="AD8" s="230" t="s">
        <v>856</v>
      </c>
    </row>
    <row r="9" spans="1:40" x14ac:dyDescent="0.25">
      <c r="B9" s="203">
        <f>Location</f>
        <v>0</v>
      </c>
      <c r="I9" s="200"/>
      <c r="J9" s="134"/>
      <c r="K9" s="134"/>
      <c r="L9" s="42"/>
      <c r="M9" s="42"/>
      <c r="N9" s="42"/>
      <c r="O9" s="204" t="e">
        <f t="shared" ref="O9:AD9" si="0">INDEX(O$11:O$1590,MATCH($B$9,$A$11:$A$1590,0),1)</f>
        <v>#N/A</v>
      </c>
      <c r="P9" s="204" t="e">
        <f t="shared" si="0"/>
        <v>#N/A</v>
      </c>
      <c r="Q9" s="204" t="e">
        <f t="shared" si="0"/>
        <v>#N/A</v>
      </c>
      <c r="R9" s="204" t="e">
        <f t="shared" si="0"/>
        <v>#N/A</v>
      </c>
      <c r="S9" s="204" t="e">
        <f t="shared" si="0"/>
        <v>#N/A</v>
      </c>
      <c r="T9" s="204" t="e">
        <f t="shared" si="0"/>
        <v>#N/A</v>
      </c>
      <c r="U9" s="204" t="e">
        <f t="shared" si="0"/>
        <v>#N/A</v>
      </c>
      <c r="V9" s="204" t="e">
        <f t="shared" si="0"/>
        <v>#N/A</v>
      </c>
      <c r="W9" s="204" t="e">
        <f t="shared" si="0"/>
        <v>#N/A</v>
      </c>
      <c r="X9" s="204" t="e">
        <f t="shared" si="0"/>
        <v>#N/A</v>
      </c>
      <c r="Y9" s="204" t="e">
        <f t="shared" si="0"/>
        <v>#N/A</v>
      </c>
      <c r="Z9" s="204" t="e">
        <f t="shared" si="0"/>
        <v>#N/A</v>
      </c>
      <c r="AA9" s="204" t="e">
        <f t="shared" si="0"/>
        <v>#N/A</v>
      </c>
      <c r="AB9" s="204" t="e">
        <f t="shared" si="0"/>
        <v>#N/A</v>
      </c>
      <c r="AC9" s="204" t="e">
        <f t="shared" si="0"/>
        <v>#N/A</v>
      </c>
      <c r="AD9" s="204" t="e">
        <f t="shared" si="0"/>
        <v>#N/A</v>
      </c>
      <c r="AF9" s="43" t="s">
        <v>776</v>
      </c>
    </row>
    <row r="10" spans="1:40" ht="135" x14ac:dyDescent="0.25">
      <c r="A10" s="202" t="s">
        <v>667</v>
      </c>
      <c r="B10" s="202" t="s">
        <v>184</v>
      </c>
      <c r="C10" s="134" t="s">
        <v>185</v>
      </c>
      <c r="D10" s="134" t="s">
        <v>186</v>
      </c>
      <c r="E10" s="135" t="s">
        <v>187</v>
      </c>
      <c r="F10" s="135" t="s">
        <v>188</v>
      </c>
      <c r="G10" s="135" t="s">
        <v>189</v>
      </c>
      <c r="H10" s="135" t="s">
        <v>190</v>
      </c>
      <c r="I10" s="200" t="s">
        <v>191</v>
      </c>
      <c r="J10" s="134" t="s">
        <v>192</v>
      </c>
      <c r="K10" s="134" t="s">
        <v>193</v>
      </c>
      <c r="L10" s="42" t="s">
        <v>194</v>
      </c>
      <c r="M10" s="42" t="s">
        <v>195</v>
      </c>
      <c r="N10" s="134" t="s">
        <v>775</v>
      </c>
      <c r="O10" s="222" t="s">
        <v>182</v>
      </c>
      <c r="P10" s="222" t="s">
        <v>672</v>
      </c>
      <c r="Q10" s="222" t="s">
        <v>684</v>
      </c>
      <c r="R10" s="222" t="s">
        <v>702</v>
      </c>
      <c r="S10" s="222" t="s">
        <v>705</v>
      </c>
      <c r="T10" s="222" t="s">
        <v>712</v>
      </c>
      <c r="U10" s="222" t="s">
        <v>714</v>
      </c>
      <c r="V10" s="222" t="s">
        <v>729</v>
      </c>
      <c r="W10" s="222" t="s">
        <v>820</v>
      </c>
      <c r="X10" s="222" t="s">
        <v>732</v>
      </c>
      <c r="Y10" s="222" t="s">
        <v>688</v>
      </c>
      <c r="Z10" s="222" t="s">
        <v>660</v>
      </c>
      <c r="AA10" s="222" t="s">
        <v>661</v>
      </c>
      <c r="AB10" s="222" t="s">
        <v>727</v>
      </c>
      <c r="AC10" s="222" t="s">
        <v>677</v>
      </c>
      <c r="AD10" s="222" t="s">
        <v>681</v>
      </c>
      <c r="AF10" s="222" t="s">
        <v>672</v>
      </c>
      <c r="AG10" s="222" t="s">
        <v>684</v>
      </c>
      <c r="AH10" s="222" t="s">
        <v>702</v>
      </c>
      <c r="AI10" s="222" t="s">
        <v>705</v>
      </c>
      <c r="AJ10" s="222" t="s">
        <v>712</v>
      </c>
      <c r="AK10" s="222" t="s">
        <v>714</v>
      </c>
      <c r="AL10" s="222" t="s">
        <v>729</v>
      </c>
      <c r="AM10" s="222" t="s">
        <v>820</v>
      </c>
      <c r="AN10" s="222" t="s">
        <v>732</v>
      </c>
    </row>
    <row r="11" spans="1:40" x14ac:dyDescent="0.25">
      <c r="A11" s="134">
        <v>1</v>
      </c>
      <c r="B11" s="134" t="s">
        <v>214</v>
      </c>
      <c r="C11" s="134" t="s">
        <v>210</v>
      </c>
      <c r="D11" s="134" t="s">
        <v>211</v>
      </c>
      <c r="E11" s="134">
        <v>387</v>
      </c>
      <c r="F11" s="134">
        <v>896</v>
      </c>
      <c r="G11" s="134">
        <v>35</v>
      </c>
      <c r="H11" s="134">
        <v>358</v>
      </c>
      <c r="I11" s="200">
        <v>4.5860179331999998E-2</v>
      </c>
      <c r="J11" s="134">
        <v>1254</v>
      </c>
      <c r="K11" s="134">
        <v>27343.983784299999</v>
      </c>
      <c r="L11" s="42">
        <v>0.78301719845100004</v>
      </c>
      <c r="M11" s="42">
        <v>0.480536912752</v>
      </c>
      <c r="N11" s="134">
        <v>0</v>
      </c>
      <c r="O11" s="43" t="s">
        <v>627</v>
      </c>
      <c r="P11" s="43">
        <f t="shared" ref="P11:X11" si="1">IF(OR(IFERROR(AF11=0,TRUE),ISERROR(AF11)),AVERAGEIFS(AF:AF,$B:$B,$B11,AF:AF,"&gt;0"),AF11)</f>
        <v>13.860185873688044</v>
      </c>
      <c r="Q11" s="43">
        <f t="shared" si="1"/>
        <v>7.9613313000000005E-2</v>
      </c>
      <c r="R11" s="43">
        <f t="shared" si="1"/>
        <v>2.2038215999999999E-2</v>
      </c>
      <c r="S11" s="43">
        <f t="shared" si="1"/>
        <v>0.78301719800000003</v>
      </c>
      <c r="T11" s="43">
        <f t="shared" si="1"/>
        <v>2.6675988070000001</v>
      </c>
      <c r="U11" s="43">
        <f t="shared" si="1"/>
        <v>8.1750167299999994</v>
      </c>
      <c r="V11" s="43">
        <f t="shared" si="1"/>
        <v>1.9722362E-2</v>
      </c>
      <c r="W11" s="230">
        <f t="shared" si="1"/>
        <v>0.16213766812918076</v>
      </c>
      <c r="X11" s="43">
        <f t="shared" si="1"/>
        <v>0.75028411100000003</v>
      </c>
      <c r="Y11" s="43">
        <v>106.82280969999999</v>
      </c>
      <c r="Z11" s="43">
        <f t="shared" ref="Z11:Z74" si="2">IF(B11="Berkeley",1,0)</f>
        <v>0</v>
      </c>
      <c r="AA11" s="43">
        <f t="shared" ref="AA11:AA74" si="3">SUMIFS(F:F,B:B,B11)</f>
        <v>19456</v>
      </c>
      <c r="AB11" s="43">
        <f t="shared" ref="AB11:AB74" si="4">SUMIFS(E:E,B:B,B11)</f>
        <v>7726</v>
      </c>
      <c r="AC11" s="43">
        <f>AVERAGEIFS(Q:Q,B:B,B11,N:N,0,Q:Q,"&gt;0")</f>
        <v>6.9375521741666668E-2</v>
      </c>
      <c r="AD11" s="43">
        <f>AVERAGEIFS(S:S,B:B,B11,N:N,0,S:S,"&gt;0")</f>
        <v>0.81067767970000004</v>
      </c>
      <c r="AF11" s="43">
        <v>13.860185873688044</v>
      </c>
      <c r="AG11" s="43">
        <v>7.9613313000000005E-2</v>
      </c>
      <c r="AH11" s="43">
        <v>2.2038215999999999E-2</v>
      </c>
      <c r="AI11" s="43">
        <v>0.78301719800000003</v>
      </c>
      <c r="AJ11" s="43">
        <v>2.6675988070000001</v>
      </c>
      <c r="AK11" s="43">
        <v>8.1750167299999994</v>
      </c>
      <c r="AL11" s="43">
        <v>1.9722362E-2</v>
      </c>
      <c r="AM11" s="230">
        <v>0.16213766812918076</v>
      </c>
      <c r="AN11" s="43">
        <v>0.75028411100000003</v>
      </c>
    </row>
    <row r="12" spans="1:40" x14ac:dyDescent="0.25">
      <c r="A12" s="134">
        <v>2</v>
      </c>
      <c r="B12" s="134" t="s">
        <v>214</v>
      </c>
      <c r="C12" s="134" t="s">
        <v>210</v>
      </c>
      <c r="D12" s="134" t="s">
        <v>211</v>
      </c>
      <c r="E12" s="134">
        <v>1388</v>
      </c>
      <c r="F12" s="134">
        <v>3214</v>
      </c>
      <c r="G12" s="134">
        <v>247</v>
      </c>
      <c r="H12" s="134">
        <v>671</v>
      </c>
      <c r="I12" s="200">
        <v>0.32340023972900001</v>
      </c>
      <c r="J12" s="134">
        <v>3885</v>
      </c>
      <c r="K12" s="134">
        <v>12012.978107999999</v>
      </c>
      <c r="L12" s="42">
        <v>0.792299565993</v>
      </c>
      <c r="M12" s="42">
        <v>0.32588635259799997</v>
      </c>
      <c r="N12" s="134">
        <v>1</v>
      </c>
      <c r="O12" s="43" t="s">
        <v>664</v>
      </c>
      <c r="P12" s="43">
        <f t="shared" ref="P12:P75" si="5">IF(OR(IFERROR(AF12=0,TRUE),ISERROR(AF12)),AVERAGEIFS(AF:AF,$B:$B,$B12,AF:AF,"&gt;0"),AF12)</f>
        <v>13.99701390929336</v>
      </c>
      <c r="Q12" s="43">
        <f t="shared" ref="Q12:Q75" si="6">IF(OR(IFERROR(AG12=0,TRUE),ISERROR(AG12)),AVERAGEIFS(AG:AG,$B:$B,$B12,AG:AG,"&gt;0"),AG12)</f>
        <v>8.3251354E-2</v>
      </c>
      <c r="R12" s="43">
        <f t="shared" ref="R12:R75" si="7">IF(OR(IFERROR(AH12=0,TRUE),ISERROR(AH12)),AVERAGEIFS(AH:AH,$B:$B,$B12,AH:AH,"&gt;0"),AH12)</f>
        <v>1.9922618999999999E-2</v>
      </c>
      <c r="S12" s="43">
        <f t="shared" ref="S12:S75" si="8">IF(OR(IFERROR(AI12=0,TRUE),ISERROR(AI12)),AVERAGEIFS(AI:AI,$B:$B,$B12,AI:AI,"&gt;0"),AI12)</f>
        <v>0.79229956599999996</v>
      </c>
      <c r="T12" s="43">
        <f t="shared" ref="T12:T75" si="9">IF(OR(IFERROR(AJ12=0,TRUE),ISERROR(AJ12)),AVERAGEIFS(AJ:AJ,$B:$B,$B12,AJ:AJ,"&gt;0"),AJ12)</f>
        <v>2.845958999</v>
      </c>
      <c r="U12" s="43">
        <f t="shared" ref="U12:U75" si="10">IF(OR(IFERROR(AK12=0,TRUE),ISERROR(AK12)),AVERAGEIFS(AK:AK,$B:$B,$B12,AK:AK,"&gt;0"),AK12)</f>
        <v>8.541793491</v>
      </c>
      <c r="V12" s="43">
        <f t="shared" ref="V12:V75" si="11">IF(OR(IFERROR(AL12=0,TRUE),ISERROR(AL12)),AVERAGEIFS(AL:AL,$B:$B,$B12,AL:AL,"&gt;0"),AL12)</f>
        <v>1.2900342E-2</v>
      </c>
      <c r="W12" s="230">
        <f t="shared" ref="W12:W75" si="12">IF(OR(IFERROR(AM12=0,TRUE),ISERROR(AM12)),AVERAGEIFS(AM:AM,$B:$B,$B12,AM:AM,"&gt;0"),AM12)</f>
        <v>0.15798813059087033</v>
      </c>
      <c r="X12" s="43">
        <f t="shared" ref="X12:X75" si="13">IF(OR(IFERROR(AN12=0,TRUE),ISERROR(AN12)),AVERAGEIFS(AN:AN,$B:$B,$B12,AN:AN,"&gt;0"),AN12)</f>
        <v>0.78025171199999999</v>
      </c>
      <c r="Y12" s="43">
        <v>41.869167259999998</v>
      </c>
      <c r="Z12" s="43">
        <f t="shared" si="2"/>
        <v>0</v>
      </c>
      <c r="AA12" s="43">
        <f t="shared" si="3"/>
        <v>19456</v>
      </c>
      <c r="AB12" s="43">
        <f t="shared" si="4"/>
        <v>7726</v>
      </c>
      <c r="AC12" s="43">
        <f t="shared" ref="AC12:AC75" si="14">AVERAGEIFS(Q:Q,B:B,B12,N:N,0,Q:Q,"&gt;0")</f>
        <v>6.9375521741666668E-2</v>
      </c>
      <c r="AD12" s="43">
        <f t="shared" ref="AD12:AD75" si="15">AVERAGEIFS(S:S,B:B,B12,N:N,0,S:S,"&gt;0")</f>
        <v>0.81067767970000004</v>
      </c>
      <c r="AF12" s="43">
        <v>13.99701390929336</v>
      </c>
      <c r="AG12" s="43">
        <v>8.3251354E-2</v>
      </c>
      <c r="AH12" s="43">
        <v>1.9922618999999999E-2</v>
      </c>
      <c r="AI12" s="43">
        <v>0.79229956599999996</v>
      </c>
      <c r="AJ12" s="43">
        <v>2.845958999</v>
      </c>
      <c r="AK12" s="43">
        <v>8.541793491</v>
      </c>
      <c r="AL12" s="43">
        <v>1.2900342E-2</v>
      </c>
      <c r="AM12" s="230">
        <v>0.15798813059087033</v>
      </c>
      <c r="AN12" s="43">
        <v>0.78025171199999999</v>
      </c>
    </row>
    <row r="13" spans="1:40" x14ac:dyDescent="0.25">
      <c r="A13" s="134">
        <v>3</v>
      </c>
      <c r="B13" s="134" t="s">
        <v>214</v>
      </c>
      <c r="C13" s="134" t="s">
        <v>210</v>
      </c>
      <c r="D13" s="134" t="s">
        <v>211</v>
      </c>
      <c r="E13" s="134">
        <v>398</v>
      </c>
      <c r="F13" s="134">
        <v>922</v>
      </c>
      <c r="G13" s="134">
        <v>57</v>
      </c>
      <c r="H13" s="134">
        <v>197</v>
      </c>
      <c r="I13" s="200">
        <v>7.4534051843899995E-2</v>
      </c>
      <c r="J13" s="134">
        <v>1119</v>
      </c>
      <c r="K13" s="134">
        <v>15013.2720859</v>
      </c>
      <c r="L13" s="42">
        <v>0.79761012183699997</v>
      </c>
      <c r="M13" s="42">
        <v>0.33109243697500002</v>
      </c>
      <c r="N13" s="134">
        <v>0</v>
      </c>
      <c r="O13" s="43" t="s">
        <v>664</v>
      </c>
      <c r="P13" s="43">
        <f t="shared" si="5"/>
        <v>13.250769463560976</v>
      </c>
      <c r="Q13" s="43">
        <f t="shared" si="6"/>
        <v>7.3762886999999999E-2</v>
      </c>
      <c r="R13" s="43">
        <f t="shared" si="7"/>
        <v>2.2258668999999998E-2</v>
      </c>
      <c r="S13" s="43">
        <f t="shared" si="8"/>
        <v>0.79761012200000003</v>
      </c>
      <c r="T13" s="43">
        <f t="shared" si="9"/>
        <v>2.6479924320000001</v>
      </c>
      <c r="U13" s="43">
        <f t="shared" si="10"/>
        <v>8.1170567630000008</v>
      </c>
      <c r="V13" s="43">
        <f t="shared" si="11"/>
        <v>1.4969916999999999E-2</v>
      </c>
      <c r="W13" s="230">
        <f t="shared" si="12"/>
        <v>0.14930018034121198</v>
      </c>
      <c r="X13" s="43">
        <f t="shared" si="13"/>
        <v>0.77701527299999995</v>
      </c>
      <c r="Y13" s="43">
        <v>43.73396022</v>
      </c>
      <c r="Z13" s="43">
        <f t="shared" si="2"/>
        <v>0</v>
      </c>
      <c r="AA13" s="43">
        <f t="shared" si="3"/>
        <v>19456</v>
      </c>
      <c r="AB13" s="43">
        <f t="shared" si="4"/>
        <v>7726</v>
      </c>
      <c r="AC13" s="43">
        <f t="shared" si="14"/>
        <v>6.9375521741666668E-2</v>
      </c>
      <c r="AD13" s="43">
        <f t="shared" si="15"/>
        <v>0.81067767970000004</v>
      </c>
      <c r="AF13" s="43">
        <v>13.250769463560976</v>
      </c>
      <c r="AG13" s="43">
        <v>7.3762886999999999E-2</v>
      </c>
      <c r="AH13" s="43">
        <v>2.2258668999999998E-2</v>
      </c>
      <c r="AI13" s="43">
        <v>0.79761012200000003</v>
      </c>
      <c r="AJ13" s="43">
        <v>2.6479924320000001</v>
      </c>
      <c r="AK13" s="43">
        <v>8.1170567630000008</v>
      </c>
      <c r="AL13" s="43">
        <v>1.4969916999999999E-2</v>
      </c>
      <c r="AM13" s="230">
        <v>0.14930018034121198</v>
      </c>
      <c r="AN13" s="43">
        <v>0.77701527299999995</v>
      </c>
    </row>
    <row r="14" spans="1:40" x14ac:dyDescent="0.25">
      <c r="A14" s="134">
        <v>4</v>
      </c>
      <c r="B14" s="134" t="s">
        <v>214</v>
      </c>
      <c r="C14" s="134" t="s">
        <v>210</v>
      </c>
      <c r="D14" s="134" t="s">
        <v>211</v>
      </c>
      <c r="E14" s="134">
        <v>239</v>
      </c>
      <c r="F14" s="134">
        <v>687</v>
      </c>
      <c r="G14" s="134">
        <v>26</v>
      </c>
      <c r="H14" s="134">
        <v>258</v>
      </c>
      <c r="I14" s="200">
        <v>6.04352010754E-2</v>
      </c>
      <c r="J14" s="134">
        <v>945</v>
      </c>
      <c r="K14" s="134">
        <v>15636.582375600001</v>
      </c>
      <c r="L14" s="42">
        <v>0.76678119449000004</v>
      </c>
      <c r="M14" s="42">
        <v>0.51911468812899997</v>
      </c>
      <c r="N14" s="134">
        <v>0</v>
      </c>
      <c r="O14" s="43" t="s">
        <v>664</v>
      </c>
      <c r="P14" s="43">
        <f t="shared" si="5"/>
        <v>13.818080821258796</v>
      </c>
      <c r="Q14" s="43">
        <f t="shared" si="6"/>
        <v>7.5828072999999996E-2</v>
      </c>
      <c r="R14" s="43">
        <f t="shared" si="7"/>
        <v>2.5704222999999998E-2</v>
      </c>
      <c r="S14" s="43">
        <f t="shared" si="8"/>
        <v>0.766781194</v>
      </c>
      <c r="T14" s="43">
        <f t="shared" si="9"/>
        <v>2.5054971319999999</v>
      </c>
      <c r="U14" s="43">
        <f t="shared" si="10"/>
        <v>7.4933754180000003</v>
      </c>
      <c r="V14" s="43">
        <f t="shared" si="11"/>
        <v>2.5313774000000001E-2</v>
      </c>
      <c r="W14" s="230">
        <f t="shared" si="12"/>
        <v>0.16912037282211512</v>
      </c>
      <c r="X14" s="43">
        <f t="shared" si="13"/>
        <v>0.70955356700000005</v>
      </c>
      <c r="Y14" s="43">
        <v>72.402229779999999</v>
      </c>
      <c r="Z14" s="43">
        <f t="shared" si="2"/>
        <v>0</v>
      </c>
      <c r="AA14" s="43">
        <f t="shared" si="3"/>
        <v>19456</v>
      </c>
      <c r="AB14" s="43">
        <f t="shared" si="4"/>
        <v>7726</v>
      </c>
      <c r="AC14" s="43">
        <f t="shared" si="14"/>
        <v>6.9375521741666668E-2</v>
      </c>
      <c r="AD14" s="43">
        <f t="shared" si="15"/>
        <v>0.81067767970000004</v>
      </c>
      <c r="AF14" s="43">
        <v>13.818080821258796</v>
      </c>
      <c r="AG14" s="43">
        <v>7.5828072999999996E-2</v>
      </c>
      <c r="AH14" s="43">
        <v>2.5704222999999998E-2</v>
      </c>
      <c r="AI14" s="43">
        <v>0.766781194</v>
      </c>
      <c r="AJ14" s="43">
        <v>2.5054971319999999</v>
      </c>
      <c r="AK14" s="43">
        <v>7.4933754180000003</v>
      </c>
      <c r="AL14" s="43">
        <v>2.5313774000000001E-2</v>
      </c>
      <c r="AM14" s="230">
        <v>0.16912037282211512</v>
      </c>
      <c r="AN14" s="43">
        <v>0.70955356700000005</v>
      </c>
    </row>
    <row r="15" spans="1:40" x14ac:dyDescent="0.25">
      <c r="A15" s="134">
        <v>5</v>
      </c>
      <c r="B15" s="134" t="s">
        <v>214</v>
      </c>
      <c r="C15" s="134" t="s">
        <v>210</v>
      </c>
      <c r="D15" s="134" t="s">
        <v>211</v>
      </c>
      <c r="E15" s="134">
        <v>0</v>
      </c>
      <c r="F15" s="134">
        <v>0</v>
      </c>
      <c r="G15" s="134">
        <v>118</v>
      </c>
      <c r="H15" s="134">
        <v>255</v>
      </c>
      <c r="I15" s="200">
        <v>0.27132685891500002</v>
      </c>
      <c r="J15" s="134">
        <v>255</v>
      </c>
      <c r="K15" s="134">
        <v>939.82586545000004</v>
      </c>
      <c r="L15" s="42">
        <v>0.96703983087500001</v>
      </c>
      <c r="M15" s="42">
        <v>1</v>
      </c>
      <c r="N15" s="134">
        <v>0</v>
      </c>
      <c r="O15" s="43" t="s">
        <v>665</v>
      </c>
      <c r="P15" s="43">
        <f t="shared" si="5"/>
        <v>17.519502457913056</v>
      </c>
      <c r="Q15" s="43">
        <f t="shared" si="6"/>
        <v>7.1253608416666669E-2</v>
      </c>
      <c r="R15" s="43">
        <f t="shared" si="7"/>
        <v>1.1771489E-2</v>
      </c>
      <c r="S15" s="43">
        <f t="shared" si="8"/>
        <v>0.96703983100000002</v>
      </c>
      <c r="T15" s="43">
        <f t="shared" si="9"/>
        <v>5.372763419</v>
      </c>
      <c r="U15" s="43">
        <f t="shared" si="10"/>
        <v>12.031984680000001</v>
      </c>
      <c r="V15" s="43">
        <f t="shared" si="11"/>
        <v>7.8196870000000005E-3</v>
      </c>
      <c r="W15" s="230">
        <f t="shared" si="12"/>
        <v>0.1512904712186969</v>
      </c>
      <c r="X15" s="43">
        <f t="shared" si="13"/>
        <v>0.94388224499999995</v>
      </c>
      <c r="Y15" s="43">
        <v>61.136808350000003</v>
      </c>
      <c r="Z15" s="43">
        <f t="shared" si="2"/>
        <v>0</v>
      </c>
      <c r="AA15" s="43">
        <f t="shared" si="3"/>
        <v>19456</v>
      </c>
      <c r="AB15" s="43">
        <f t="shared" si="4"/>
        <v>7726</v>
      </c>
      <c r="AC15" s="43">
        <f t="shared" si="14"/>
        <v>6.9375521741666668E-2</v>
      </c>
      <c r="AD15" s="43">
        <f t="shared" si="15"/>
        <v>0.81067767970000004</v>
      </c>
      <c r="AF15" s="43">
        <v>17.519502457913056</v>
      </c>
      <c r="AG15" s="43">
        <v>0</v>
      </c>
      <c r="AH15" s="43">
        <v>1.1771489E-2</v>
      </c>
      <c r="AI15" s="43">
        <v>0.96703983100000002</v>
      </c>
      <c r="AJ15" s="43">
        <v>5.372763419</v>
      </c>
      <c r="AK15" s="43">
        <v>12.031984680000001</v>
      </c>
      <c r="AL15" s="43">
        <v>7.8196870000000005E-3</v>
      </c>
      <c r="AM15" s="230">
        <v>0</v>
      </c>
      <c r="AN15" s="43">
        <v>0.94388224499999995</v>
      </c>
    </row>
    <row r="16" spans="1:40" x14ac:dyDescent="0.25">
      <c r="A16" s="134">
        <v>6</v>
      </c>
      <c r="B16" s="134" t="s">
        <v>214</v>
      </c>
      <c r="C16" s="134" t="s">
        <v>210</v>
      </c>
      <c r="D16" s="134" t="s">
        <v>211</v>
      </c>
      <c r="E16" s="134">
        <v>904</v>
      </c>
      <c r="F16" s="134">
        <v>2599</v>
      </c>
      <c r="G16" s="134">
        <v>72</v>
      </c>
      <c r="H16" s="134">
        <v>566</v>
      </c>
      <c r="I16" s="200">
        <v>0.166146929597</v>
      </c>
      <c r="J16" s="134">
        <v>3165</v>
      </c>
      <c r="K16" s="134">
        <v>19049.404088800002</v>
      </c>
      <c r="L16" s="42">
        <v>0.77635108769899996</v>
      </c>
      <c r="M16" s="42">
        <v>0.385034013605</v>
      </c>
      <c r="N16" s="134">
        <v>0</v>
      </c>
      <c r="O16" s="43" t="s">
        <v>664</v>
      </c>
      <c r="P16" s="43">
        <f t="shared" si="5"/>
        <v>13.971123833259226</v>
      </c>
      <c r="Q16" s="43">
        <f t="shared" si="6"/>
        <v>7.4307790999999998E-2</v>
      </c>
      <c r="R16" s="43">
        <f t="shared" si="7"/>
        <v>2.9096754999999998E-2</v>
      </c>
      <c r="S16" s="43">
        <f t="shared" si="8"/>
        <v>0.77635108799999997</v>
      </c>
      <c r="T16" s="43">
        <f t="shared" si="9"/>
        <v>2.67733818</v>
      </c>
      <c r="U16" s="43">
        <f t="shared" si="10"/>
        <v>8.1102122229999996</v>
      </c>
      <c r="V16" s="43">
        <f t="shared" si="11"/>
        <v>2.7710911000000001E-2</v>
      </c>
      <c r="W16" s="230">
        <f t="shared" si="12"/>
        <v>0.16228031333778811</v>
      </c>
      <c r="X16" s="43">
        <f t="shared" si="13"/>
        <v>0.73549846600000002</v>
      </c>
      <c r="Y16" s="43">
        <v>69.507682990000006</v>
      </c>
      <c r="Z16" s="43">
        <f t="shared" si="2"/>
        <v>0</v>
      </c>
      <c r="AA16" s="43">
        <f t="shared" si="3"/>
        <v>19456</v>
      </c>
      <c r="AB16" s="43">
        <f t="shared" si="4"/>
        <v>7726</v>
      </c>
      <c r="AC16" s="43">
        <f t="shared" si="14"/>
        <v>6.9375521741666668E-2</v>
      </c>
      <c r="AD16" s="43">
        <f t="shared" si="15"/>
        <v>0.81067767970000004</v>
      </c>
      <c r="AF16" s="43">
        <v>13.971123833259226</v>
      </c>
      <c r="AG16" s="43">
        <v>7.4307790999999998E-2</v>
      </c>
      <c r="AH16" s="43">
        <v>2.9096754999999998E-2</v>
      </c>
      <c r="AI16" s="43">
        <v>0.77635108799999997</v>
      </c>
      <c r="AJ16" s="43">
        <v>2.67733818</v>
      </c>
      <c r="AK16" s="43">
        <v>8.1102122229999996</v>
      </c>
      <c r="AL16" s="43">
        <v>2.7710911000000001E-2</v>
      </c>
      <c r="AM16" s="230">
        <v>0.16228031333778811</v>
      </c>
      <c r="AN16" s="43">
        <v>0.73549846600000002</v>
      </c>
    </row>
    <row r="17" spans="1:40" x14ac:dyDescent="0.25">
      <c r="A17" s="134">
        <v>7</v>
      </c>
      <c r="B17" s="134" t="s">
        <v>214</v>
      </c>
      <c r="C17" s="134" t="s">
        <v>210</v>
      </c>
      <c r="D17" s="134" t="s">
        <v>211</v>
      </c>
      <c r="E17" s="134">
        <v>374</v>
      </c>
      <c r="F17" s="134">
        <v>932</v>
      </c>
      <c r="G17" s="134">
        <v>39</v>
      </c>
      <c r="H17" s="134">
        <v>448</v>
      </c>
      <c r="I17" s="200">
        <v>6.6649672472900004E-2</v>
      </c>
      <c r="J17" s="134">
        <v>1380</v>
      </c>
      <c r="K17" s="134">
        <v>20705.278042599999</v>
      </c>
      <c r="L17" s="42">
        <v>0.7991275538</v>
      </c>
      <c r="M17" s="42">
        <v>0.54501216544999997</v>
      </c>
      <c r="N17" s="134">
        <v>0</v>
      </c>
      <c r="O17" s="43" t="s">
        <v>664</v>
      </c>
      <c r="P17" s="43">
        <f t="shared" si="5"/>
        <v>13.139822927683975</v>
      </c>
      <c r="Q17" s="43">
        <f t="shared" si="6"/>
        <v>6.0841108999999997E-2</v>
      </c>
      <c r="R17" s="43">
        <f t="shared" si="7"/>
        <v>2.0301803E-2</v>
      </c>
      <c r="S17" s="43">
        <f t="shared" si="8"/>
        <v>0.79912755400000002</v>
      </c>
      <c r="T17" s="43">
        <f t="shared" si="9"/>
        <v>2.4049284050000002</v>
      </c>
      <c r="U17" s="43">
        <f t="shared" si="10"/>
        <v>7.4193000680000001</v>
      </c>
      <c r="V17" s="43">
        <f t="shared" si="11"/>
        <v>1.8546106E-2</v>
      </c>
      <c r="W17" s="230">
        <f t="shared" si="12"/>
        <v>0.1430250515928877</v>
      </c>
      <c r="X17" s="43">
        <f t="shared" si="13"/>
        <v>0.77008022499999995</v>
      </c>
      <c r="Y17" s="43">
        <v>116.4188619</v>
      </c>
      <c r="Z17" s="43">
        <f t="shared" si="2"/>
        <v>0</v>
      </c>
      <c r="AA17" s="43">
        <f t="shared" si="3"/>
        <v>19456</v>
      </c>
      <c r="AB17" s="43">
        <f t="shared" si="4"/>
        <v>7726</v>
      </c>
      <c r="AC17" s="43">
        <f t="shared" si="14"/>
        <v>6.9375521741666668E-2</v>
      </c>
      <c r="AD17" s="43">
        <f t="shared" si="15"/>
        <v>0.81067767970000004</v>
      </c>
      <c r="AF17" s="43">
        <v>13.139822927683975</v>
      </c>
      <c r="AG17" s="43">
        <v>6.0841108999999997E-2</v>
      </c>
      <c r="AH17" s="43">
        <v>2.0301803E-2</v>
      </c>
      <c r="AI17" s="43">
        <v>0.79912755400000002</v>
      </c>
      <c r="AJ17" s="43">
        <v>2.4049284050000002</v>
      </c>
      <c r="AK17" s="43">
        <v>7.4193000680000001</v>
      </c>
      <c r="AL17" s="43">
        <v>1.8546106E-2</v>
      </c>
      <c r="AM17" s="230">
        <v>0.1430250515928877</v>
      </c>
      <c r="AN17" s="43">
        <v>0.77008022499999995</v>
      </c>
    </row>
    <row r="18" spans="1:40" x14ac:dyDescent="0.25">
      <c r="A18" s="134">
        <v>8</v>
      </c>
      <c r="B18" s="134" t="s">
        <v>214</v>
      </c>
      <c r="C18" s="134" t="s">
        <v>210</v>
      </c>
      <c r="D18" s="134" t="s">
        <v>211</v>
      </c>
      <c r="E18" s="134">
        <v>601</v>
      </c>
      <c r="F18" s="134">
        <v>1498</v>
      </c>
      <c r="G18" s="134">
        <v>55</v>
      </c>
      <c r="H18" s="134">
        <v>225</v>
      </c>
      <c r="I18" s="200">
        <v>9.42512460325E-2</v>
      </c>
      <c r="J18" s="134">
        <v>1723</v>
      </c>
      <c r="K18" s="134">
        <v>18280.925425699999</v>
      </c>
      <c r="L18" s="42">
        <v>0.78205348683800002</v>
      </c>
      <c r="M18" s="42">
        <v>0.27239709443100002</v>
      </c>
      <c r="N18" s="134">
        <v>0</v>
      </c>
      <c r="O18" s="43" t="s">
        <v>664</v>
      </c>
      <c r="P18" s="43">
        <f t="shared" si="5"/>
        <v>12.215455822025197</v>
      </c>
      <c r="Q18" s="43">
        <f t="shared" si="6"/>
        <v>7.5952810999999995E-2</v>
      </c>
      <c r="R18" s="43">
        <f t="shared" si="7"/>
        <v>2.5317604E-2</v>
      </c>
      <c r="S18" s="43">
        <f t="shared" si="8"/>
        <v>0.78205348699999999</v>
      </c>
      <c r="T18" s="43">
        <f t="shared" si="9"/>
        <v>2.257582309</v>
      </c>
      <c r="U18" s="43">
        <f t="shared" si="10"/>
        <v>7.3527180510000001</v>
      </c>
      <c r="V18" s="43">
        <f t="shared" si="11"/>
        <v>1.7052570999999999E-2</v>
      </c>
      <c r="W18" s="230">
        <f t="shared" si="12"/>
        <v>0.16703597846216428</v>
      </c>
      <c r="X18" s="43">
        <f t="shared" si="13"/>
        <v>0.75168331200000005</v>
      </c>
      <c r="Y18" s="43">
        <v>95.497674079999996</v>
      </c>
      <c r="Z18" s="43">
        <f t="shared" si="2"/>
        <v>0</v>
      </c>
      <c r="AA18" s="43">
        <f t="shared" si="3"/>
        <v>19456</v>
      </c>
      <c r="AB18" s="43">
        <f t="shared" si="4"/>
        <v>7726</v>
      </c>
      <c r="AC18" s="43">
        <f t="shared" si="14"/>
        <v>6.9375521741666668E-2</v>
      </c>
      <c r="AD18" s="43">
        <f t="shared" si="15"/>
        <v>0.81067767970000004</v>
      </c>
      <c r="AF18" s="43">
        <v>12.215455822025197</v>
      </c>
      <c r="AG18" s="43">
        <v>7.5952810999999995E-2</v>
      </c>
      <c r="AH18" s="43">
        <v>2.5317604E-2</v>
      </c>
      <c r="AI18" s="43">
        <v>0.78205348699999999</v>
      </c>
      <c r="AJ18" s="43">
        <v>2.257582309</v>
      </c>
      <c r="AK18" s="43">
        <v>7.3527180510000001</v>
      </c>
      <c r="AL18" s="43">
        <v>1.7052570999999999E-2</v>
      </c>
      <c r="AM18" s="230">
        <v>0.16703597846216428</v>
      </c>
      <c r="AN18" s="43">
        <v>0.75168331200000005</v>
      </c>
    </row>
    <row r="19" spans="1:40" x14ac:dyDescent="0.25">
      <c r="A19" s="134">
        <v>9</v>
      </c>
      <c r="B19" s="134" t="s">
        <v>214</v>
      </c>
      <c r="C19" s="134" t="s">
        <v>210</v>
      </c>
      <c r="D19" s="134" t="s">
        <v>211</v>
      </c>
      <c r="E19" s="134">
        <v>731</v>
      </c>
      <c r="F19" s="134">
        <v>1752</v>
      </c>
      <c r="G19" s="134">
        <v>61</v>
      </c>
      <c r="H19" s="134">
        <v>340</v>
      </c>
      <c r="I19" s="200">
        <v>9.6989541164199999E-2</v>
      </c>
      <c r="J19" s="134">
        <v>2092</v>
      </c>
      <c r="K19" s="134">
        <v>21569.335980899999</v>
      </c>
      <c r="L19" s="42">
        <v>0.78278083665599996</v>
      </c>
      <c r="M19" s="42">
        <v>0.31746031745999997</v>
      </c>
      <c r="N19" s="134">
        <v>1</v>
      </c>
      <c r="O19" s="43" t="s">
        <v>664</v>
      </c>
      <c r="P19" s="43">
        <f t="shared" si="5"/>
        <v>13.674416447796435</v>
      </c>
      <c r="Q19" s="43">
        <f t="shared" si="6"/>
        <v>8.6652743000000004E-2</v>
      </c>
      <c r="R19" s="43">
        <f t="shared" si="7"/>
        <v>2.2115056000000001E-2</v>
      </c>
      <c r="S19" s="43">
        <f t="shared" si="8"/>
        <v>0.78278083700000001</v>
      </c>
      <c r="T19" s="43">
        <f t="shared" si="9"/>
        <v>2.7904314979999998</v>
      </c>
      <c r="U19" s="43">
        <f t="shared" si="10"/>
        <v>8.1042712869999995</v>
      </c>
      <c r="V19" s="43">
        <f t="shared" si="11"/>
        <v>1.6754779000000001E-2</v>
      </c>
      <c r="W19" s="230">
        <f t="shared" si="12"/>
        <v>0.17473991179811965</v>
      </c>
      <c r="X19" s="43">
        <f t="shared" si="13"/>
        <v>0.75463596600000005</v>
      </c>
      <c r="Y19" s="43">
        <v>181.35335040000001</v>
      </c>
      <c r="Z19" s="43">
        <f t="shared" si="2"/>
        <v>0</v>
      </c>
      <c r="AA19" s="43">
        <f t="shared" si="3"/>
        <v>19456</v>
      </c>
      <c r="AB19" s="43">
        <f t="shared" si="4"/>
        <v>7726</v>
      </c>
      <c r="AC19" s="43">
        <f t="shared" si="14"/>
        <v>6.9375521741666668E-2</v>
      </c>
      <c r="AD19" s="43">
        <f t="shared" si="15"/>
        <v>0.81067767970000004</v>
      </c>
      <c r="AF19" s="43">
        <v>13.674416447796435</v>
      </c>
      <c r="AG19" s="43">
        <v>8.6652743000000004E-2</v>
      </c>
      <c r="AH19" s="43">
        <v>2.2115056000000001E-2</v>
      </c>
      <c r="AI19" s="43">
        <v>0.78278083700000001</v>
      </c>
      <c r="AJ19" s="43">
        <v>2.7904314979999998</v>
      </c>
      <c r="AK19" s="43">
        <v>8.1042712869999995</v>
      </c>
      <c r="AL19" s="43">
        <v>1.6754779000000001E-2</v>
      </c>
      <c r="AM19" s="230">
        <v>0.17473991179811965</v>
      </c>
      <c r="AN19" s="43">
        <v>0.75463596600000005</v>
      </c>
    </row>
    <row r="20" spans="1:40" x14ac:dyDescent="0.25">
      <c r="A20" s="134">
        <v>10</v>
      </c>
      <c r="B20" s="134" t="s">
        <v>214</v>
      </c>
      <c r="C20" s="134" t="s">
        <v>210</v>
      </c>
      <c r="D20" s="134" t="s">
        <v>211</v>
      </c>
      <c r="E20" s="134">
        <v>523</v>
      </c>
      <c r="F20" s="134">
        <v>1254</v>
      </c>
      <c r="G20" s="134">
        <v>49</v>
      </c>
      <c r="H20" s="134">
        <v>377</v>
      </c>
      <c r="I20" s="200">
        <v>7.7744272858800006E-2</v>
      </c>
      <c r="J20" s="134">
        <v>1631</v>
      </c>
      <c r="K20" s="134">
        <v>20979.037297899999</v>
      </c>
      <c r="L20" s="42">
        <v>0.78954437441900005</v>
      </c>
      <c r="M20" s="42">
        <v>0.418888888889</v>
      </c>
      <c r="N20" s="134">
        <v>0</v>
      </c>
      <c r="O20" s="43" t="s">
        <v>664</v>
      </c>
      <c r="P20" s="43">
        <f t="shared" si="5"/>
        <v>13.095293961464817</v>
      </c>
      <c r="Q20" s="43">
        <f t="shared" si="6"/>
        <v>7.0637148999999996E-2</v>
      </c>
      <c r="R20" s="43">
        <f t="shared" si="7"/>
        <v>2.249168E-2</v>
      </c>
      <c r="S20" s="43">
        <f t="shared" si="8"/>
        <v>0.78954437399999999</v>
      </c>
      <c r="T20" s="43">
        <f t="shared" si="9"/>
        <v>2.5446254530000001</v>
      </c>
      <c r="U20" s="43">
        <f t="shared" si="10"/>
        <v>7.5295328469999996</v>
      </c>
      <c r="V20" s="43">
        <f t="shared" si="11"/>
        <v>1.9122903E-2</v>
      </c>
      <c r="W20" s="230">
        <f t="shared" si="12"/>
        <v>0.1509478616902942</v>
      </c>
      <c r="X20" s="43">
        <f t="shared" si="13"/>
        <v>0.76457293000000004</v>
      </c>
      <c r="Y20" s="43">
        <v>165.92903129999999</v>
      </c>
      <c r="Z20" s="43">
        <f t="shared" si="2"/>
        <v>0</v>
      </c>
      <c r="AA20" s="43">
        <f t="shared" si="3"/>
        <v>19456</v>
      </c>
      <c r="AB20" s="43">
        <f t="shared" si="4"/>
        <v>7726</v>
      </c>
      <c r="AC20" s="43">
        <f t="shared" si="14"/>
        <v>6.9375521741666668E-2</v>
      </c>
      <c r="AD20" s="43">
        <f t="shared" si="15"/>
        <v>0.81067767970000004</v>
      </c>
      <c r="AF20" s="43">
        <v>13.095293961464817</v>
      </c>
      <c r="AG20" s="43">
        <v>7.0637148999999996E-2</v>
      </c>
      <c r="AH20" s="43">
        <v>2.249168E-2</v>
      </c>
      <c r="AI20" s="43">
        <v>0.78954437399999999</v>
      </c>
      <c r="AJ20" s="43">
        <v>2.5446254530000001</v>
      </c>
      <c r="AK20" s="43">
        <v>7.5295328469999996</v>
      </c>
      <c r="AL20" s="43">
        <v>1.9122903E-2</v>
      </c>
      <c r="AM20" s="230">
        <v>0.1509478616902942</v>
      </c>
      <c r="AN20" s="43">
        <v>0.76457293000000004</v>
      </c>
    </row>
    <row r="21" spans="1:40" x14ac:dyDescent="0.25">
      <c r="A21" s="134">
        <v>11</v>
      </c>
      <c r="B21" s="134" t="s">
        <v>214</v>
      </c>
      <c r="C21" s="134" t="s">
        <v>210</v>
      </c>
      <c r="D21" s="134" t="s">
        <v>211</v>
      </c>
      <c r="E21" s="134">
        <v>897</v>
      </c>
      <c r="F21" s="134">
        <v>2395</v>
      </c>
      <c r="G21" s="134">
        <v>128</v>
      </c>
      <c r="H21" s="134">
        <v>670</v>
      </c>
      <c r="I21" s="200">
        <v>0.216458655374</v>
      </c>
      <c r="J21" s="134">
        <v>3065</v>
      </c>
      <c r="K21" s="134">
        <v>14159.7479422</v>
      </c>
      <c r="L21" s="42">
        <v>0.78218080561299996</v>
      </c>
      <c r="M21" s="42">
        <v>0.427568602425</v>
      </c>
      <c r="N21" s="134">
        <v>1</v>
      </c>
      <c r="O21" s="43" t="s">
        <v>664</v>
      </c>
      <c r="P21" s="43">
        <f t="shared" si="5"/>
        <v>12.832911212285854</v>
      </c>
      <c r="Q21" s="43">
        <f t="shared" si="6"/>
        <v>6.2637595000000004E-2</v>
      </c>
      <c r="R21" s="43">
        <f t="shared" si="7"/>
        <v>4.7004165000000001E-2</v>
      </c>
      <c r="S21" s="43">
        <f t="shared" si="8"/>
        <v>0.78218080599999995</v>
      </c>
      <c r="T21" s="43">
        <f t="shared" si="9"/>
        <v>2.7959874560000002</v>
      </c>
      <c r="U21" s="43">
        <f t="shared" si="10"/>
        <v>7.6865600110000001</v>
      </c>
      <c r="V21" s="43">
        <f t="shared" si="11"/>
        <v>1.4998964E-2</v>
      </c>
      <c r="W21" s="230">
        <f t="shared" si="12"/>
        <v>0.12480293447060818</v>
      </c>
      <c r="X21" s="43">
        <f t="shared" si="13"/>
        <v>0.81299658900000005</v>
      </c>
      <c r="Y21" s="43">
        <v>183.46516410000001</v>
      </c>
      <c r="Z21" s="43">
        <f t="shared" si="2"/>
        <v>0</v>
      </c>
      <c r="AA21" s="43">
        <f t="shared" si="3"/>
        <v>19456</v>
      </c>
      <c r="AB21" s="43">
        <f t="shared" si="4"/>
        <v>7726</v>
      </c>
      <c r="AC21" s="43">
        <f t="shared" si="14"/>
        <v>6.9375521741666668E-2</v>
      </c>
      <c r="AD21" s="43">
        <f t="shared" si="15"/>
        <v>0.81067767970000004</v>
      </c>
      <c r="AF21" s="43">
        <v>12.832911212285854</v>
      </c>
      <c r="AG21" s="43">
        <v>6.2637595000000004E-2</v>
      </c>
      <c r="AH21" s="43">
        <v>4.7004165000000001E-2</v>
      </c>
      <c r="AI21" s="43">
        <v>0.78218080599999995</v>
      </c>
      <c r="AJ21" s="43">
        <v>2.7959874560000002</v>
      </c>
      <c r="AK21" s="43">
        <v>7.6865600110000001</v>
      </c>
      <c r="AL21" s="43">
        <v>1.4998964E-2</v>
      </c>
      <c r="AM21" s="230">
        <v>0.12480293447060818</v>
      </c>
      <c r="AN21" s="43">
        <v>0.81299658900000005</v>
      </c>
    </row>
    <row r="22" spans="1:40" x14ac:dyDescent="0.25">
      <c r="A22" s="134">
        <v>12</v>
      </c>
      <c r="B22" s="134" t="s">
        <v>214</v>
      </c>
      <c r="C22" s="134" t="s">
        <v>210</v>
      </c>
      <c r="D22" s="134" t="s">
        <v>211</v>
      </c>
      <c r="E22" s="134">
        <v>384</v>
      </c>
      <c r="F22" s="134">
        <v>989</v>
      </c>
      <c r="G22" s="134">
        <v>56</v>
      </c>
      <c r="H22" s="134">
        <v>306</v>
      </c>
      <c r="I22" s="200">
        <v>8.84747179262E-2</v>
      </c>
      <c r="J22" s="134">
        <v>1295</v>
      </c>
      <c r="K22" s="134">
        <v>14636.949745100001</v>
      </c>
      <c r="L22" s="42">
        <v>0.81501584095000001</v>
      </c>
      <c r="M22" s="42">
        <v>0.44347826086999997</v>
      </c>
      <c r="N22" s="134">
        <v>0</v>
      </c>
      <c r="O22" s="43" t="s">
        <v>664</v>
      </c>
      <c r="P22" s="43">
        <f t="shared" si="5"/>
        <v>13.009293834806256</v>
      </c>
      <c r="Q22" s="43">
        <f t="shared" si="6"/>
        <v>5.7473641999999998E-2</v>
      </c>
      <c r="R22" s="43">
        <f t="shared" si="7"/>
        <v>2.0213944000000001E-2</v>
      </c>
      <c r="S22" s="43">
        <f t="shared" si="8"/>
        <v>0.81501584100000002</v>
      </c>
      <c r="T22" s="43">
        <f t="shared" si="9"/>
        <v>2.2940112539999999</v>
      </c>
      <c r="U22" s="43">
        <f t="shared" si="10"/>
        <v>7.5671412790000003</v>
      </c>
      <c r="V22" s="43">
        <f t="shared" si="11"/>
        <v>1.3427203E-2</v>
      </c>
      <c r="W22" s="230">
        <f t="shared" si="12"/>
        <v>0.12919146465379591</v>
      </c>
      <c r="X22" s="43">
        <f t="shared" si="13"/>
        <v>0.80110320800000001</v>
      </c>
      <c r="Y22" s="43">
        <v>101.6115345</v>
      </c>
      <c r="Z22" s="43">
        <f t="shared" si="2"/>
        <v>0</v>
      </c>
      <c r="AA22" s="43">
        <f t="shared" si="3"/>
        <v>19456</v>
      </c>
      <c r="AB22" s="43">
        <f t="shared" si="4"/>
        <v>7726</v>
      </c>
      <c r="AC22" s="43">
        <f t="shared" si="14"/>
        <v>6.9375521741666668E-2</v>
      </c>
      <c r="AD22" s="43">
        <f t="shared" si="15"/>
        <v>0.81067767970000004</v>
      </c>
      <c r="AF22" s="43">
        <v>13.009293834806256</v>
      </c>
      <c r="AG22" s="43">
        <v>5.7473641999999998E-2</v>
      </c>
      <c r="AH22" s="43">
        <v>2.0213944000000001E-2</v>
      </c>
      <c r="AI22" s="43">
        <v>0.81501584100000002</v>
      </c>
      <c r="AJ22" s="43">
        <v>2.2940112539999999</v>
      </c>
      <c r="AK22" s="43">
        <v>7.5671412790000003</v>
      </c>
      <c r="AL22" s="43">
        <v>1.3427203E-2</v>
      </c>
      <c r="AM22" s="230">
        <v>0.12919146465379591</v>
      </c>
      <c r="AN22" s="43">
        <v>0.80110320800000001</v>
      </c>
    </row>
    <row r="23" spans="1:40" x14ac:dyDescent="0.25">
      <c r="A23" s="134">
        <v>13</v>
      </c>
      <c r="B23" s="134" t="s">
        <v>214</v>
      </c>
      <c r="C23" s="134" t="s">
        <v>210</v>
      </c>
      <c r="D23" s="134" t="s">
        <v>211</v>
      </c>
      <c r="E23" s="134">
        <v>900</v>
      </c>
      <c r="F23" s="134">
        <v>2318</v>
      </c>
      <c r="G23" s="134">
        <v>140</v>
      </c>
      <c r="H23" s="134">
        <v>439</v>
      </c>
      <c r="I23" s="200">
        <v>0.219326659338</v>
      </c>
      <c r="J23" s="134">
        <v>2757</v>
      </c>
      <c r="K23" s="134">
        <v>12570.291310299999</v>
      </c>
      <c r="L23" s="42">
        <v>0.83023610837899997</v>
      </c>
      <c r="M23" s="42">
        <v>0.32785660941</v>
      </c>
      <c r="N23" s="134">
        <v>0</v>
      </c>
      <c r="O23" s="43" t="s">
        <v>664</v>
      </c>
      <c r="P23" s="43">
        <f t="shared" si="5"/>
        <v>12.932177901241682</v>
      </c>
      <c r="Q23" s="43">
        <f t="shared" si="6"/>
        <v>5.4084833999999998E-2</v>
      </c>
      <c r="R23" s="43">
        <f t="shared" si="7"/>
        <v>2.2215354E-2</v>
      </c>
      <c r="S23" s="43">
        <f t="shared" si="8"/>
        <v>0.83023610800000003</v>
      </c>
      <c r="T23" s="43">
        <f t="shared" si="9"/>
        <v>2.3047747479999998</v>
      </c>
      <c r="U23" s="43">
        <f t="shared" si="10"/>
        <v>7.8175901769999996</v>
      </c>
      <c r="V23" s="43">
        <f t="shared" si="11"/>
        <v>1.2500249999999999E-2</v>
      </c>
      <c r="W23" s="230">
        <f t="shared" si="12"/>
        <v>0.12491578673532688</v>
      </c>
      <c r="X23" s="43">
        <f t="shared" si="13"/>
        <v>0.82290200599999996</v>
      </c>
      <c r="Y23" s="43">
        <v>109.5295941</v>
      </c>
      <c r="Z23" s="43">
        <f t="shared" si="2"/>
        <v>0</v>
      </c>
      <c r="AA23" s="43">
        <f t="shared" si="3"/>
        <v>19456</v>
      </c>
      <c r="AB23" s="43">
        <f t="shared" si="4"/>
        <v>7726</v>
      </c>
      <c r="AC23" s="43">
        <f t="shared" si="14"/>
        <v>6.9375521741666668E-2</v>
      </c>
      <c r="AD23" s="43">
        <f t="shared" si="15"/>
        <v>0.81067767970000004</v>
      </c>
      <c r="AF23" s="43">
        <v>12.932177901241682</v>
      </c>
      <c r="AG23" s="43">
        <v>5.4084833999999998E-2</v>
      </c>
      <c r="AH23" s="43">
        <v>2.2215354E-2</v>
      </c>
      <c r="AI23" s="43">
        <v>0.83023610800000003</v>
      </c>
      <c r="AJ23" s="43">
        <v>2.3047747479999998</v>
      </c>
      <c r="AK23" s="43">
        <v>7.8175901769999996</v>
      </c>
      <c r="AL23" s="43">
        <v>1.2500249999999999E-2</v>
      </c>
      <c r="AM23" s="230">
        <v>0.12491578673532688</v>
      </c>
      <c r="AN23" s="43">
        <v>0.82290200599999996</v>
      </c>
    </row>
    <row r="24" spans="1:40" x14ac:dyDescent="0.25">
      <c r="A24" s="134">
        <v>14</v>
      </c>
      <c r="B24" s="134" t="s">
        <v>213</v>
      </c>
      <c r="C24" s="134" t="s">
        <v>210</v>
      </c>
      <c r="D24" s="134" t="s">
        <v>211</v>
      </c>
      <c r="E24" s="134">
        <v>112</v>
      </c>
      <c r="F24" s="134">
        <v>259</v>
      </c>
      <c r="G24" s="134">
        <v>22</v>
      </c>
      <c r="H24" s="134">
        <v>182</v>
      </c>
      <c r="I24" s="200">
        <v>3.7964120988100002E-2</v>
      </c>
      <c r="J24" s="134">
        <v>441</v>
      </c>
      <c r="K24" s="134">
        <v>11616.2310235</v>
      </c>
      <c r="L24" s="42">
        <v>0.81975484141599997</v>
      </c>
      <c r="M24" s="42">
        <v>0.61904761904799999</v>
      </c>
      <c r="N24" s="134">
        <v>0</v>
      </c>
      <c r="O24" s="43" t="s">
        <v>664</v>
      </c>
      <c r="P24" s="43">
        <f t="shared" si="5"/>
        <v>12.316643546645945</v>
      </c>
      <c r="Q24" s="43">
        <f t="shared" si="6"/>
        <v>5.0930996999999999E-2</v>
      </c>
      <c r="R24" s="43">
        <f t="shared" si="7"/>
        <v>2.8931974999999999E-2</v>
      </c>
      <c r="S24" s="43">
        <f t="shared" si="8"/>
        <v>0.81975484099999996</v>
      </c>
      <c r="T24" s="43">
        <f t="shared" si="9"/>
        <v>2.0760563379999999</v>
      </c>
      <c r="U24" s="43">
        <f t="shared" si="10"/>
        <v>7.1627687719999997</v>
      </c>
      <c r="V24" s="43">
        <f t="shared" si="11"/>
        <v>2.1148393000000001E-2</v>
      </c>
      <c r="W24" s="230">
        <f t="shared" si="12"/>
        <v>0.10215816005040959</v>
      </c>
      <c r="X24" s="43">
        <f t="shared" si="13"/>
        <v>0.80647447999999999</v>
      </c>
      <c r="Y24" s="43">
        <v>143.10850909999999</v>
      </c>
      <c r="Z24" s="43">
        <f t="shared" si="2"/>
        <v>1</v>
      </c>
      <c r="AA24" s="43">
        <f t="shared" si="3"/>
        <v>127833</v>
      </c>
      <c r="AB24" s="43">
        <f t="shared" si="4"/>
        <v>52297</v>
      </c>
      <c r="AC24" s="43">
        <f t="shared" si="14"/>
        <v>6.9618232924242435E-2</v>
      </c>
      <c r="AD24" s="43">
        <f t="shared" si="15"/>
        <v>0.78767596906060611</v>
      </c>
      <c r="AF24" s="43">
        <v>12.316643546645945</v>
      </c>
      <c r="AG24" s="43">
        <v>5.0930996999999999E-2</v>
      </c>
      <c r="AH24" s="43">
        <v>2.8931974999999999E-2</v>
      </c>
      <c r="AI24" s="43">
        <v>0.81975484099999996</v>
      </c>
      <c r="AJ24" s="43">
        <v>2.0760563379999999</v>
      </c>
      <c r="AK24" s="43">
        <v>7.1627687719999997</v>
      </c>
      <c r="AL24" s="43">
        <v>2.1148393000000001E-2</v>
      </c>
      <c r="AM24" s="230">
        <v>0.10215816005040959</v>
      </c>
      <c r="AN24" s="43">
        <v>0.80647447999999999</v>
      </c>
    </row>
    <row r="25" spans="1:40" x14ac:dyDescent="0.25">
      <c r="A25" s="134">
        <v>15</v>
      </c>
      <c r="B25" s="134" t="s">
        <v>213</v>
      </c>
      <c r="C25" s="134" t="s">
        <v>210</v>
      </c>
      <c r="D25" s="134" t="s">
        <v>211</v>
      </c>
      <c r="E25" s="134">
        <v>235</v>
      </c>
      <c r="F25" s="134">
        <v>543</v>
      </c>
      <c r="G25" s="134">
        <v>38</v>
      </c>
      <c r="H25" s="134">
        <v>298</v>
      </c>
      <c r="I25" s="200">
        <v>6.5055944176300007E-2</v>
      </c>
      <c r="J25" s="134">
        <v>841</v>
      </c>
      <c r="K25" s="134">
        <v>12927.3352443</v>
      </c>
      <c r="L25" s="42">
        <v>0.83110961296800001</v>
      </c>
      <c r="M25" s="42">
        <v>0.55909943714800003</v>
      </c>
      <c r="N25" s="134">
        <v>0</v>
      </c>
      <c r="O25" s="43" t="s">
        <v>664</v>
      </c>
      <c r="P25" s="43">
        <f t="shared" si="5"/>
        <v>12.353241371614041</v>
      </c>
      <c r="Q25" s="43">
        <f t="shared" si="6"/>
        <v>4.3845187000000001E-2</v>
      </c>
      <c r="R25" s="43">
        <f t="shared" si="7"/>
        <v>3.0711242999999999E-2</v>
      </c>
      <c r="S25" s="43">
        <f t="shared" si="8"/>
        <v>0.83110961299999997</v>
      </c>
      <c r="T25" s="43">
        <f t="shared" si="9"/>
        <v>2.073963317</v>
      </c>
      <c r="U25" s="43">
        <f t="shared" si="10"/>
        <v>7.3789133759999999</v>
      </c>
      <c r="V25" s="43">
        <f t="shared" si="11"/>
        <v>2.2331528E-2</v>
      </c>
      <c r="W25" s="230">
        <f t="shared" si="12"/>
        <v>9.3310918788784433E-2</v>
      </c>
      <c r="X25" s="43">
        <f t="shared" si="13"/>
        <v>0.83201544100000002</v>
      </c>
      <c r="Y25" s="43">
        <v>131.7272907</v>
      </c>
      <c r="Z25" s="43">
        <f t="shared" si="2"/>
        <v>1</v>
      </c>
      <c r="AA25" s="43">
        <f t="shared" si="3"/>
        <v>127833</v>
      </c>
      <c r="AB25" s="43">
        <f t="shared" si="4"/>
        <v>52297</v>
      </c>
      <c r="AC25" s="43">
        <f t="shared" si="14"/>
        <v>6.9618232924242435E-2</v>
      </c>
      <c r="AD25" s="43">
        <f t="shared" si="15"/>
        <v>0.78767596906060611</v>
      </c>
      <c r="AF25" s="43">
        <v>12.353241371614041</v>
      </c>
      <c r="AG25" s="43">
        <v>4.3845187000000001E-2</v>
      </c>
      <c r="AH25" s="43">
        <v>3.0711242999999999E-2</v>
      </c>
      <c r="AI25" s="43">
        <v>0.83110961299999997</v>
      </c>
      <c r="AJ25" s="43">
        <v>2.073963317</v>
      </c>
      <c r="AK25" s="43">
        <v>7.3789133759999999</v>
      </c>
      <c r="AL25" s="43">
        <v>2.2331528E-2</v>
      </c>
      <c r="AM25" s="230">
        <v>9.3310918788784433E-2</v>
      </c>
      <c r="AN25" s="43">
        <v>0.83201544100000002</v>
      </c>
    </row>
    <row r="26" spans="1:40" x14ac:dyDescent="0.25">
      <c r="A26" s="134">
        <v>16</v>
      </c>
      <c r="B26" s="134" t="s">
        <v>213</v>
      </c>
      <c r="C26" s="134" t="s">
        <v>210</v>
      </c>
      <c r="D26" s="134" t="s">
        <v>211</v>
      </c>
      <c r="E26" s="134">
        <v>377</v>
      </c>
      <c r="F26" s="134">
        <v>873</v>
      </c>
      <c r="G26" s="134">
        <v>51</v>
      </c>
      <c r="H26" s="134">
        <v>489</v>
      </c>
      <c r="I26" s="200">
        <v>8.8603856602900002E-2</v>
      </c>
      <c r="J26" s="134">
        <v>1362</v>
      </c>
      <c r="K26" s="134">
        <v>15371.791389399999</v>
      </c>
      <c r="L26" s="42">
        <v>0.82252269765499997</v>
      </c>
      <c r="M26" s="42">
        <v>0.56466512702100002</v>
      </c>
      <c r="N26" s="134">
        <v>0</v>
      </c>
      <c r="O26" s="43" t="s">
        <v>664</v>
      </c>
      <c r="P26" s="43">
        <f t="shared" si="5"/>
        <v>12.871046230780928</v>
      </c>
      <c r="Q26" s="43">
        <f t="shared" si="6"/>
        <v>5.0431632999999997E-2</v>
      </c>
      <c r="R26" s="43">
        <f t="shared" si="7"/>
        <v>3.1413123000000001E-2</v>
      </c>
      <c r="S26" s="43">
        <f t="shared" si="8"/>
        <v>0.822522698</v>
      </c>
      <c r="T26" s="43">
        <f t="shared" si="9"/>
        <v>2.0269387289999998</v>
      </c>
      <c r="U26" s="43">
        <f t="shared" si="10"/>
        <v>7.389248051</v>
      </c>
      <c r="V26" s="43">
        <f t="shared" si="11"/>
        <v>2.3304456000000001E-2</v>
      </c>
      <c r="W26" s="230">
        <f t="shared" si="12"/>
        <v>0.1058835680993635</v>
      </c>
      <c r="X26" s="43">
        <f t="shared" si="13"/>
        <v>0.82253753900000004</v>
      </c>
      <c r="Y26" s="43">
        <v>151.9876295</v>
      </c>
      <c r="Z26" s="43">
        <f t="shared" si="2"/>
        <v>1</v>
      </c>
      <c r="AA26" s="43">
        <f t="shared" si="3"/>
        <v>127833</v>
      </c>
      <c r="AB26" s="43">
        <f t="shared" si="4"/>
        <v>52297</v>
      </c>
      <c r="AC26" s="43">
        <f t="shared" si="14"/>
        <v>6.9618232924242435E-2</v>
      </c>
      <c r="AD26" s="43">
        <f t="shared" si="15"/>
        <v>0.78767596906060611</v>
      </c>
      <c r="AF26" s="43">
        <v>12.871046230780928</v>
      </c>
      <c r="AG26" s="43">
        <v>5.0431632999999997E-2</v>
      </c>
      <c r="AH26" s="43">
        <v>3.1413123000000001E-2</v>
      </c>
      <c r="AI26" s="43">
        <v>0.822522698</v>
      </c>
      <c r="AJ26" s="43">
        <v>2.0269387289999998</v>
      </c>
      <c r="AK26" s="43">
        <v>7.389248051</v>
      </c>
      <c r="AL26" s="43">
        <v>2.3304456000000001E-2</v>
      </c>
      <c r="AM26" s="230">
        <v>0.1058835680993635</v>
      </c>
      <c r="AN26" s="43">
        <v>0.82253753900000004</v>
      </c>
    </row>
    <row r="27" spans="1:40" x14ac:dyDescent="0.25">
      <c r="A27" s="134">
        <v>17</v>
      </c>
      <c r="B27" s="134" t="s">
        <v>213</v>
      </c>
      <c r="C27" s="134" t="s">
        <v>210</v>
      </c>
      <c r="D27" s="134" t="s">
        <v>211</v>
      </c>
      <c r="E27" s="134">
        <v>526</v>
      </c>
      <c r="F27" s="134">
        <v>1216</v>
      </c>
      <c r="G27" s="134">
        <v>68</v>
      </c>
      <c r="H27" s="134">
        <v>384</v>
      </c>
      <c r="I27" s="200">
        <v>0.11689571708300001</v>
      </c>
      <c r="J27" s="134">
        <v>1600</v>
      </c>
      <c r="K27" s="134">
        <v>13687.4133623</v>
      </c>
      <c r="L27" s="42">
        <v>0.83352510819500003</v>
      </c>
      <c r="M27" s="42">
        <v>0.421978021978</v>
      </c>
      <c r="N27" s="134">
        <v>0</v>
      </c>
      <c r="O27" s="43" t="s">
        <v>664</v>
      </c>
      <c r="P27" s="43">
        <f t="shared" si="5"/>
        <v>12.969702741489117</v>
      </c>
      <c r="Q27" s="43">
        <f t="shared" si="6"/>
        <v>5.0453962999999998E-2</v>
      </c>
      <c r="R27" s="43">
        <f t="shared" si="7"/>
        <v>2.6009823000000001E-2</v>
      </c>
      <c r="S27" s="43">
        <f t="shared" si="8"/>
        <v>0.83352510800000001</v>
      </c>
      <c r="T27" s="43">
        <f t="shared" si="9"/>
        <v>2.2821189140000002</v>
      </c>
      <c r="U27" s="43">
        <f t="shared" si="10"/>
        <v>7.6837815440000004</v>
      </c>
      <c r="V27" s="43">
        <f t="shared" si="11"/>
        <v>1.9830568E-2</v>
      </c>
      <c r="W27" s="230">
        <f t="shared" si="12"/>
        <v>0.11788347029645375</v>
      </c>
      <c r="X27" s="43">
        <f t="shared" si="13"/>
        <v>0.81603579000000004</v>
      </c>
      <c r="Y27" s="43">
        <v>176.26863359999999</v>
      </c>
      <c r="Z27" s="43">
        <f t="shared" si="2"/>
        <v>1</v>
      </c>
      <c r="AA27" s="43">
        <f t="shared" si="3"/>
        <v>127833</v>
      </c>
      <c r="AB27" s="43">
        <f t="shared" si="4"/>
        <v>52297</v>
      </c>
      <c r="AC27" s="43">
        <f t="shared" si="14"/>
        <v>6.9618232924242435E-2</v>
      </c>
      <c r="AD27" s="43">
        <f t="shared" si="15"/>
        <v>0.78767596906060611</v>
      </c>
      <c r="AF27" s="43">
        <v>12.969702741489117</v>
      </c>
      <c r="AG27" s="43">
        <v>5.0453962999999998E-2</v>
      </c>
      <c r="AH27" s="43">
        <v>2.6009823000000001E-2</v>
      </c>
      <c r="AI27" s="43">
        <v>0.83352510800000001</v>
      </c>
      <c r="AJ27" s="43">
        <v>2.2821189140000002</v>
      </c>
      <c r="AK27" s="43">
        <v>7.6837815440000004</v>
      </c>
      <c r="AL27" s="43">
        <v>1.9830568E-2</v>
      </c>
      <c r="AM27" s="230">
        <v>0.11788347029645375</v>
      </c>
      <c r="AN27" s="43">
        <v>0.81603579000000004</v>
      </c>
    </row>
    <row r="28" spans="1:40" x14ac:dyDescent="0.25">
      <c r="A28" s="134">
        <v>18</v>
      </c>
      <c r="B28" s="134" t="s">
        <v>213</v>
      </c>
      <c r="C28" s="134" t="s">
        <v>210</v>
      </c>
      <c r="D28" s="134" t="s">
        <v>211</v>
      </c>
      <c r="E28" s="134">
        <v>439</v>
      </c>
      <c r="F28" s="134">
        <v>1016</v>
      </c>
      <c r="G28" s="134">
        <v>68</v>
      </c>
      <c r="H28" s="134">
        <v>385</v>
      </c>
      <c r="I28" s="200">
        <v>0.117057856106</v>
      </c>
      <c r="J28" s="134">
        <v>1401</v>
      </c>
      <c r="K28" s="134">
        <v>11968.440620699999</v>
      </c>
      <c r="L28" s="42">
        <v>0.847789861275</v>
      </c>
      <c r="M28" s="42">
        <v>0.467233009709</v>
      </c>
      <c r="N28" s="134">
        <v>0</v>
      </c>
      <c r="O28" s="43" t="s">
        <v>664</v>
      </c>
      <c r="P28" s="43">
        <f t="shared" si="5"/>
        <v>13.112962767941852</v>
      </c>
      <c r="Q28" s="43">
        <f t="shared" si="6"/>
        <v>5.4347788000000001E-2</v>
      </c>
      <c r="R28" s="43">
        <f t="shared" si="7"/>
        <v>2.5715373999999999E-2</v>
      </c>
      <c r="S28" s="43">
        <f t="shared" si="8"/>
        <v>0.84778986099999998</v>
      </c>
      <c r="T28" s="43">
        <f t="shared" si="9"/>
        <v>2.531400638</v>
      </c>
      <c r="U28" s="43">
        <f t="shared" si="10"/>
        <v>8.1598481730000003</v>
      </c>
      <c r="V28" s="43">
        <f t="shared" si="11"/>
        <v>1.9953853000000001E-2</v>
      </c>
      <c r="W28" s="230">
        <f t="shared" si="12"/>
        <v>0.11614437407294045</v>
      </c>
      <c r="X28" s="43">
        <f t="shared" si="13"/>
        <v>0.82842040800000005</v>
      </c>
      <c r="Y28" s="43">
        <v>159.29631649999999</v>
      </c>
      <c r="Z28" s="43">
        <f t="shared" si="2"/>
        <v>1</v>
      </c>
      <c r="AA28" s="43">
        <f t="shared" si="3"/>
        <v>127833</v>
      </c>
      <c r="AB28" s="43">
        <f t="shared" si="4"/>
        <v>52297</v>
      </c>
      <c r="AC28" s="43">
        <f t="shared" si="14"/>
        <v>6.9618232924242435E-2</v>
      </c>
      <c r="AD28" s="43">
        <f t="shared" si="15"/>
        <v>0.78767596906060611</v>
      </c>
      <c r="AF28" s="43">
        <v>13.112962767941852</v>
      </c>
      <c r="AG28" s="43">
        <v>5.4347788000000001E-2</v>
      </c>
      <c r="AH28" s="43">
        <v>2.5715373999999999E-2</v>
      </c>
      <c r="AI28" s="43">
        <v>0.84778986099999998</v>
      </c>
      <c r="AJ28" s="43">
        <v>2.531400638</v>
      </c>
      <c r="AK28" s="43">
        <v>8.1598481730000003</v>
      </c>
      <c r="AL28" s="43">
        <v>1.9953853000000001E-2</v>
      </c>
      <c r="AM28" s="230">
        <v>0.11614437407294045</v>
      </c>
      <c r="AN28" s="43">
        <v>0.82842040800000005</v>
      </c>
    </row>
    <row r="29" spans="1:40" x14ac:dyDescent="0.25">
      <c r="A29" s="134">
        <v>19</v>
      </c>
      <c r="B29" s="134" t="s">
        <v>213</v>
      </c>
      <c r="C29" s="134" t="s">
        <v>210</v>
      </c>
      <c r="D29" s="134" t="s">
        <v>211</v>
      </c>
      <c r="E29" s="134">
        <v>675</v>
      </c>
      <c r="F29" s="134">
        <v>1632</v>
      </c>
      <c r="G29" s="134">
        <v>115</v>
      </c>
      <c r="H29" s="134">
        <v>423</v>
      </c>
      <c r="I29" s="200">
        <v>0.18213914508000001</v>
      </c>
      <c r="J29" s="134">
        <v>2055</v>
      </c>
      <c r="K29" s="134">
        <v>11282.582879699999</v>
      </c>
      <c r="L29" s="42">
        <v>0.82899746922100004</v>
      </c>
      <c r="M29" s="42">
        <v>0.38524590163900002</v>
      </c>
      <c r="N29" s="134">
        <v>0</v>
      </c>
      <c r="O29" s="43" t="s">
        <v>664</v>
      </c>
      <c r="P29" s="43">
        <f t="shared" si="5"/>
        <v>12.325519432774403</v>
      </c>
      <c r="Q29" s="43">
        <f t="shared" si="6"/>
        <v>5.7653756E-2</v>
      </c>
      <c r="R29" s="43">
        <f t="shared" si="7"/>
        <v>2.7662361999999999E-2</v>
      </c>
      <c r="S29" s="43">
        <f t="shared" si="8"/>
        <v>0.82899746900000004</v>
      </c>
      <c r="T29" s="43">
        <f t="shared" si="9"/>
        <v>2.0825032280000002</v>
      </c>
      <c r="U29" s="43">
        <f t="shared" si="10"/>
        <v>7.5362089169999997</v>
      </c>
      <c r="V29" s="43">
        <f t="shared" si="11"/>
        <v>1.7977046999999999E-2</v>
      </c>
      <c r="W29" s="230">
        <f t="shared" si="12"/>
        <v>0.12742117534623529</v>
      </c>
      <c r="X29" s="43">
        <f t="shared" si="13"/>
        <v>0.81854057999999996</v>
      </c>
      <c r="Y29" s="43">
        <v>143.623875</v>
      </c>
      <c r="Z29" s="43">
        <f t="shared" si="2"/>
        <v>1</v>
      </c>
      <c r="AA29" s="43">
        <f t="shared" si="3"/>
        <v>127833</v>
      </c>
      <c r="AB29" s="43">
        <f t="shared" si="4"/>
        <v>52297</v>
      </c>
      <c r="AC29" s="43">
        <f t="shared" si="14"/>
        <v>6.9618232924242435E-2</v>
      </c>
      <c r="AD29" s="43">
        <f t="shared" si="15"/>
        <v>0.78767596906060611</v>
      </c>
      <c r="AF29" s="43">
        <v>12.325519432774403</v>
      </c>
      <c r="AG29" s="43">
        <v>5.7653756E-2</v>
      </c>
      <c r="AH29" s="43">
        <v>2.7662361999999999E-2</v>
      </c>
      <c r="AI29" s="43">
        <v>0.82899746900000004</v>
      </c>
      <c r="AJ29" s="43">
        <v>2.0825032280000002</v>
      </c>
      <c r="AK29" s="43">
        <v>7.5362089169999997</v>
      </c>
      <c r="AL29" s="43">
        <v>1.7977046999999999E-2</v>
      </c>
      <c r="AM29" s="230">
        <v>0.12742117534623529</v>
      </c>
      <c r="AN29" s="43">
        <v>0.81854057999999996</v>
      </c>
    </row>
    <row r="30" spans="1:40" x14ac:dyDescent="0.25">
      <c r="A30" s="134">
        <v>20</v>
      </c>
      <c r="B30" s="134" t="s">
        <v>213</v>
      </c>
      <c r="C30" s="134" t="s">
        <v>210</v>
      </c>
      <c r="D30" s="134" t="s">
        <v>211</v>
      </c>
      <c r="E30" s="134">
        <v>926</v>
      </c>
      <c r="F30" s="134">
        <v>2267</v>
      </c>
      <c r="G30" s="134">
        <v>194</v>
      </c>
      <c r="H30" s="134">
        <v>314</v>
      </c>
      <c r="I30" s="200">
        <v>0.32204461764199999</v>
      </c>
      <c r="J30" s="134">
        <v>2581</v>
      </c>
      <c r="K30" s="134">
        <v>8014.4174397200004</v>
      </c>
      <c r="L30" s="42">
        <v>0.86576985938700002</v>
      </c>
      <c r="M30" s="42">
        <v>0.25322580645199999</v>
      </c>
      <c r="N30" s="134">
        <v>0</v>
      </c>
      <c r="O30" s="43" t="s">
        <v>666</v>
      </c>
      <c r="P30" s="43">
        <f t="shared" si="5"/>
        <v>13.371814698965446</v>
      </c>
      <c r="Q30" s="43">
        <f t="shared" si="6"/>
        <v>5.9498586999999999E-2</v>
      </c>
      <c r="R30" s="43">
        <f t="shared" si="7"/>
        <v>2.1911179999999999E-2</v>
      </c>
      <c r="S30" s="43">
        <f t="shared" si="8"/>
        <v>0.86576985900000003</v>
      </c>
      <c r="T30" s="43">
        <f t="shared" si="9"/>
        <v>2.731528961</v>
      </c>
      <c r="U30" s="43">
        <f t="shared" si="10"/>
        <v>8.7782222720000007</v>
      </c>
      <c r="V30" s="43">
        <f t="shared" si="11"/>
        <v>1.1576764E-2</v>
      </c>
      <c r="W30" s="230">
        <f t="shared" si="12"/>
        <v>0.13999575164623709</v>
      </c>
      <c r="X30" s="43">
        <f t="shared" si="13"/>
        <v>0.82918494099999995</v>
      </c>
      <c r="Y30" s="43">
        <v>121.43255190000001</v>
      </c>
      <c r="Z30" s="43">
        <f t="shared" si="2"/>
        <v>1</v>
      </c>
      <c r="AA30" s="43">
        <f t="shared" si="3"/>
        <v>127833</v>
      </c>
      <c r="AB30" s="43">
        <f t="shared" si="4"/>
        <v>52297</v>
      </c>
      <c r="AC30" s="43">
        <f t="shared" si="14"/>
        <v>6.9618232924242435E-2</v>
      </c>
      <c r="AD30" s="43">
        <f t="shared" si="15"/>
        <v>0.78767596906060611</v>
      </c>
      <c r="AF30" s="43">
        <v>13.371814698965446</v>
      </c>
      <c r="AG30" s="43">
        <v>5.9498586999999999E-2</v>
      </c>
      <c r="AH30" s="43">
        <v>2.1911179999999999E-2</v>
      </c>
      <c r="AI30" s="43">
        <v>0.86576985900000003</v>
      </c>
      <c r="AJ30" s="43">
        <v>2.731528961</v>
      </c>
      <c r="AK30" s="43">
        <v>8.7782222720000007</v>
      </c>
      <c r="AL30" s="43">
        <v>1.1576764E-2</v>
      </c>
      <c r="AM30" s="230">
        <v>0.13999575164623709</v>
      </c>
      <c r="AN30" s="43">
        <v>0.82918494099999995</v>
      </c>
    </row>
    <row r="31" spans="1:40" x14ac:dyDescent="0.25">
      <c r="A31" s="134">
        <v>21</v>
      </c>
      <c r="B31" s="134" t="s">
        <v>213</v>
      </c>
      <c r="C31" s="134" t="s">
        <v>210</v>
      </c>
      <c r="D31" s="134" t="s">
        <v>211</v>
      </c>
      <c r="E31" s="134">
        <v>574</v>
      </c>
      <c r="F31" s="134">
        <v>1407</v>
      </c>
      <c r="G31" s="134">
        <v>119</v>
      </c>
      <c r="H31" s="134">
        <v>272</v>
      </c>
      <c r="I31" s="200">
        <v>0.19644010091</v>
      </c>
      <c r="J31" s="134">
        <v>1679</v>
      </c>
      <c r="K31" s="134">
        <v>8547.1346849300007</v>
      </c>
      <c r="L31" s="42">
        <v>0.85807262687399999</v>
      </c>
      <c r="M31" s="42">
        <v>0.32151300236399999</v>
      </c>
      <c r="N31" s="134">
        <v>0</v>
      </c>
      <c r="O31" s="43" t="s">
        <v>666</v>
      </c>
      <c r="P31" s="43">
        <f t="shared" si="5"/>
        <v>13.253067712095133</v>
      </c>
      <c r="Q31" s="43">
        <f t="shared" si="6"/>
        <v>5.6446130999999997E-2</v>
      </c>
      <c r="R31" s="43">
        <f t="shared" si="7"/>
        <v>2.4189909999999998E-2</v>
      </c>
      <c r="S31" s="43">
        <f t="shared" si="8"/>
        <v>0.85807262699999998</v>
      </c>
      <c r="T31" s="43">
        <f t="shared" si="9"/>
        <v>2.4336899729999999</v>
      </c>
      <c r="U31" s="43">
        <f t="shared" si="10"/>
        <v>8.3648760679999992</v>
      </c>
      <c r="V31" s="43">
        <f t="shared" si="11"/>
        <v>1.3663076E-2</v>
      </c>
      <c r="W31" s="230">
        <f t="shared" si="12"/>
        <v>0.12243006247566786</v>
      </c>
      <c r="X31" s="43">
        <f t="shared" si="13"/>
        <v>0.83960252899999999</v>
      </c>
      <c r="Y31" s="43">
        <v>136.37545399999999</v>
      </c>
      <c r="Z31" s="43">
        <f t="shared" si="2"/>
        <v>1</v>
      </c>
      <c r="AA31" s="43">
        <f t="shared" si="3"/>
        <v>127833</v>
      </c>
      <c r="AB31" s="43">
        <f t="shared" si="4"/>
        <v>52297</v>
      </c>
      <c r="AC31" s="43">
        <f t="shared" si="14"/>
        <v>6.9618232924242435E-2</v>
      </c>
      <c r="AD31" s="43">
        <f t="shared" si="15"/>
        <v>0.78767596906060611</v>
      </c>
      <c r="AF31" s="43">
        <v>13.253067712095133</v>
      </c>
      <c r="AG31" s="43">
        <v>5.6446130999999997E-2</v>
      </c>
      <c r="AH31" s="43">
        <v>2.4189909999999998E-2</v>
      </c>
      <c r="AI31" s="43">
        <v>0.85807262699999998</v>
      </c>
      <c r="AJ31" s="43">
        <v>2.4336899729999999</v>
      </c>
      <c r="AK31" s="43">
        <v>8.3648760679999992</v>
      </c>
      <c r="AL31" s="43">
        <v>1.3663076E-2</v>
      </c>
      <c r="AM31" s="230">
        <v>0.12243006247566786</v>
      </c>
      <c r="AN31" s="43">
        <v>0.83960252899999999</v>
      </c>
    </row>
    <row r="32" spans="1:40" x14ac:dyDescent="0.25">
      <c r="A32" s="134">
        <v>22</v>
      </c>
      <c r="B32" s="134" t="s">
        <v>213</v>
      </c>
      <c r="C32" s="134" t="s">
        <v>210</v>
      </c>
      <c r="D32" s="134" t="s">
        <v>211</v>
      </c>
      <c r="E32" s="134">
        <v>862</v>
      </c>
      <c r="F32" s="134">
        <v>2053</v>
      </c>
      <c r="G32" s="134">
        <v>182</v>
      </c>
      <c r="H32" s="134">
        <v>334</v>
      </c>
      <c r="I32" s="200">
        <v>0.28735012277799998</v>
      </c>
      <c r="J32" s="134">
        <v>2387</v>
      </c>
      <c r="K32" s="134">
        <v>8306.9392033799995</v>
      </c>
      <c r="L32" s="42">
        <v>0.86843678527699997</v>
      </c>
      <c r="M32" s="42">
        <v>0.27926421404700003</v>
      </c>
      <c r="N32" s="134">
        <v>0</v>
      </c>
      <c r="O32" s="43" t="s">
        <v>666</v>
      </c>
      <c r="P32" s="43">
        <f t="shared" si="5"/>
        <v>13.240394625875281</v>
      </c>
      <c r="Q32" s="43">
        <f t="shared" si="6"/>
        <v>5.1295144000000001E-2</v>
      </c>
      <c r="R32" s="43">
        <f t="shared" si="7"/>
        <v>2.4022126000000001E-2</v>
      </c>
      <c r="S32" s="43">
        <f t="shared" si="8"/>
        <v>0.86843678499999999</v>
      </c>
      <c r="T32" s="43">
        <f t="shared" si="9"/>
        <v>2.5644269469999998</v>
      </c>
      <c r="U32" s="43">
        <f t="shared" si="10"/>
        <v>8.7241177709999995</v>
      </c>
      <c r="V32" s="43">
        <f t="shared" si="11"/>
        <v>1.3044139E-2</v>
      </c>
      <c r="W32" s="230">
        <f t="shared" si="12"/>
        <v>0.12561457297536183</v>
      </c>
      <c r="X32" s="43">
        <f t="shared" si="13"/>
        <v>0.84020412099999997</v>
      </c>
      <c r="Y32" s="43">
        <v>120.1990191</v>
      </c>
      <c r="Z32" s="43">
        <f t="shared" si="2"/>
        <v>1</v>
      </c>
      <c r="AA32" s="43">
        <f t="shared" si="3"/>
        <v>127833</v>
      </c>
      <c r="AB32" s="43">
        <f t="shared" si="4"/>
        <v>52297</v>
      </c>
      <c r="AC32" s="43">
        <f t="shared" si="14"/>
        <v>6.9618232924242435E-2</v>
      </c>
      <c r="AD32" s="43">
        <f t="shared" si="15"/>
        <v>0.78767596906060611</v>
      </c>
      <c r="AF32" s="43">
        <v>13.240394625875281</v>
      </c>
      <c r="AG32" s="43">
        <v>5.1295144000000001E-2</v>
      </c>
      <c r="AH32" s="43">
        <v>2.4022126000000001E-2</v>
      </c>
      <c r="AI32" s="43">
        <v>0.86843678499999999</v>
      </c>
      <c r="AJ32" s="43">
        <v>2.5644269469999998</v>
      </c>
      <c r="AK32" s="43">
        <v>8.7241177709999995</v>
      </c>
      <c r="AL32" s="43">
        <v>1.3044139E-2</v>
      </c>
      <c r="AM32" s="230">
        <v>0.12561457297536183</v>
      </c>
      <c r="AN32" s="43">
        <v>0.84020412099999997</v>
      </c>
    </row>
    <row r="33" spans="1:40" x14ac:dyDescent="0.25">
      <c r="A33" s="134">
        <v>23</v>
      </c>
      <c r="B33" s="134" t="s">
        <v>213</v>
      </c>
      <c r="C33" s="134" t="s">
        <v>210</v>
      </c>
      <c r="D33" s="134" t="s">
        <v>211</v>
      </c>
      <c r="E33" s="134">
        <v>1565</v>
      </c>
      <c r="F33" s="134">
        <v>3689</v>
      </c>
      <c r="G33" s="134">
        <v>389</v>
      </c>
      <c r="H33" s="134">
        <v>346</v>
      </c>
      <c r="I33" s="200">
        <v>0.60704575367000002</v>
      </c>
      <c r="J33" s="134">
        <v>4035</v>
      </c>
      <c r="K33" s="134">
        <v>6646.9454330400004</v>
      </c>
      <c r="L33" s="42">
        <v>0.84794708101600003</v>
      </c>
      <c r="M33" s="42">
        <v>0.18105703819999999</v>
      </c>
      <c r="N33" s="134">
        <v>0</v>
      </c>
      <c r="O33" s="43" t="s">
        <v>666</v>
      </c>
      <c r="P33" s="43">
        <f t="shared" si="5"/>
        <v>12.500281425335674</v>
      </c>
      <c r="Q33" s="43">
        <f t="shared" si="6"/>
        <v>5.5575436999999998E-2</v>
      </c>
      <c r="R33" s="43">
        <f t="shared" si="7"/>
        <v>2.6265296E-2</v>
      </c>
      <c r="S33" s="43">
        <f t="shared" si="8"/>
        <v>0.84794708100000005</v>
      </c>
      <c r="T33" s="43">
        <f t="shared" si="9"/>
        <v>2.2193082300000002</v>
      </c>
      <c r="U33" s="43">
        <f t="shared" si="10"/>
        <v>7.9191464290000004</v>
      </c>
      <c r="V33" s="43">
        <f t="shared" si="11"/>
        <v>1.0500486999999999E-2</v>
      </c>
      <c r="W33" s="230">
        <f t="shared" si="12"/>
        <v>0.14377589647087591</v>
      </c>
      <c r="X33" s="43">
        <f t="shared" si="13"/>
        <v>0.82293253899999996</v>
      </c>
      <c r="Y33" s="43">
        <v>107.150767</v>
      </c>
      <c r="Z33" s="43">
        <f t="shared" si="2"/>
        <v>1</v>
      </c>
      <c r="AA33" s="43">
        <f t="shared" si="3"/>
        <v>127833</v>
      </c>
      <c r="AB33" s="43">
        <f t="shared" si="4"/>
        <v>52297</v>
      </c>
      <c r="AC33" s="43">
        <f t="shared" si="14"/>
        <v>6.9618232924242435E-2</v>
      </c>
      <c r="AD33" s="43">
        <f t="shared" si="15"/>
        <v>0.78767596906060611</v>
      </c>
      <c r="AF33" s="43">
        <v>12.500281425335674</v>
      </c>
      <c r="AG33" s="43">
        <v>5.5575436999999998E-2</v>
      </c>
      <c r="AH33" s="43">
        <v>2.6265296E-2</v>
      </c>
      <c r="AI33" s="43">
        <v>0.84794708100000005</v>
      </c>
      <c r="AJ33" s="43">
        <v>2.2193082300000002</v>
      </c>
      <c r="AK33" s="43">
        <v>7.9191464290000004</v>
      </c>
      <c r="AL33" s="43">
        <v>1.0500486999999999E-2</v>
      </c>
      <c r="AM33" s="230">
        <v>0.14377589647087591</v>
      </c>
      <c r="AN33" s="43">
        <v>0.82293253899999996</v>
      </c>
    </row>
    <row r="34" spans="1:40" x14ac:dyDescent="0.25">
      <c r="A34" s="134">
        <v>24</v>
      </c>
      <c r="B34" s="134" t="s">
        <v>213</v>
      </c>
      <c r="C34" s="134" t="s">
        <v>210</v>
      </c>
      <c r="D34" s="134" t="s">
        <v>211</v>
      </c>
      <c r="E34" s="134">
        <v>1057</v>
      </c>
      <c r="F34" s="134">
        <v>2384</v>
      </c>
      <c r="G34" s="134">
        <v>273</v>
      </c>
      <c r="H34" s="134">
        <v>348</v>
      </c>
      <c r="I34" s="200">
        <v>0.41837081991000002</v>
      </c>
      <c r="J34" s="134">
        <v>2732</v>
      </c>
      <c r="K34" s="134">
        <v>6530.0921335399998</v>
      </c>
      <c r="L34" s="42">
        <v>0.85157641511500004</v>
      </c>
      <c r="M34" s="42">
        <v>0.24768683274</v>
      </c>
      <c r="N34" s="134">
        <v>0</v>
      </c>
      <c r="O34" s="43" t="s">
        <v>666</v>
      </c>
      <c r="P34" s="43">
        <f t="shared" si="5"/>
        <v>12.620381102423741</v>
      </c>
      <c r="Q34" s="43">
        <f t="shared" si="6"/>
        <v>5.0411286999999999E-2</v>
      </c>
      <c r="R34" s="43">
        <f t="shared" si="7"/>
        <v>2.5793196000000001E-2</v>
      </c>
      <c r="S34" s="43">
        <f t="shared" si="8"/>
        <v>0.85157641500000003</v>
      </c>
      <c r="T34" s="43">
        <f t="shared" si="9"/>
        <v>2.2499014580000001</v>
      </c>
      <c r="U34" s="43">
        <f t="shared" si="10"/>
        <v>8.0377806649999997</v>
      </c>
      <c r="V34" s="43">
        <f t="shared" si="11"/>
        <v>1.3284456E-2</v>
      </c>
      <c r="W34" s="230">
        <f t="shared" si="12"/>
        <v>0.12021354452547112</v>
      </c>
      <c r="X34" s="43">
        <f t="shared" si="13"/>
        <v>0.83559423899999996</v>
      </c>
      <c r="Y34" s="43">
        <v>114.1900715</v>
      </c>
      <c r="Z34" s="43">
        <f t="shared" si="2"/>
        <v>1</v>
      </c>
      <c r="AA34" s="43">
        <f t="shared" si="3"/>
        <v>127833</v>
      </c>
      <c r="AB34" s="43">
        <f t="shared" si="4"/>
        <v>52297</v>
      </c>
      <c r="AC34" s="43">
        <f t="shared" si="14"/>
        <v>6.9618232924242435E-2</v>
      </c>
      <c r="AD34" s="43">
        <f t="shared" si="15"/>
        <v>0.78767596906060611</v>
      </c>
      <c r="AF34" s="43">
        <v>12.620381102423741</v>
      </c>
      <c r="AG34" s="43">
        <v>5.0411286999999999E-2</v>
      </c>
      <c r="AH34" s="43">
        <v>2.5793196000000001E-2</v>
      </c>
      <c r="AI34" s="43">
        <v>0.85157641500000003</v>
      </c>
      <c r="AJ34" s="43">
        <v>2.2499014580000001</v>
      </c>
      <c r="AK34" s="43">
        <v>8.0377806649999997</v>
      </c>
      <c r="AL34" s="43">
        <v>1.3284456E-2</v>
      </c>
      <c r="AM34" s="230">
        <v>0.12021354452547112</v>
      </c>
      <c r="AN34" s="43">
        <v>0.83559423899999996</v>
      </c>
    </row>
    <row r="35" spans="1:40" x14ac:dyDescent="0.25">
      <c r="A35" s="134">
        <v>25</v>
      </c>
      <c r="B35" s="134" t="s">
        <v>213</v>
      </c>
      <c r="C35" s="134" t="s">
        <v>210</v>
      </c>
      <c r="D35" s="134" t="s">
        <v>211</v>
      </c>
      <c r="E35" s="134">
        <v>578</v>
      </c>
      <c r="F35" s="134">
        <v>1302</v>
      </c>
      <c r="G35" s="134">
        <v>76</v>
      </c>
      <c r="H35" s="134">
        <v>154</v>
      </c>
      <c r="I35" s="200">
        <v>0.11588446963100001</v>
      </c>
      <c r="J35" s="134">
        <v>1456</v>
      </c>
      <c r="K35" s="134">
        <v>12564.237508599999</v>
      </c>
      <c r="L35" s="42">
        <v>0.80277492827999997</v>
      </c>
      <c r="M35" s="42">
        <v>0.210382513661</v>
      </c>
      <c r="N35" s="134">
        <v>0</v>
      </c>
      <c r="O35" s="43" t="s">
        <v>627</v>
      </c>
      <c r="P35" s="43">
        <f t="shared" si="5"/>
        <v>12.072156170597108</v>
      </c>
      <c r="Q35" s="43">
        <f t="shared" si="6"/>
        <v>6.0116491000000001E-2</v>
      </c>
      <c r="R35" s="43">
        <f t="shared" si="7"/>
        <v>2.7450229999999999E-2</v>
      </c>
      <c r="S35" s="43">
        <f t="shared" si="8"/>
        <v>0.80277492800000005</v>
      </c>
      <c r="T35" s="43">
        <f t="shared" si="9"/>
        <v>1.7857776649999999</v>
      </c>
      <c r="U35" s="43">
        <f t="shared" si="10"/>
        <v>6.910295273</v>
      </c>
      <c r="V35" s="43">
        <f t="shared" si="11"/>
        <v>1.4043882000000001E-2</v>
      </c>
      <c r="W35" s="230">
        <f t="shared" si="12"/>
        <v>0.14373882157341863</v>
      </c>
      <c r="X35" s="43">
        <f t="shared" si="13"/>
        <v>0.77935360399999998</v>
      </c>
      <c r="Y35" s="43">
        <v>148.04232730000001</v>
      </c>
      <c r="Z35" s="43">
        <f t="shared" si="2"/>
        <v>1</v>
      </c>
      <c r="AA35" s="43">
        <f t="shared" si="3"/>
        <v>127833</v>
      </c>
      <c r="AB35" s="43">
        <f t="shared" si="4"/>
        <v>52297</v>
      </c>
      <c r="AC35" s="43">
        <f t="shared" si="14"/>
        <v>6.9618232924242435E-2</v>
      </c>
      <c r="AD35" s="43">
        <f t="shared" si="15"/>
        <v>0.78767596906060611</v>
      </c>
      <c r="AF35" s="43">
        <v>12.072156170597108</v>
      </c>
      <c r="AG35" s="43">
        <v>6.0116491000000001E-2</v>
      </c>
      <c r="AH35" s="43">
        <v>2.7450229999999999E-2</v>
      </c>
      <c r="AI35" s="43">
        <v>0.80277492800000005</v>
      </c>
      <c r="AJ35" s="43">
        <v>1.7857776649999999</v>
      </c>
      <c r="AK35" s="43">
        <v>6.910295273</v>
      </c>
      <c r="AL35" s="43">
        <v>1.4043882000000001E-2</v>
      </c>
      <c r="AM35" s="230">
        <v>0.14373882157341863</v>
      </c>
      <c r="AN35" s="43">
        <v>0.77935360399999998</v>
      </c>
    </row>
    <row r="36" spans="1:40" x14ac:dyDescent="0.25">
      <c r="A36" s="134">
        <v>26</v>
      </c>
      <c r="B36" s="134" t="s">
        <v>213</v>
      </c>
      <c r="C36" s="134" t="s">
        <v>210</v>
      </c>
      <c r="D36" s="134" t="s">
        <v>211</v>
      </c>
      <c r="E36" s="134">
        <v>829</v>
      </c>
      <c r="F36" s="134">
        <v>1697</v>
      </c>
      <c r="G36" s="134">
        <v>70</v>
      </c>
      <c r="H36" s="134">
        <v>719</v>
      </c>
      <c r="I36" s="200">
        <v>0.106977500374</v>
      </c>
      <c r="J36" s="134">
        <v>2416</v>
      </c>
      <c r="K36" s="134">
        <v>22584.188184899998</v>
      </c>
      <c r="L36" s="42">
        <v>0.75569197532300003</v>
      </c>
      <c r="M36" s="42">
        <v>0.46447028423800002</v>
      </c>
      <c r="N36" s="134">
        <v>0</v>
      </c>
      <c r="O36" s="43" t="s">
        <v>627</v>
      </c>
      <c r="P36" s="43">
        <f t="shared" si="5"/>
        <v>12.500982395050643</v>
      </c>
      <c r="Q36" s="43">
        <f t="shared" si="6"/>
        <v>7.2485679999999997E-2</v>
      </c>
      <c r="R36" s="43">
        <f t="shared" si="7"/>
        <v>3.4775630000000002E-2</v>
      </c>
      <c r="S36" s="43">
        <f t="shared" si="8"/>
        <v>0.75569197499999996</v>
      </c>
      <c r="T36" s="43">
        <f t="shared" si="9"/>
        <v>1.873329872</v>
      </c>
      <c r="U36" s="43">
        <f t="shared" si="10"/>
        <v>6.8305299389999998</v>
      </c>
      <c r="V36" s="43">
        <f t="shared" si="11"/>
        <v>3.3049878999999997E-2</v>
      </c>
      <c r="W36" s="230">
        <f t="shared" si="12"/>
        <v>0.15429469772759755</v>
      </c>
      <c r="X36" s="43">
        <f t="shared" si="13"/>
        <v>0.724717736</v>
      </c>
      <c r="Y36" s="43">
        <v>263.48702489999999</v>
      </c>
      <c r="Z36" s="43">
        <f t="shared" si="2"/>
        <v>1</v>
      </c>
      <c r="AA36" s="43">
        <f t="shared" si="3"/>
        <v>127833</v>
      </c>
      <c r="AB36" s="43">
        <f t="shared" si="4"/>
        <v>52297</v>
      </c>
      <c r="AC36" s="43">
        <f t="shared" si="14"/>
        <v>6.9618232924242435E-2</v>
      </c>
      <c r="AD36" s="43">
        <f t="shared" si="15"/>
        <v>0.78767596906060611</v>
      </c>
      <c r="AF36" s="43">
        <v>12.500982395050643</v>
      </c>
      <c r="AG36" s="43">
        <v>7.2485679999999997E-2</v>
      </c>
      <c r="AH36" s="43">
        <v>3.4775630000000002E-2</v>
      </c>
      <c r="AI36" s="43">
        <v>0.75569197499999996</v>
      </c>
      <c r="AJ36" s="43">
        <v>1.873329872</v>
      </c>
      <c r="AK36" s="43">
        <v>6.8305299389999998</v>
      </c>
      <c r="AL36" s="43">
        <v>3.3049878999999997E-2</v>
      </c>
      <c r="AM36" s="230">
        <v>0.15429469772759755</v>
      </c>
      <c r="AN36" s="43">
        <v>0.724717736</v>
      </c>
    </row>
    <row r="37" spans="1:40" x14ac:dyDescent="0.25">
      <c r="A37" s="134">
        <v>27</v>
      </c>
      <c r="B37" s="134" t="s">
        <v>213</v>
      </c>
      <c r="C37" s="134" t="s">
        <v>210</v>
      </c>
      <c r="D37" s="134" t="s">
        <v>211</v>
      </c>
      <c r="E37" s="134">
        <v>764</v>
      </c>
      <c r="F37" s="134">
        <v>1566</v>
      </c>
      <c r="G37" s="134">
        <v>74</v>
      </c>
      <c r="H37" s="134">
        <v>877</v>
      </c>
      <c r="I37" s="200">
        <v>0.113632402445</v>
      </c>
      <c r="J37" s="134">
        <v>2443</v>
      </c>
      <c r="K37" s="134">
        <v>21499.149427799999</v>
      </c>
      <c r="L37" s="42">
        <v>0.77295104276500004</v>
      </c>
      <c r="M37" s="42">
        <v>0.53443022547200003</v>
      </c>
      <c r="N37" s="134">
        <v>0</v>
      </c>
      <c r="O37" s="43" t="s">
        <v>664</v>
      </c>
      <c r="P37" s="43">
        <f t="shared" si="5"/>
        <v>12.894746887576126</v>
      </c>
      <c r="Q37" s="43">
        <f t="shared" si="6"/>
        <v>6.2867009000000001E-2</v>
      </c>
      <c r="R37" s="43">
        <f t="shared" si="7"/>
        <v>3.5368965000000002E-2</v>
      </c>
      <c r="S37" s="43">
        <f t="shared" si="8"/>
        <v>0.77295104299999995</v>
      </c>
      <c r="T37" s="43">
        <f t="shared" si="9"/>
        <v>1.9067837379999999</v>
      </c>
      <c r="U37" s="43">
        <f t="shared" si="10"/>
        <v>6.8991372670000004</v>
      </c>
      <c r="V37" s="43">
        <f t="shared" si="11"/>
        <v>3.2048411999999998E-2</v>
      </c>
      <c r="W37" s="230">
        <f t="shared" si="12"/>
        <v>0.14524385148042021</v>
      </c>
      <c r="X37" s="43">
        <f t="shared" si="13"/>
        <v>0.74782115599999999</v>
      </c>
      <c r="Y37" s="43">
        <v>303.5464963</v>
      </c>
      <c r="Z37" s="43">
        <f t="shared" si="2"/>
        <v>1</v>
      </c>
      <c r="AA37" s="43">
        <f t="shared" si="3"/>
        <v>127833</v>
      </c>
      <c r="AB37" s="43">
        <f t="shared" si="4"/>
        <v>52297</v>
      </c>
      <c r="AC37" s="43">
        <f t="shared" si="14"/>
        <v>6.9618232924242435E-2</v>
      </c>
      <c r="AD37" s="43">
        <f t="shared" si="15"/>
        <v>0.78767596906060611</v>
      </c>
      <c r="AF37" s="43">
        <v>12.894746887576126</v>
      </c>
      <c r="AG37" s="43">
        <v>6.2867009000000001E-2</v>
      </c>
      <c r="AH37" s="43">
        <v>3.5368965000000002E-2</v>
      </c>
      <c r="AI37" s="43">
        <v>0.77295104299999995</v>
      </c>
      <c r="AJ37" s="43">
        <v>1.9067837379999999</v>
      </c>
      <c r="AK37" s="43">
        <v>6.8991372670000004</v>
      </c>
      <c r="AL37" s="43">
        <v>3.2048411999999998E-2</v>
      </c>
      <c r="AM37" s="230">
        <v>0.14524385148042021</v>
      </c>
      <c r="AN37" s="43">
        <v>0.74782115599999999</v>
      </c>
    </row>
    <row r="38" spans="1:40" x14ac:dyDescent="0.25">
      <c r="A38" s="134">
        <v>28</v>
      </c>
      <c r="B38" s="134" t="s">
        <v>213</v>
      </c>
      <c r="C38" s="134" t="s">
        <v>210</v>
      </c>
      <c r="D38" s="134" t="s">
        <v>211</v>
      </c>
      <c r="E38" s="134">
        <v>93</v>
      </c>
      <c r="F38" s="134">
        <v>211</v>
      </c>
      <c r="G38" s="134">
        <v>70</v>
      </c>
      <c r="H38" s="134">
        <v>69</v>
      </c>
      <c r="I38" s="200">
        <v>2.0688132113699999E-2</v>
      </c>
      <c r="J38" s="134">
        <v>280</v>
      </c>
      <c r="K38" s="134">
        <v>13534.3296563</v>
      </c>
      <c r="L38" s="42">
        <v>0.80083696301999996</v>
      </c>
      <c r="M38" s="42">
        <v>0.42592592592599998</v>
      </c>
      <c r="N38" s="134">
        <v>1</v>
      </c>
      <c r="O38" s="43" t="s">
        <v>664</v>
      </c>
      <c r="P38" s="43">
        <f t="shared" si="5"/>
        <v>11.300912904638649</v>
      </c>
      <c r="Q38" s="43">
        <f t="shared" si="6"/>
        <v>6.2328123999999999E-2</v>
      </c>
      <c r="R38" s="43">
        <f t="shared" si="7"/>
        <v>2.7841831000000001E-2</v>
      </c>
      <c r="S38" s="43">
        <f t="shared" si="8"/>
        <v>0.80083696299999996</v>
      </c>
      <c r="T38" s="43">
        <f t="shared" si="9"/>
        <v>1.9438305709999999</v>
      </c>
      <c r="U38" s="43">
        <f t="shared" si="10"/>
        <v>6.2105750559999997</v>
      </c>
      <c r="V38" s="43">
        <f t="shared" si="11"/>
        <v>1.6985884E-2</v>
      </c>
      <c r="W38" s="230">
        <f t="shared" si="12"/>
        <v>0.12481696245533885</v>
      </c>
      <c r="X38" s="43">
        <f t="shared" si="13"/>
        <v>0.76653195100000004</v>
      </c>
      <c r="Y38" s="43">
        <v>207.9886573</v>
      </c>
      <c r="Z38" s="43">
        <f t="shared" si="2"/>
        <v>1</v>
      </c>
      <c r="AA38" s="43">
        <f t="shared" si="3"/>
        <v>127833</v>
      </c>
      <c r="AB38" s="43">
        <f t="shared" si="4"/>
        <v>52297</v>
      </c>
      <c r="AC38" s="43">
        <f t="shared" si="14"/>
        <v>6.9618232924242435E-2</v>
      </c>
      <c r="AD38" s="43">
        <f t="shared" si="15"/>
        <v>0.78767596906060611</v>
      </c>
      <c r="AF38" s="43">
        <v>11.300912904638649</v>
      </c>
      <c r="AG38" s="43">
        <v>6.2328123999999999E-2</v>
      </c>
      <c r="AH38" s="43">
        <v>2.7841831000000001E-2</v>
      </c>
      <c r="AI38" s="43">
        <v>0.80083696299999996</v>
      </c>
      <c r="AJ38" s="43">
        <v>1.9438305709999999</v>
      </c>
      <c r="AK38" s="43">
        <v>6.2105750559999997</v>
      </c>
      <c r="AL38" s="43">
        <v>1.6985884E-2</v>
      </c>
      <c r="AM38" s="230">
        <v>0.12481696245533885</v>
      </c>
      <c r="AN38" s="43">
        <v>0.76653195100000004</v>
      </c>
    </row>
    <row r="39" spans="1:40" x14ac:dyDescent="0.25">
      <c r="A39" s="134">
        <v>29</v>
      </c>
      <c r="B39" s="134" t="s">
        <v>213</v>
      </c>
      <c r="C39" s="134" t="s">
        <v>210</v>
      </c>
      <c r="D39" s="134" t="s">
        <v>211</v>
      </c>
      <c r="E39" s="134">
        <v>167</v>
      </c>
      <c r="F39" s="134">
        <v>362</v>
      </c>
      <c r="G39" s="134">
        <v>51</v>
      </c>
      <c r="H39" s="134">
        <v>15</v>
      </c>
      <c r="I39" s="200">
        <v>3.0597890995600001E-2</v>
      </c>
      <c r="J39" s="134">
        <v>377</v>
      </c>
      <c r="K39" s="134">
        <v>12321.1106299</v>
      </c>
      <c r="L39" s="42">
        <v>0.79703466782300003</v>
      </c>
      <c r="M39" s="42">
        <v>8.2417582417599999E-2</v>
      </c>
      <c r="N39" s="134">
        <v>1</v>
      </c>
      <c r="O39" s="43" t="s">
        <v>664</v>
      </c>
      <c r="P39" s="43">
        <f t="shared" si="5"/>
        <v>11.043301269079068</v>
      </c>
      <c r="Q39" s="43">
        <f t="shared" si="6"/>
        <v>6.9877755E-2</v>
      </c>
      <c r="R39" s="43">
        <f t="shared" si="7"/>
        <v>2.8528446999999998E-2</v>
      </c>
      <c r="S39" s="43">
        <f t="shared" si="8"/>
        <v>0.797034668</v>
      </c>
      <c r="T39" s="43">
        <f t="shared" si="9"/>
        <v>1.845314353</v>
      </c>
      <c r="U39" s="43">
        <f t="shared" si="10"/>
        <v>6.2825432880000003</v>
      </c>
      <c r="V39" s="43">
        <f t="shared" si="11"/>
        <v>6.404135E-3</v>
      </c>
      <c r="W39" s="230">
        <f t="shared" si="12"/>
        <v>0.1735857536093478</v>
      </c>
      <c r="X39" s="43">
        <f t="shared" si="13"/>
        <v>0.74658727000000003</v>
      </c>
      <c r="Y39" s="43">
        <v>333.44766099999998</v>
      </c>
      <c r="Z39" s="43">
        <f t="shared" si="2"/>
        <v>1</v>
      </c>
      <c r="AA39" s="43">
        <f t="shared" si="3"/>
        <v>127833</v>
      </c>
      <c r="AB39" s="43">
        <f t="shared" si="4"/>
        <v>52297</v>
      </c>
      <c r="AC39" s="43">
        <f t="shared" si="14"/>
        <v>6.9618232924242435E-2</v>
      </c>
      <c r="AD39" s="43">
        <f t="shared" si="15"/>
        <v>0.78767596906060611</v>
      </c>
      <c r="AF39" s="43">
        <v>11.043301269079068</v>
      </c>
      <c r="AG39" s="43">
        <v>6.9877755E-2</v>
      </c>
      <c r="AH39" s="43">
        <v>2.8528446999999998E-2</v>
      </c>
      <c r="AI39" s="43">
        <v>0.797034668</v>
      </c>
      <c r="AJ39" s="43">
        <v>1.845314353</v>
      </c>
      <c r="AK39" s="43">
        <v>6.2825432880000003</v>
      </c>
      <c r="AL39" s="43">
        <v>6.404135E-3</v>
      </c>
      <c r="AM39" s="230">
        <v>0.1735857536093478</v>
      </c>
      <c r="AN39" s="43">
        <v>0.74658727000000003</v>
      </c>
    </row>
    <row r="40" spans="1:40" x14ac:dyDescent="0.25">
      <c r="A40" s="134">
        <v>30</v>
      </c>
      <c r="B40" s="134" t="s">
        <v>213</v>
      </c>
      <c r="C40" s="134" t="s">
        <v>210</v>
      </c>
      <c r="D40" s="134" t="s">
        <v>211</v>
      </c>
      <c r="E40" s="134">
        <v>371</v>
      </c>
      <c r="F40" s="134">
        <v>804</v>
      </c>
      <c r="G40" s="134">
        <v>38</v>
      </c>
      <c r="H40" s="134">
        <v>243</v>
      </c>
      <c r="I40" s="200">
        <v>6.9363131993499999E-2</v>
      </c>
      <c r="J40" s="134">
        <v>1047</v>
      </c>
      <c r="K40" s="134">
        <v>15094.4741091</v>
      </c>
      <c r="L40" s="42">
        <v>0.80027078785899997</v>
      </c>
      <c r="M40" s="42">
        <v>0.39576547231300002</v>
      </c>
      <c r="N40" s="134">
        <v>0</v>
      </c>
      <c r="O40" s="43" t="s">
        <v>664</v>
      </c>
      <c r="P40" s="43">
        <f t="shared" si="5"/>
        <v>12.051473715541794</v>
      </c>
      <c r="Q40" s="43">
        <f t="shared" si="6"/>
        <v>6.1019932999999998E-2</v>
      </c>
      <c r="R40" s="43">
        <f t="shared" si="7"/>
        <v>3.2561468000000003E-2</v>
      </c>
      <c r="S40" s="43">
        <f t="shared" si="8"/>
        <v>0.80027078799999996</v>
      </c>
      <c r="T40" s="43">
        <f t="shared" si="9"/>
        <v>2.0994772689999999</v>
      </c>
      <c r="U40" s="43">
        <f t="shared" si="10"/>
        <v>7.1731746080000001</v>
      </c>
      <c r="V40" s="43">
        <f t="shared" si="11"/>
        <v>2.5424174000000001E-2</v>
      </c>
      <c r="W40" s="230">
        <f t="shared" si="12"/>
        <v>0.12934460961986308</v>
      </c>
      <c r="X40" s="43">
        <f t="shared" si="13"/>
        <v>0.78666106400000002</v>
      </c>
      <c r="Y40" s="43">
        <v>177.87155290000001</v>
      </c>
      <c r="Z40" s="43">
        <f t="shared" si="2"/>
        <v>1</v>
      </c>
      <c r="AA40" s="43">
        <f t="shared" si="3"/>
        <v>127833</v>
      </c>
      <c r="AB40" s="43">
        <f t="shared" si="4"/>
        <v>52297</v>
      </c>
      <c r="AC40" s="43">
        <f t="shared" si="14"/>
        <v>6.9618232924242435E-2</v>
      </c>
      <c r="AD40" s="43">
        <f t="shared" si="15"/>
        <v>0.78767596906060611</v>
      </c>
      <c r="AF40" s="43">
        <v>12.051473715541794</v>
      </c>
      <c r="AG40" s="43">
        <v>6.1019932999999998E-2</v>
      </c>
      <c r="AH40" s="43">
        <v>3.2561468000000003E-2</v>
      </c>
      <c r="AI40" s="43">
        <v>0.80027078799999996</v>
      </c>
      <c r="AJ40" s="43">
        <v>2.0994772689999999</v>
      </c>
      <c r="AK40" s="43">
        <v>7.1731746080000001</v>
      </c>
      <c r="AL40" s="43">
        <v>2.5424174000000001E-2</v>
      </c>
      <c r="AM40" s="230">
        <v>0.12934460961986308</v>
      </c>
      <c r="AN40" s="43">
        <v>0.78666106400000002</v>
      </c>
    </row>
    <row r="41" spans="1:40" x14ac:dyDescent="0.25">
      <c r="A41" s="134">
        <v>31</v>
      </c>
      <c r="B41" s="134" t="s">
        <v>213</v>
      </c>
      <c r="C41" s="134" t="s">
        <v>210</v>
      </c>
      <c r="D41" s="134" t="s">
        <v>211</v>
      </c>
      <c r="E41" s="134">
        <v>294</v>
      </c>
      <c r="F41" s="134">
        <v>637</v>
      </c>
      <c r="G41" s="134">
        <v>29</v>
      </c>
      <c r="H41" s="134">
        <v>136</v>
      </c>
      <c r="I41" s="200">
        <v>5.2801071514500003E-2</v>
      </c>
      <c r="J41" s="134">
        <v>773</v>
      </c>
      <c r="K41" s="134">
        <v>14639.8544164</v>
      </c>
      <c r="L41" s="42">
        <v>0.70300093900899996</v>
      </c>
      <c r="M41" s="42">
        <v>0.31627906976699999</v>
      </c>
      <c r="N41" s="134">
        <v>0</v>
      </c>
      <c r="O41" s="43" t="s">
        <v>664</v>
      </c>
      <c r="P41" s="43">
        <f t="shared" si="5"/>
        <v>12.034172926910927</v>
      </c>
      <c r="Q41" s="43">
        <f t="shared" si="6"/>
        <v>8.6994449000000001E-2</v>
      </c>
      <c r="R41" s="43">
        <f t="shared" si="7"/>
        <v>9.0133739000000004E-2</v>
      </c>
      <c r="S41" s="43">
        <f t="shared" si="8"/>
        <v>0.70300093900000005</v>
      </c>
      <c r="T41" s="43">
        <f t="shared" si="9"/>
        <v>2.5807565430000001</v>
      </c>
      <c r="U41" s="43">
        <f t="shared" si="10"/>
        <v>6.7891510459999997</v>
      </c>
      <c r="V41" s="43">
        <f t="shared" si="11"/>
        <v>2.3542293999999998E-2</v>
      </c>
      <c r="W41" s="230">
        <f t="shared" si="12"/>
        <v>0.13682817775344466</v>
      </c>
      <c r="X41" s="43">
        <f t="shared" si="13"/>
        <v>0.77338260800000003</v>
      </c>
      <c r="Y41" s="43">
        <v>173.67818389999999</v>
      </c>
      <c r="Z41" s="43">
        <f t="shared" si="2"/>
        <v>1</v>
      </c>
      <c r="AA41" s="43">
        <f t="shared" si="3"/>
        <v>127833</v>
      </c>
      <c r="AB41" s="43">
        <f t="shared" si="4"/>
        <v>52297</v>
      </c>
      <c r="AC41" s="43">
        <f t="shared" si="14"/>
        <v>6.9618232924242435E-2</v>
      </c>
      <c r="AD41" s="43">
        <f t="shared" si="15"/>
        <v>0.78767596906060611</v>
      </c>
      <c r="AF41" s="43">
        <v>12.034172926910927</v>
      </c>
      <c r="AG41" s="43">
        <v>8.6994449000000001E-2</v>
      </c>
      <c r="AH41" s="43">
        <v>9.0133739000000004E-2</v>
      </c>
      <c r="AI41" s="43">
        <v>0.70300093900000005</v>
      </c>
      <c r="AJ41" s="43">
        <v>2.5807565430000001</v>
      </c>
      <c r="AK41" s="43">
        <v>6.7891510459999997</v>
      </c>
      <c r="AL41" s="43">
        <v>2.3542293999999998E-2</v>
      </c>
      <c r="AM41" s="230">
        <v>0.13682817775344466</v>
      </c>
      <c r="AN41" s="43">
        <v>0.77338260800000003</v>
      </c>
    </row>
    <row r="42" spans="1:40" x14ac:dyDescent="0.25">
      <c r="A42" s="134">
        <v>32</v>
      </c>
      <c r="B42" s="134" t="s">
        <v>213</v>
      </c>
      <c r="C42" s="134" t="s">
        <v>210</v>
      </c>
      <c r="D42" s="134" t="s">
        <v>211</v>
      </c>
      <c r="E42" s="134">
        <v>338</v>
      </c>
      <c r="F42" s="134">
        <v>732</v>
      </c>
      <c r="G42" s="134">
        <v>37</v>
      </c>
      <c r="H42" s="134">
        <v>437</v>
      </c>
      <c r="I42" s="200">
        <v>6.7184204872100001E-2</v>
      </c>
      <c r="J42" s="134">
        <v>1169</v>
      </c>
      <c r="K42" s="134">
        <v>17399.923125199999</v>
      </c>
      <c r="L42" s="42">
        <v>0.78920396614400001</v>
      </c>
      <c r="M42" s="42">
        <v>0.56387096774199996</v>
      </c>
      <c r="N42" s="134">
        <v>0</v>
      </c>
      <c r="O42" s="43" t="s">
        <v>664</v>
      </c>
      <c r="P42" s="43">
        <f t="shared" si="5"/>
        <v>12.141485594653126</v>
      </c>
      <c r="Q42" s="43">
        <f t="shared" si="6"/>
        <v>5.9643545999999999E-2</v>
      </c>
      <c r="R42" s="43">
        <f t="shared" si="7"/>
        <v>3.4821750999999998E-2</v>
      </c>
      <c r="S42" s="43">
        <f t="shared" si="8"/>
        <v>0.78920396599999998</v>
      </c>
      <c r="T42" s="43">
        <f t="shared" si="9"/>
        <v>2.0097236440000001</v>
      </c>
      <c r="U42" s="43">
        <f t="shared" si="10"/>
        <v>7.5216100920000004</v>
      </c>
      <c r="V42" s="43">
        <f t="shared" si="11"/>
        <v>2.9204127999999999E-2</v>
      </c>
      <c r="W42" s="230">
        <f t="shared" si="12"/>
        <v>0.12450930733189819</v>
      </c>
      <c r="X42" s="43">
        <f t="shared" si="13"/>
        <v>0.77654489000000004</v>
      </c>
      <c r="Y42" s="43">
        <v>184.02873550000001</v>
      </c>
      <c r="Z42" s="43">
        <f t="shared" si="2"/>
        <v>1</v>
      </c>
      <c r="AA42" s="43">
        <f t="shared" si="3"/>
        <v>127833</v>
      </c>
      <c r="AB42" s="43">
        <f t="shared" si="4"/>
        <v>52297</v>
      </c>
      <c r="AC42" s="43">
        <f t="shared" si="14"/>
        <v>6.9618232924242435E-2</v>
      </c>
      <c r="AD42" s="43">
        <f t="shared" si="15"/>
        <v>0.78767596906060611</v>
      </c>
      <c r="AF42" s="43">
        <v>12.141485594653126</v>
      </c>
      <c r="AG42" s="43">
        <v>5.9643545999999999E-2</v>
      </c>
      <c r="AH42" s="43">
        <v>3.4821750999999998E-2</v>
      </c>
      <c r="AI42" s="43">
        <v>0.78920396599999998</v>
      </c>
      <c r="AJ42" s="43">
        <v>2.0097236440000001</v>
      </c>
      <c r="AK42" s="43">
        <v>7.5216100920000004</v>
      </c>
      <c r="AL42" s="43">
        <v>2.9204127999999999E-2</v>
      </c>
      <c r="AM42" s="230">
        <v>0.12450930733189819</v>
      </c>
      <c r="AN42" s="43">
        <v>0.77654489000000004</v>
      </c>
    </row>
    <row r="43" spans="1:40" x14ac:dyDescent="0.25">
      <c r="A43" s="134">
        <v>33</v>
      </c>
      <c r="B43" s="134" t="s">
        <v>213</v>
      </c>
      <c r="C43" s="134" t="s">
        <v>210</v>
      </c>
      <c r="D43" s="134" t="s">
        <v>211</v>
      </c>
      <c r="E43" s="134">
        <v>231</v>
      </c>
      <c r="F43" s="134">
        <v>499</v>
      </c>
      <c r="G43" s="134">
        <v>23</v>
      </c>
      <c r="H43" s="134">
        <v>144</v>
      </c>
      <c r="I43" s="200">
        <v>4.0722348724800003E-2</v>
      </c>
      <c r="J43" s="134">
        <v>643</v>
      </c>
      <c r="K43" s="134">
        <v>15789.855451199999</v>
      </c>
      <c r="L43" s="42">
        <v>0.78602176541699997</v>
      </c>
      <c r="M43" s="42">
        <v>0.38400000000000001</v>
      </c>
      <c r="N43" s="134">
        <v>0</v>
      </c>
      <c r="O43" s="43" t="s">
        <v>664</v>
      </c>
      <c r="P43" s="43">
        <f t="shared" si="5"/>
        <v>11.732343724741666</v>
      </c>
      <c r="Q43" s="43">
        <f t="shared" si="6"/>
        <v>6.6602176999999999E-2</v>
      </c>
      <c r="R43" s="43">
        <f t="shared" si="7"/>
        <v>3.0914954000000001E-2</v>
      </c>
      <c r="S43" s="43">
        <f t="shared" si="8"/>
        <v>0.78602176499999998</v>
      </c>
      <c r="T43" s="43">
        <f t="shared" si="9"/>
        <v>2.075939457</v>
      </c>
      <c r="U43" s="43">
        <f t="shared" si="10"/>
        <v>6.8945453199999998</v>
      </c>
      <c r="V43" s="43">
        <f t="shared" si="11"/>
        <v>2.3744794E-2</v>
      </c>
      <c r="W43" s="230">
        <f t="shared" si="12"/>
        <v>0.14458005552984729</v>
      </c>
      <c r="X43" s="43">
        <f t="shared" si="13"/>
        <v>0.75133040299999998</v>
      </c>
      <c r="Y43" s="43">
        <v>180.47376420000001</v>
      </c>
      <c r="Z43" s="43">
        <f t="shared" si="2"/>
        <v>1</v>
      </c>
      <c r="AA43" s="43">
        <f t="shared" si="3"/>
        <v>127833</v>
      </c>
      <c r="AB43" s="43">
        <f t="shared" si="4"/>
        <v>52297</v>
      </c>
      <c r="AC43" s="43">
        <f t="shared" si="14"/>
        <v>6.9618232924242435E-2</v>
      </c>
      <c r="AD43" s="43">
        <f t="shared" si="15"/>
        <v>0.78767596906060611</v>
      </c>
      <c r="AF43" s="43">
        <v>11.732343724741666</v>
      </c>
      <c r="AG43" s="43">
        <v>6.6602176999999999E-2</v>
      </c>
      <c r="AH43" s="43">
        <v>3.0914954000000001E-2</v>
      </c>
      <c r="AI43" s="43">
        <v>0.78602176499999998</v>
      </c>
      <c r="AJ43" s="43">
        <v>2.075939457</v>
      </c>
      <c r="AK43" s="43">
        <v>6.8945453199999998</v>
      </c>
      <c r="AL43" s="43">
        <v>2.3744794E-2</v>
      </c>
      <c r="AM43" s="230">
        <v>0.14458005552984729</v>
      </c>
      <c r="AN43" s="43">
        <v>0.75133040299999998</v>
      </c>
    </row>
    <row r="44" spans="1:40" x14ac:dyDescent="0.25">
      <c r="A44" s="134">
        <v>34</v>
      </c>
      <c r="B44" s="134" t="s">
        <v>213</v>
      </c>
      <c r="C44" s="134" t="s">
        <v>210</v>
      </c>
      <c r="D44" s="134" t="s">
        <v>211</v>
      </c>
      <c r="E44" s="134">
        <v>419</v>
      </c>
      <c r="F44" s="134">
        <v>1016</v>
      </c>
      <c r="G44" s="134">
        <v>50</v>
      </c>
      <c r="H44" s="134">
        <v>225</v>
      </c>
      <c r="I44" s="200">
        <v>7.6661429120699995E-2</v>
      </c>
      <c r="J44" s="134">
        <v>1241</v>
      </c>
      <c r="K44" s="134">
        <v>16188.062422499999</v>
      </c>
      <c r="L44" s="42">
        <v>0.76820105109400005</v>
      </c>
      <c r="M44" s="42">
        <v>0.34937888198799999</v>
      </c>
      <c r="N44" s="134">
        <v>0</v>
      </c>
      <c r="O44" s="43" t="s">
        <v>664</v>
      </c>
      <c r="P44" s="43">
        <f t="shared" si="5"/>
        <v>11.321390304512031</v>
      </c>
      <c r="Q44" s="43">
        <f t="shared" si="6"/>
        <v>6.7263294000000001E-2</v>
      </c>
      <c r="R44" s="43">
        <f t="shared" si="7"/>
        <v>3.6372718999999998E-2</v>
      </c>
      <c r="S44" s="43">
        <f t="shared" si="8"/>
        <v>0.76820105100000002</v>
      </c>
      <c r="T44" s="43">
        <f t="shared" si="9"/>
        <v>2.0360277139999998</v>
      </c>
      <c r="U44" s="43">
        <f t="shared" si="10"/>
        <v>6.5484050030000001</v>
      </c>
      <c r="V44" s="43">
        <f t="shared" si="11"/>
        <v>2.8543473E-2</v>
      </c>
      <c r="W44" s="230">
        <f t="shared" si="12"/>
        <v>0.15224872634029488</v>
      </c>
      <c r="X44" s="43">
        <f t="shared" si="13"/>
        <v>0.72866830900000001</v>
      </c>
      <c r="Y44" s="43">
        <v>169.20856090000001</v>
      </c>
      <c r="Z44" s="43">
        <f t="shared" si="2"/>
        <v>1</v>
      </c>
      <c r="AA44" s="43">
        <f t="shared" si="3"/>
        <v>127833</v>
      </c>
      <c r="AB44" s="43">
        <f t="shared" si="4"/>
        <v>52297</v>
      </c>
      <c r="AC44" s="43">
        <f t="shared" si="14"/>
        <v>6.9618232924242435E-2</v>
      </c>
      <c r="AD44" s="43">
        <f t="shared" si="15"/>
        <v>0.78767596906060611</v>
      </c>
      <c r="AF44" s="43">
        <v>11.321390304512031</v>
      </c>
      <c r="AG44" s="43">
        <v>6.7263294000000001E-2</v>
      </c>
      <c r="AH44" s="43">
        <v>3.6372718999999998E-2</v>
      </c>
      <c r="AI44" s="43">
        <v>0.76820105100000002</v>
      </c>
      <c r="AJ44" s="43">
        <v>2.0360277139999998</v>
      </c>
      <c r="AK44" s="43">
        <v>6.5484050030000001</v>
      </c>
      <c r="AL44" s="43">
        <v>2.8543473E-2</v>
      </c>
      <c r="AM44" s="230">
        <v>0.15224872634029488</v>
      </c>
      <c r="AN44" s="43">
        <v>0.72866830900000001</v>
      </c>
    </row>
    <row r="45" spans="1:40" x14ac:dyDescent="0.25">
      <c r="A45" s="134">
        <v>35</v>
      </c>
      <c r="B45" s="134" t="s">
        <v>213</v>
      </c>
      <c r="C45" s="134" t="s">
        <v>210</v>
      </c>
      <c r="D45" s="134" t="s">
        <v>211</v>
      </c>
      <c r="E45" s="134">
        <v>436</v>
      </c>
      <c r="F45" s="134">
        <v>1057</v>
      </c>
      <c r="G45" s="134">
        <v>50</v>
      </c>
      <c r="H45" s="134">
        <v>328</v>
      </c>
      <c r="I45" s="200">
        <v>7.72069164098E-2</v>
      </c>
      <c r="J45" s="134">
        <v>1385</v>
      </c>
      <c r="K45" s="134">
        <v>17938.807355699999</v>
      </c>
      <c r="L45" s="42">
        <v>0.77161155718100005</v>
      </c>
      <c r="M45" s="42">
        <v>0.429319371728</v>
      </c>
      <c r="N45" s="134">
        <v>0</v>
      </c>
      <c r="O45" s="43" t="s">
        <v>664</v>
      </c>
      <c r="P45" s="43">
        <f t="shared" si="5"/>
        <v>11.591820026874165</v>
      </c>
      <c r="Q45" s="43">
        <f t="shared" si="6"/>
        <v>6.7690708000000002E-2</v>
      </c>
      <c r="R45" s="43">
        <f t="shared" si="7"/>
        <v>3.6191611999999998E-2</v>
      </c>
      <c r="S45" s="43">
        <f t="shared" si="8"/>
        <v>0.77161155699999995</v>
      </c>
      <c r="T45" s="43">
        <f t="shared" si="9"/>
        <v>2.0815885930000002</v>
      </c>
      <c r="U45" s="43">
        <f t="shared" si="10"/>
        <v>6.7575772629999999</v>
      </c>
      <c r="V45" s="43">
        <f t="shared" si="11"/>
        <v>3.1168718000000002E-2</v>
      </c>
      <c r="W45" s="230">
        <f t="shared" si="12"/>
        <v>0.15043810575567793</v>
      </c>
      <c r="X45" s="43">
        <f t="shared" si="13"/>
        <v>0.73267556899999997</v>
      </c>
      <c r="Y45" s="43">
        <v>188.17714889999999</v>
      </c>
      <c r="Z45" s="43">
        <f t="shared" si="2"/>
        <v>1</v>
      </c>
      <c r="AA45" s="43">
        <f t="shared" si="3"/>
        <v>127833</v>
      </c>
      <c r="AB45" s="43">
        <f t="shared" si="4"/>
        <v>52297</v>
      </c>
      <c r="AC45" s="43">
        <f t="shared" si="14"/>
        <v>6.9618232924242435E-2</v>
      </c>
      <c r="AD45" s="43">
        <f t="shared" si="15"/>
        <v>0.78767596906060611</v>
      </c>
      <c r="AF45" s="43">
        <v>11.591820026874165</v>
      </c>
      <c r="AG45" s="43">
        <v>6.7690708000000002E-2</v>
      </c>
      <c r="AH45" s="43">
        <v>3.6191611999999998E-2</v>
      </c>
      <c r="AI45" s="43">
        <v>0.77161155699999995</v>
      </c>
      <c r="AJ45" s="43">
        <v>2.0815885930000002</v>
      </c>
      <c r="AK45" s="43">
        <v>6.7575772629999999</v>
      </c>
      <c r="AL45" s="43">
        <v>3.1168718000000002E-2</v>
      </c>
      <c r="AM45" s="230">
        <v>0.15043810575567793</v>
      </c>
      <c r="AN45" s="43">
        <v>0.73267556899999997</v>
      </c>
    </row>
    <row r="46" spans="1:40" x14ac:dyDescent="0.25">
      <c r="A46" s="134">
        <v>36</v>
      </c>
      <c r="B46" s="134" t="s">
        <v>213</v>
      </c>
      <c r="C46" s="134" t="s">
        <v>210</v>
      </c>
      <c r="D46" s="134" t="s">
        <v>211</v>
      </c>
      <c r="E46" s="134">
        <v>405</v>
      </c>
      <c r="F46" s="134">
        <v>983</v>
      </c>
      <c r="G46" s="134">
        <v>36</v>
      </c>
      <c r="H46" s="134">
        <v>235</v>
      </c>
      <c r="I46" s="200">
        <v>5.6040744637399997E-2</v>
      </c>
      <c r="J46" s="134">
        <v>1218</v>
      </c>
      <c r="K46" s="134">
        <v>21734.1865794</v>
      </c>
      <c r="L46" s="42">
        <v>0.75136008412800004</v>
      </c>
      <c r="M46" s="42">
        <v>0.3671875</v>
      </c>
      <c r="N46" s="134">
        <v>0</v>
      </c>
      <c r="O46" s="43" t="s">
        <v>627</v>
      </c>
      <c r="P46" s="43">
        <f t="shared" si="5"/>
        <v>11.846423618551986</v>
      </c>
      <c r="Q46" s="43">
        <f t="shared" si="6"/>
        <v>8.0553447E-2</v>
      </c>
      <c r="R46" s="43">
        <f t="shared" si="7"/>
        <v>3.7136763000000003E-2</v>
      </c>
      <c r="S46" s="43">
        <f t="shared" si="8"/>
        <v>0.75136008399999998</v>
      </c>
      <c r="T46" s="43">
        <f t="shared" si="9"/>
        <v>1.982280212</v>
      </c>
      <c r="U46" s="43">
        <f t="shared" si="10"/>
        <v>6.6504608100000002</v>
      </c>
      <c r="V46" s="43">
        <f t="shared" si="11"/>
        <v>3.0214491999999999E-2</v>
      </c>
      <c r="W46" s="230">
        <f t="shared" si="12"/>
        <v>0.18345249553141757</v>
      </c>
      <c r="X46" s="43">
        <f t="shared" si="13"/>
        <v>0.69321462899999997</v>
      </c>
      <c r="Y46" s="43">
        <v>188.24393430000001</v>
      </c>
      <c r="Z46" s="43">
        <f t="shared" si="2"/>
        <v>1</v>
      </c>
      <c r="AA46" s="43">
        <f t="shared" si="3"/>
        <v>127833</v>
      </c>
      <c r="AB46" s="43">
        <f t="shared" si="4"/>
        <v>52297</v>
      </c>
      <c r="AC46" s="43">
        <f t="shared" si="14"/>
        <v>6.9618232924242435E-2</v>
      </c>
      <c r="AD46" s="43">
        <f t="shared" si="15"/>
        <v>0.78767596906060611</v>
      </c>
      <c r="AF46" s="43">
        <v>11.846423618551986</v>
      </c>
      <c r="AG46" s="43">
        <v>8.0553447E-2</v>
      </c>
      <c r="AH46" s="43">
        <v>3.7136763000000003E-2</v>
      </c>
      <c r="AI46" s="43">
        <v>0.75136008399999998</v>
      </c>
      <c r="AJ46" s="43">
        <v>1.982280212</v>
      </c>
      <c r="AK46" s="43">
        <v>6.6504608100000002</v>
      </c>
      <c r="AL46" s="43">
        <v>3.0214491999999999E-2</v>
      </c>
      <c r="AM46" s="230">
        <v>0.18345249553141757</v>
      </c>
      <c r="AN46" s="43">
        <v>0.69321462899999997</v>
      </c>
    </row>
    <row r="47" spans="1:40" x14ac:dyDescent="0.25">
      <c r="A47" s="134">
        <v>37</v>
      </c>
      <c r="B47" s="134" t="s">
        <v>213</v>
      </c>
      <c r="C47" s="134" t="s">
        <v>210</v>
      </c>
      <c r="D47" s="134" t="s">
        <v>211</v>
      </c>
      <c r="E47" s="134">
        <v>824</v>
      </c>
      <c r="F47" s="134">
        <v>1697</v>
      </c>
      <c r="G47" s="134">
        <v>50</v>
      </c>
      <c r="H47" s="134">
        <v>638</v>
      </c>
      <c r="I47" s="200">
        <v>7.8199569536300001E-2</v>
      </c>
      <c r="J47" s="134">
        <v>2335</v>
      </c>
      <c r="K47" s="134">
        <v>29859.499404499998</v>
      </c>
      <c r="L47" s="42">
        <v>0.72992374939000004</v>
      </c>
      <c r="M47" s="42">
        <v>0.43638850889199998</v>
      </c>
      <c r="N47" s="134">
        <v>1</v>
      </c>
      <c r="O47" s="43" t="s">
        <v>627</v>
      </c>
      <c r="P47" s="43">
        <f t="shared" si="5"/>
        <v>13.524383997327201</v>
      </c>
      <c r="Q47" s="43">
        <f t="shared" si="6"/>
        <v>9.5321442000000006E-2</v>
      </c>
      <c r="R47" s="43">
        <f t="shared" si="7"/>
        <v>3.8994604000000002E-2</v>
      </c>
      <c r="S47" s="43">
        <f t="shared" si="8"/>
        <v>0.72992374900000001</v>
      </c>
      <c r="T47" s="43">
        <f t="shared" si="9"/>
        <v>1.990141436</v>
      </c>
      <c r="U47" s="43">
        <f t="shared" si="10"/>
        <v>7.6731749789999997</v>
      </c>
      <c r="V47" s="43">
        <f t="shared" si="11"/>
        <v>3.9784439999999997E-2</v>
      </c>
      <c r="W47" s="230">
        <f t="shared" si="12"/>
        <v>0.18870007643430123</v>
      </c>
      <c r="X47" s="43">
        <f t="shared" si="13"/>
        <v>0.67476046700000003</v>
      </c>
      <c r="Y47" s="43">
        <v>216.38643070000001</v>
      </c>
      <c r="Z47" s="43">
        <f t="shared" si="2"/>
        <v>1</v>
      </c>
      <c r="AA47" s="43">
        <f t="shared" si="3"/>
        <v>127833</v>
      </c>
      <c r="AB47" s="43">
        <f t="shared" si="4"/>
        <v>52297</v>
      </c>
      <c r="AC47" s="43">
        <f t="shared" si="14"/>
        <v>6.9618232924242435E-2</v>
      </c>
      <c r="AD47" s="43">
        <f t="shared" si="15"/>
        <v>0.78767596906060611</v>
      </c>
      <c r="AF47" s="43">
        <v>13.524383997327201</v>
      </c>
      <c r="AG47" s="43">
        <v>9.5321442000000006E-2</v>
      </c>
      <c r="AH47" s="43">
        <v>3.8994604000000002E-2</v>
      </c>
      <c r="AI47" s="43">
        <v>0.72992374900000001</v>
      </c>
      <c r="AJ47" s="43">
        <v>1.990141436</v>
      </c>
      <c r="AK47" s="43">
        <v>7.6731749789999997</v>
      </c>
      <c r="AL47" s="43">
        <v>3.9784439999999997E-2</v>
      </c>
      <c r="AM47" s="230">
        <v>0.18870007643430123</v>
      </c>
      <c r="AN47" s="43">
        <v>0.67476046700000003</v>
      </c>
    </row>
    <row r="48" spans="1:40" x14ac:dyDescent="0.25">
      <c r="A48" s="134">
        <v>38</v>
      </c>
      <c r="B48" s="134" t="s">
        <v>213</v>
      </c>
      <c r="C48" s="134" t="s">
        <v>210</v>
      </c>
      <c r="D48" s="134" t="s">
        <v>211</v>
      </c>
      <c r="E48" s="134">
        <v>323</v>
      </c>
      <c r="F48" s="134">
        <v>665</v>
      </c>
      <c r="G48" s="134">
        <v>23</v>
      </c>
      <c r="H48" s="134">
        <v>132</v>
      </c>
      <c r="I48" s="200">
        <v>3.60265923696E-2</v>
      </c>
      <c r="J48" s="134">
        <v>797</v>
      </c>
      <c r="K48" s="134">
        <v>22122.547473400002</v>
      </c>
      <c r="L48" s="42">
        <v>0.75354425693000004</v>
      </c>
      <c r="M48" s="42">
        <v>0.29010989010999999</v>
      </c>
      <c r="N48" s="134">
        <v>1</v>
      </c>
      <c r="O48" s="43" t="s">
        <v>664</v>
      </c>
      <c r="P48" s="43">
        <f t="shared" si="5"/>
        <v>12.490964708792035</v>
      </c>
      <c r="Q48" s="43">
        <f t="shared" si="6"/>
        <v>8.0093637999999995E-2</v>
      </c>
      <c r="R48" s="43">
        <f t="shared" si="7"/>
        <v>3.8410549000000002E-2</v>
      </c>
      <c r="S48" s="43">
        <f t="shared" si="8"/>
        <v>0.75354425700000005</v>
      </c>
      <c r="T48" s="43">
        <f t="shared" si="9"/>
        <v>2.0291050579999999</v>
      </c>
      <c r="U48" s="43">
        <f t="shared" si="10"/>
        <v>7.03179687</v>
      </c>
      <c r="V48" s="43">
        <f t="shared" si="11"/>
        <v>3.5124467999999999E-2</v>
      </c>
      <c r="W48" s="230">
        <f t="shared" si="12"/>
        <v>0.17275593676272794</v>
      </c>
      <c r="X48" s="43">
        <f t="shared" si="13"/>
        <v>0.69752827799999995</v>
      </c>
      <c r="Y48" s="43">
        <v>209.02413910000001</v>
      </c>
      <c r="Z48" s="43">
        <f t="shared" si="2"/>
        <v>1</v>
      </c>
      <c r="AA48" s="43">
        <f t="shared" si="3"/>
        <v>127833</v>
      </c>
      <c r="AB48" s="43">
        <f t="shared" si="4"/>
        <v>52297</v>
      </c>
      <c r="AC48" s="43">
        <f t="shared" si="14"/>
        <v>6.9618232924242435E-2</v>
      </c>
      <c r="AD48" s="43">
        <f t="shared" si="15"/>
        <v>0.78767596906060611</v>
      </c>
      <c r="AF48" s="43">
        <v>12.490964708792035</v>
      </c>
      <c r="AG48" s="43">
        <v>8.0093637999999995E-2</v>
      </c>
      <c r="AH48" s="43">
        <v>3.8410549000000002E-2</v>
      </c>
      <c r="AI48" s="43">
        <v>0.75354425700000005</v>
      </c>
      <c r="AJ48" s="43">
        <v>2.0291050579999999</v>
      </c>
      <c r="AK48" s="43">
        <v>7.03179687</v>
      </c>
      <c r="AL48" s="43">
        <v>3.5124467999999999E-2</v>
      </c>
      <c r="AM48" s="230">
        <v>0.17275593676272794</v>
      </c>
      <c r="AN48" s="43">
        <v>0.69752827799999995</v>
      </c>
    </row>
    <row r="49" spans="1:40" x14ac:dyDescent="0.25">
      <c r="A49" s="134">
        <v>39</v>
      </c>
      <c r="B49" s="134" t="s">
        <v>213</v>
      </c>
      <c r="C49" s="134" t="s">
        <v>210</v>
      </c>
      <c r="D49" s="134" t="s">
        <v>211</v>
      </c>
      <c r="E49" s="134">
        <v>507</v>
      </c>
      <c r="F49" s="134">
        <v>1045</v>
      </c>
      <c r="G49" s="134">
        <v>54</v>
      </c>
      <c r="H49" s="134">
        <v>227</v>
      </c>
      <c r="I49" s="200">
        <v>8.4113608634600004E-2</v>
      </c>
      <c r="J49" s="134">
        <v>1272</v>
      </c>
      <c r="K49" s="134">
        <v>15122.4043368</v>
      </c>
      <c r="L49" s="42">
        <v>0.74436906277399995</v>
      </c>
      <c r="M49" s="42">
        <v>0.30926430517699999</v>
      </c>
      <c r="N49" s="134">
        <v>1</v>
      </c>
      <c r="O49" s="43" t="s">
        <v>664</v>
      </c>
      <c r="P49" s="43">
        <f t="shared" si="5"/>
        <v>12.887481882169956</v>
      </c>
      <c r="Q49" s="43">
        <f t="shared" si="6"/>
        <v>9.0966954000000003E-2</v>
      </c>
      <c r="R49" s="43">
        <f t="shared" si="7"/>
        <v>3.6692150999999999E-2</v>
      </c>
      <c r="S49" s="43">
        <f t="shared" si="8"/>
        <v>0.74436906300000005</v>
      </c>
      <c r="T49" s="43">
        <f t="shared" si="9"/>
        <v>1.882229232</v>
      </c>
      <c r="U49" s="43">
        <f t="shared" si="10"/>
        <v>6.9596082969999999</v>
      </c>
      <c r="V49" s="43">
        <f t="shared" si="11"/>
        <v>3.0372376E-2</v>
      </c>
      <c r="W49" s="230">
        <f t="shared" si="12"/>
        <v>0.18972241029113068</v>
      </c>
      <c r="X49" s="43">
        <f t="shared" si="13"/>
        <v>0.69225457000000001</v>
      </c>
      <c r="Y49" s="43">
        <v>207.4012554</v>
      </c>
      <c r="Z49" s="43">
        <f t="shared" si="2"/>
        <v>1</v>
      </c>
      <c r="AA49" s="43">
        <f t="shared" si="3"/>
        <v>127833</v>
      </c>
      <c r="AB49" s="43">
        <f t="shared" si="4"/>
        <v>52297</v>
      </c>
      <c r="AC49" s="43">
        <f t="shared" si="14"/>
        <v>6.9618232924242435E-2</v>
      </c>
      <c r="AD49" s="43">
        <f t="shared" si="15"/>
        <v>0.78767596906060611</v>
      </c>
      <c r="AF49" s="43">
        <v>12.887481882169956</v>
      </c>
      <c r="AG49" s="43">
        <v>9.0966954000000003E-2</v>
      </c>
      <c r="AH49" s="43">
        <v>3.6692150999999999E-2</v>
      </c>
      <c r="AI49" s="43">
        <v>0.74436906300000005</v>
      </c>
      <c r="AJ49" s="43">
        <v>1.882229232</v>
      </c>
      <c r="AK49" s="43">
        <v>6.9596082969999999</v>
      </c>
      <c r="AL49" s="43">
        <v>3.0372376E-2</v>
      </c>
      <c r="AM49" s="230">
        <v>0.18972241029113068</v>
      </c>
      <c r="AN49" s="43">
        <v>0.69225457000000001</v>
      </c>
    </row>
    <row r="50" spans="1:40" x14ac:dyDescent="0.25">
      <c r="A50" s="134">
        <v>40</v>
      </c>
      <c r="B50" s="134" t="s">
        <v>213</v>
      </c>
      <c r="C50" s="134" t="s">
        <v>210</v>
      </c>
      <c r="D50" s="134" t="s">
        <v>211</v>
      </c>
      <c r="E50" s="134">
        <v>814</v>
      </c>
      <c r="F50" s="134">
        <v>1676</v>
      </c>
      <c r="G50" s="134">
        <v>39</v>
      </c>
      <c r="H50" s="134">
        <v>387</v>
      </c>
      <c r="I50" s="200">
        <v>6.0318403662200003E-2</v>
      </c>
      <c r="J50" s="134">
        <v>2063</v>
      </c>
      <c r="K50" s="134">
        <v>34201.833515899998</v>
      </c>
      <c r="L50" s="42">
        <v>0.69630409581700003</v>
      </c>
      <c r="M50" s="42">
        <v>0.32223147377200001</v>
      </c>
      <c r="N50" s="134">
        <v>1</v>
      </c>
      <c r="O50" s="43" t="s">
        <v>627</v>
      </c>
      <c r="P50" s="43">
        <f t="shared" si="5"/>
        <v>13.131917075084289</v>
      </c>
      <c r="Q50" s="43">
        <f t="shared" si="6"/>
        <v>0.118647586</v>
      </c>
      <c r="R50" s="43">
        <f t="shared" si="7"/>
        <v>3.9272462000000001E-2</v>
      </c>
      <c r="S50" s="43">
        <f t="shared" si="8"/>
        <v>0.69630409599999998</v>
      </c>
      <c r="T50" s="43">
        <f t="shared" si="9"/>
        <v>1.8357881840000001</v>
      </c>
      <c r="U50" s="43">
        <f t="shared" si="10"/>
        <v>7.1696066549999999</v>
      </c>
      <c r="V50" s="43">
        <f t="shared" si="11"/>
        <v>3.8050288000000002E-2</v>
      </c>
      <c r="W50" s="230">
        <f t="shared" si="12"/>
        <v>0.23813382340656589</v>
      </c>
      <c r="X50" s="43">
        <f t="shared" si="13"/>
        <v>0.62092557000000004</v>
      </c>
      <c r="Y50" s="43">
        <v>187.50651360000001</v>
      </c>
      <c r="Z50" s="43">
        <f t="shared" si="2"/>
        <v>1</v>
      </c>
      <c r="AA50" s="43">
        <f t="shared" si="3"/>
        <v>127833</v>
      </c>
      <c r="AB50" s="43">
        <f t="shared" si="4"/>
        <v>52297</v>
      </c>
      <c r="AC50" s="43">
        <f t="shared" si="14"/>
        <v>6.9618232924242435E-2</v>
      </c>
      <c r="AD50" s="43">
        <f t="shared" si="15"/>
        <v>0.78767596906060611</v>
      </c>
      <c r="AF50" s="43">
        <v>13.131917075084289</v>
      </c>
      <c r="AG50" s="43">
        <v>0.118647586</v>
      </c>
      <c r="AH50" s="43">
        <v>3.9272462000000001E-2</v>
      </c>
      <c r="AI50" s="43">
        <v>0.69630409599999998</v>
      </c>
      <c r="AJ50" s="43">
        <v>1.8357881840000001</v>
      </c>
      <c r="AK50" s="43">
        <v>7.1696066549999999</v>
      </c>
      <c r="AL50" s="43">
        <v>3.8050288000000002E-2</v>
      </c>
      <c r="AM50" s="230">
        <v>0.23813382340656589</v>
      </c>
      <c r="AN50" s="43">
        <v>0.62092557000000004</v>
      </c>
    </row>
    <row r="51" spans="1:40" x14ac:dyDescent="0.25">
      <c r="A51" s="134">
        <v>41</v>
      </c>
      <c r="B51" s="134" t="s">
        <v>213</v>
      </c>
      <c r="C51" s="134" t="s">
        <v>210</v>
      </c>
      <c r="D51" s="134" t="s">
        <v>211</v>
      </c>
      <c r="E51" s="134">
        <v>357</v>
      </c>
      <c r="F51" s="134">
        <v>732</v>
      </c>
      <c r="G51" s="134">
        <v>28</v>
      </c>
      <c r="H51" s="134">
        <v>218</v>
      </c>
      <c r="I51" s="200">
        <v>4.4592440397599999E-2</v>
      </c>
      <c r="J51" s="134">
        <v>950</v>
      </c>
      <c r="K51" s="134">
        <v>21304.059421999998</v>
      </c>
      <c r="L51" s="42">
        <v>0.719167130677</v>
      </c>
      <c r="M51" s="42">
        <v>0.37913043478300001</v>
      </c>
      <c r="N51" s="134">
        <v>1</v>
      </c>
      <c r="O51" s="43" t="s">
        <v>627</v>
      </c>
      <c r="P51" s="43">
        <f t="shared" si="5"/>
        <v>11.009208948777648</v>
      </c>
      <c r="Q51" s="43">
        <f t="shared" si="6"/>
        <v>8.6254897999999997E-2</v>
      </c>
      <c r="R51" s="43">
        <f t="shared" si="7"/>
        <v>3.5579826000000002E-2</v>
      </c>
      <c r="S51" s="43">
        <f t="shared" si="8"/>
        <v>0.71916713099999996</v>
      </c>
      <c r="T51" s="43">
        <f t="shared" si="9"/>
        <v>1.6785021200000001</v>
      </c>
      <c r="U51" s="43">
        <f t="shared" si="10"/>
        <v>6.148933983</v>
      </c>
      <c r="V51" s="43">
        <f t="shared" si="11"/>
        <v>3.3085415999999999E-2</v>
      </c>
      <c r="W51" s="230">
        <f t="shared" si="12"/>
        <v>0.17766243958121533</v>
      </c>
      <c r="X51" s="43">
        <f t="shared" si="13"/>
        <v>0.65723152699999998</v>
      </c>
      <c r="Y51" s="43">
        <v>223.80974990000001</v>
      </c>
      <c r="Z51" s="43">
        <f t="shared" si="2"/>
        <v>1</v>
      </c>
      <c r="AA51" s="43">
        <f t="shared" si="3"/>
        <v>127833</v>
      </c>
      <c r="AB51" s="43">
        <f t="shared" si="4"/>
        <v>52297</v>
      </c>
      <c r="AC51" s="43">
        <f t="shared" si="14"/>
        <v>6.9618232924242435E-2</v>
      </c>
      <c r="AD51" s="43">
        <f t="shared" si="15"/>
        <v>0.78767596906060611</v>
      </c>
      <c r="AF51" s="43">
        <v>11.009208948777648</v>
      </c>
      <c r="AG51" s="43">
        <v>8.6254897999999997E-2</v>
      </c>
      <c r="AH51" s="43">
        <v>3.5579826000000002E-2</v>
      </c>
      <c r="AI51" s="43">
        <v>0.71916713099999996</v>
      </c>
      <c r="AJ51" s="43">
        <v>1.6785021200000001</v>
      </c>
      <c r="AK51" s="43">
        <v>6.148933983</v>
      </c>
      <c r="AL51" s="43">
        <v>3.3085415999999999E-2</v>
      </c>
      <c r="AM51" s="230">
        <v>0.17766243958121533</v>
      </c>
      <c r="AN51" s="43">
        <v>0.65723152699999998</v>
      </c>
    </row>
    <row r="52" spans="1:40" x14ac:dyDescent="0.25">
      <c r="A52" s="134">
        <v>42</v>
      </c>
      <c r="B52" s="134" t="s">
        <v>213</v>
      </c>
      <c r="C52" s="134" t="s">
        <v>210</v>
      </c>
      <c r="D52" s="134" t="s">
        <v>211</v>
      </c>
      <c r="E52" s="134">
        <v>317</v>
      </c>
      <c r="F52" s="134">
        <v>651</v>
      </c>
      <c r="G52" s="134">
        <v>29</v>
      </c>
      <c r="H52" s="134">
        <v>151</v>
      </c>
      <c r="I52" s="200">
        <v>4.4854901134499997E-2</v>
      </c>
      <c r="J52" s="134">
        <v>802</v>
      </c>
      <c r="K52" s="134">
        <v>17879.874433199999</v>
      </c>
      <c r="L52" s="42">
        <v>0.71202311046</v>
      </c>
      <c r="M52" s="42">
        <v>0.32264957264999999</v>
      </c>
      <c r="N52" s="134">
        <v>1</v>
      </c>
      <c r="O52" s="43" t="s">
        <v>664</v>
      </c>
      <c r="P52" s="43">
        <f t="shared" si="5"/>
        <v>11.105971645067648</v>
      </c>
      <c r="Q52" s="43">
        <f t="shared" si="6"/>
        <v>9.9808594E-2</v>
      </c>
      <c r="R52" s="43">
        <f t="shared" si="7"/>
        <v>3.5859020999999998E-2</v>
      </c>
      <c r="S52" s="43">
        <f t="shared" si="8"/>
        <v>0.71202310999999996</v>
      </c>
      <c r="T52" s="43">
        <f t="shared" si="9"/>
        <v>1.691188626</v>
      </c>
      <c r="U52" s="43">
        <f t="shared" si="10"/>
        <v>6.259264945</v>
      </c>
      <c r="V52" s="43">
        <f t="shared" si="11"/>
        <v>2.9499701E-2</v>
      </c>
      <c r="W52" s="230">
        <f t="shared" si="12"/>
        <v>0.20163444289415985</v>
      </c>
      <c r="X52" s="43">
        <f t="shared" si="13"/>
        <v>0.65236196899999999</v>
      </c>
      <c r="Y52" s="43">
        <v>224.19850539999999</v>
      </c>
      <c r="Z52" s="43">
        <f t="shared" si="2"/>
        <v>1</v>
      </c>
      <c r="AA52" s="43">
        <f t="shared" si="3"/>
        <v>127833</v>
      </c>
      <c r="AB52" s="43">
        <f t="shared" si="4"/>
        <v>52297</v>
      </c>
      <c r="AC52" s="43">
        <f t="shared" si="14"/>
        <v>6.9618232924242435E-2</v>
      </c>
      <c r="AD52" s="43">
        <f t="shared" si="15"/>
        <v>0.78767596906060611</v>
      </c>
      <c r="AF52" s="43">
        <v>11.105971645067648</v>
      </c>
      <c r="AG52" s="43">
        <v>9.9808594E-2</v>
      </c>
      <c r="AH52" s="43">
        <v>3.5859020999999998E-2</v>
      </c>
      <c r="AI52" s="43">
        <v>0.71202310999999996</v>
      </c>
      <c r="AJ52" s="43">
        <v>1.691188626</v>
      </c>
      <c r="AK52" s="43">
        <v>6.259264945</v>
      </c>
      <c r="AL52" s="43">
        <v>2.9499701E-2</v>
      </c>
      <c r="AM52" s="230">
        <v>0.20163444289415985</v>
      </c>
      <c r="AN52" s="43">
        <v>0.65236196899999999</v>
      </c>
    </row>
    <row r="53" spans="1:40" x14ac:dyDescent="0.25">
      <c r="A53" s="134">
        <v>43</v>
      </c>
      <c r="B53" s="134" t="s">
        <v>213</v>
      </c>
      <c r="C53" s="134" t="s">
        <v>210</v>
      </c>
      <c r="D53" s="134" t="s">
        <v>211</v>
      </c>
      <c r="E53" s="134">
        <v>617</v>
      </c>
      <c r="F53" s="134">
        <v>1266</v>
      </c>
      <c r="G53" s="134">
        <v>40</v>
      </c>
      <c r="H53" s="134">
        <v>93</v>
      </c>
      <c r="I53" s="200">
        <v>6.2213570263700002E-2</v>
      </c>
      <c r="J53" s="134">
        <v>1359</v>
      </c>
      <c r="K53" s="134">
        <v>21844.108837299998</v>
      </c>
      <c r="L53" s="42">
        <v>0.71994865324199997</v>
      </c>
      <c r="M53" s="42">
        <v>0.13098591549300001</v>
      </c>
      <c r="N53" s="134">
        <v>1</v>
      </c>
      <c r="O53" s="43" t="s">
        <v>627</v>
      </c>
      <c r="P53" s="43">
        <f t="shared" si="5"/>
        <v>10.560484441632475</v>
      </c>
      <c r="Q53" s="43">
        <f t="shared" si="6"/>
        <v>8.9692722000000003E-2</v>
      </c>
      <c r="R53" s="43">
        <f t="shared" si="7"/>
        <v>3.6241767000000001E-2</v>
      </c>
      <c r="S53" s="43">
        <f t="shared" si="8"/>
        <v>0.71994865299999999</v>
      </c>
      <c r="T53" s="43">
        <f t="shared" si="9"/>
        <v>1.642232278</v>
      </c>
      <c r="U53" s="43">
        <f t="shared" si="10"/>
        <v>6.1603043949999998</v>
      </c>
      <c r="V53" s="43">
        <f t="shared" si="11"/>
        <v>2.4516941E-2</v>
      </c>
      <c r="W53" s="230">
        <f t="shared" si="12"/>
        <v>0.19915259795626564</v>
      </c>
      <c r="X53" s="43">
        <f t="shared" si="13"/>
        <v>0.66099982899999998</v>
      </c>
      <c r="Y53" s="43">
        <v>198.5505369</v>
      </c>
      <c r="Z53" s="43">
        <f t="shared" si="2"/>
        <v>1</v>
      </c>
      <c r="AA53" s="43">
        <f t="shared" si="3"/>
        <v>127833</v>
      </c>
      <c r="AB53" s="43">
        <f t="shared" si="4"/>
        <v>52297</v>
      </c>
      <c r="AC53" s="43">
        <f t="shared" si="14"/>
        <v>6.9618232924242435E-2</v>
      </c>
      <c r="AD53" s="43">
        <f t="shared" si="15"/>
        <v>0.78767596906060611</v>
      </c>
      <c r="AF53" s="43">
        <v>10.560484441632475</v>
      </c>
      <c r="AG53" s="43">
        <v>8.9692722000000003E-2</v>
      </c>
      <c r="AH53" s="43">
        <v>3.6241767000000001E-2</v>
      </c>
      <c r="AI53" s="43">
        <v>0.71994865299999999</v>
      </c>
      <c r="AJ53" s="43">
        <v>1.642232278</v>
      </c>
      <c r="AK53" s="43">
        <v>6.1603043949999998</v>
      </c>
      <c r="AL53" s="43">
        <v>2.4516941E-2</v>
      </c>
      <c r="AM53" s="230">
        <v>0.19915259795626564</v>
      </c>
      <c r="AN53" s="43">
        <v>0.66099982899999998</v>
      </c>
    </row>
    <row r="54" spans="1:40" x14ac:dyDescent="0.25">
      <c r="A54" s="134">
        <v>44</v>
      </c>
      <c r="B54" s="134" t="s">
        <v>213</v>
      </c>
      <c r="C54" s="134" t="s">
        <v>210</v>
      </c>
      <c r="D54" s="134" t="s">
        <v>211</v>
      </c>
      <c r="E54" s="134">
        <v>360</v>
      </c>
      <c r="F54" s="134">
        <v>740</v>
      </c>
      <c r="G54" s="134">
        <v>39</v>
      </c>
      <c r="H54" s="134">
        <v>79</v>
      </c>
      <c r="I54" s="200">
        <v>6.2006488799200003E-2</v>
      </c>
      <c r="J54" s="134">
        <v>819</v>
      </c>
      <c r="K54" s="134">
        <v>13208.295064899999</v>
      </c>
      <c r="L54" s="42">
        <v>0.73796804370400004</v>
      </c>
      <c r="M54" s="42">
        <v>0.179954441913</v>
      </c>
      <c r="N54" s="134">
        <v>1</v>
      </c>
      <c r="O54" s="43" t="s">
        <v>664</v>
      </c>
      <c r="P54" s="43">
        <f t="shared" si="5"/>
        <v>11.013727796534695</v>
      </c>
      <c r="Q54" s="43">
        <f t="shared" si="6"/>
        <v>9.9168459E-2</v>
      </c>
      <c r="R54" s="43">
        <f t="shared" si="7"/>
        <v>3.5370687999999997E-2</v>
      </c>
      <c r="S54" s="43">
        <f t="shared" si="8"/>
        <v>0.73796804400000005</v>
      </c>
      <c r="T54" s="43">
        <f t="shared" si="9"/>
        <v>1.7822553050000001</v>
      </c>
      <c r="U54" s="43">
        <f t="shared" si="10"/>
        <v>6.292905116</v>
      </c>
      <c r="V54" s="43">
        <f t="shared" si="11"/>
        <v>2.0691706000000001E-2</v>
      </c>
      <c r="W54" s="230">
        <f t="shared" si="12"/>
        <v>0.20995496261046906</v>
      </c>
      <c r="X54" s="43">
        <f t="shared" si="13"/>
        <v>0.68858344699999996</v>
      </c>
      <c r="Y54" s="43">
        <v>201.98831419999999</v>
      </c>
      <c r="Z54" s="43">
        <f t="shared" si="2"/>
        <v>1</v>
      </c>
      <c r="AA54" s="43">
        <f t="shared" si="3"/>
        <v>127833</v>
      </c>
      <c r="AB54" s="43">
        <f t="shared" si="4"/>
        <v>52297</v>
      </c>
      <c r="AC54" s="43">
        <f t="shared" si="14"/>
        <v>6.9618232924242435E-2</v>
      </c>
      <c r="AD54" s="43">
        <f t="shared" si="15"/>
        <v>0.78767596906060611</v>
      </c>
      <c r="AF54" s="43">
        <v>11.013727796534695</v>
      </c>
      <c r="AG54" s="43">
        <v>9.9168459E-2</v>
      </c>
      <c r="AH54" s="43">
        <v>3.5370687999999997E-2</v>
      </c>
      <c r="AI54" s="43">
        <v>0.73796804400000005</v>
      </c>
      <c r="AJ54" s="43">
        <v>1.7822553050000001</v>
      </c>
      <c r="AK54" s="43">
        <v>6.292905116</v>
      </c>
      <c r="AL54" s="43">
        <v>2.0691706000000001E-2</v>
      </c>
      <c r="AM54" s="230">
        <v>0.20995496261046906</v>
      </c>
      <c r="AN54" s="43">
        <v>0.68858344699999996</v>
      </c>
    </row>
    <row r="55" spans="1:40" x14ac:dyDescent="0.25">
      <c r="A55" s="134">
        <v>45</v>
      </c>
      <c r="B55" s="134" t="s">
        <v>213</v>
      </c>
      <c r="C55" s="134" t="s">
        <v>210</v>
      </c>
      <c r="D55" s="134" t="s">
        <v>211</v>
      </c>
      <c r="E55" s="134">
        <v>1094</v>
      </c>
      <c r="F55" s="134">
        <v>2103</v>
      </c>
      <c r="G55" s="134">
        <v>46</v>
      </c>
      <c r="H55" s="134">
        <v>2193</v>
      </c>
      <c r="I55" s="200">
        <v>7.1790433565300002E-2</v>
      </c>
      <c r="J55" s="134">
        <v>4296</v>
      </c>
      <c r="K55" s="134">
        <v>59840.842110099999</v>
      </c>
      <c r="L55" s="42">
        <v>0.67782546905700003</v>
      </c>
      <c r="M55" s="42">
        <v>0.66717371463300001</v>
      </c>
      <c r="N55" s="134">
        <v>1</v>
      </c>
      <c r="O55" s="43" t="s">
        <v>627</v>
      </c>
      <c r="P55" s="43">
        <f t="shared" si="5"/>
        <v>12.838152559905808</v>
      </c>
      <c r="Q55" s="43">
        <f t="shared" si="6"/>
        <v>0.10191433599999999</v>
      </c>
      <c r="R55" s="43">
        <f t="shared" si="7"/>
        <v>3.9118014E-2</v>
      </c>
      <c r="S55" s="43">
        <f t="shared" si="8"/>
        <v>0.67782546899999996</v>
      </c>
      <c r="T55" s="43">
        <f t="shared" si="9"/>
        <v>1.70911517</v>
      </c>
      <c r="U55" s="43">
        <f t="shared" si="10"/>
        <v>6.8424755309999998</v>
      </c>
      <c r="V55" s="43">
        <f t="shared" si="11"/>
        <v>4.5890549000000003E-2</v>
      </c>
      <c r="W55" s="230">
        <f t="shared" si="12"/>
        <v>0.20038529602831476</v>
      </c>
      <c r="X55" s="43">
        <f t="shared" si="13"/>
        <v>0.62115991999999998</v>
      </c>
      <c r="Y55" s="43">
        <v>147.8768336</v>
      </c>
      <c r="Z55" s="43">
        <f t="shared" si="2"/>
        <v>1</v>
      </c>
      <c r="AA55" s="43">
        <f t="shared" si="3"/>
        <v>127833</v>
      </c>
      <c r="AB55" s="43">
        <f t="shared" si="4"/>
        <v>52297</v>
      </c>
      <c r="AC55" s="43">
        <f t="shared" si="14"/>
        <v>6.9618232924242435E-2</v>
      </c>
      <c r="AD55" s="43">
        <f t="shared" si="15"/>
        <v>0.78767596906060611</v>
      </c>
      <c r="AF55" s="43">
        <v>12.838152559905808</v>
      </c>
      <c r="AG55" s="43">
        <v>0.10191433599999999</v>
      </c>
      <c r="AH55" s="43">
        <v>3.9118014E-2</v>
      </c>
      <c r="AI55" s="43">
        <v>0.67782546899999996</v>
      </c>
      <c r="AJ55" s="43">
        <v>1.70911517</v>
      </c>
      <c r="AK55" s="43">
        <v>6.8424755309999998</v>
      </c>
      <c r="AL55" s="43">
        <v>4.5890549000000003E-2</v>
      </c>
      <c r="AM55" s="230">
        <v>0.20038529602831476</v>
      </c>
      <c r="AN55" s="43">
        <v>0.62115991999999998</v>
      </c>
    </row>
    <row r="56" spans="1:40" x14ac:dyDescent="0.25">
      <c r="A56" s="134">
        <v>46</v>
      </c>
      <c r="B56" s="134" t="s">
        <v>213</v>
      </c>
      <c r="C56" s="134" t="s">
        <v>210</v>
      </c>
      <c r="D56" s="134" t="s">
        <v>211</v>
      </c>
      <c r="E56" s="134">
        <v>722</v>
      </c>
      <c r="F56" s="134">
        <v>1387</v>
      </c>
      <c r="G56" s="134">
        <v>40</v>
      </c>
      <c r="H56" s="134">
        <v>569</v>
      </c>
      <c r="I56" s="200">
        <v>6.3259675327100001E-2</v>
      </c>
      <c r="J56" s="134">
        <v>1956</v>
      </c>
      <c r="K56" s="134">
        <v>30920.171339600001</v>
      </c>
      <c r="L56" s="42">
        <v>0.69057998805700005</v>
      </c>
      <c r="M56" s="42">
        <v>0.44074360960499998</v>
      </c>
      <c r="N56" s="134">
        <v>1</v>
      </c>
      <c r="O56" s="43" t="s">
        <v>627</v>
      </c>
      <c r="P56" s="43">
        <f t="shared" si="5"/>
        <v>11.977707014199961</v>
      </c>
      <c r="Q56" s="43">
        <f t="shared" si="6"/>
        <v>9.1335861000000004E-2</v>
      </c>
      <c r="R56" s="43">
        <f t="shared" si="7"/>
        <v>3.8987897000000001E-2</v>
      </c>
      <c r="S56" s="43">
        <f t="shared" si="8"/>
        <v>0.69057998799999998</v>
      </c>
      <c r="T56" s="43">
        <f t="shared" si="9"/>
        <v>1.6450359130000001</v>
      </c>
      <c r="U56" s="43">
        <f t="shared" si="10"/>
        <v>6.2780709039999998</v>
      </c>
      <c r="V56" s="43">
        <f t="shared" si="11"/>
        <v>3.9474512000000003E-2</v>
      </c>
      <c r="W56" s="230">
        <f t="shared" si="12"/>
        <v>0.18424434120786798</v>
      </c>
      <c r="X56" s="43">
        <f t="shared" si="13"/>
        <v>0.637145399</v>
      </c>
      <c r="Y56" s="43">
        <v>85.724707730000006</v>
      </c>
      <c r="Z56" s="43">
        <f t="shared" si="2"/>
        <v>1</v>
      </c>
      <c r="AA56" s="43">
        <f t="shared" si="3"/>
        <v>127833</v>
      </c>
      <c r="AB56" s="43">
        <f t="shared" si="4"/>
        <v>52297</v>
      </c>
      <c r="AC56" s="43">
        <f t="shared" si="14"/>
        <v>6.9618232924242435E-2</v>
      </c>
      <c r="AD56" s="43">
        <f t="shared" si="15"/>
        <v>0.78767596906060611</v>
      </c>
      <c r="AF56" s="43">
        <v>11.977707014199961</v>
      </c>
      <c r="AG56" s="43">
        <v>9.1335861000000004E-2</v>
      </c>
      <c r="AH56" s="43">
        <v>3.8987897000000001E-2</v>
      </c>
      <c r="AI56" s="43">
        <v>0.69057998799999998</v>
      </c>
      <c r="AJ56" s="43">
        <v>1.6450359130000001</v>
      </c>
      <c r="AK56" s="43">
        <v>6.2780709039999998</v>
      </c>
      <c r="AL56" s="43">
        <v>3.9474512000000003E-2</v>
      </c>
      <c r="AM56" s="230">
        <v>0.18424434120786798</v>
      </c>
      <c r="AN56" s="43">
        <v>0.637145399</v>
      </c>
    </row>
    <row r="57" spans="1:40" x14ac:dyDescent="0.25">
      <c r="A57" s="134">
        <v>47</v>
      </c>
      <c r="B57" s="134" t="s">
        <v>213</v>
      </c>
      <c r="C57" s="134" t="s">
        <v>210</v>
      </c>
      <c r="D57" s="134" t="s">
        <v>211</v>
      </c>
      <c r="E57" s="134">
        <v>596</v>
      </c>
      <c r="F57" s="134">
        <v>1145</v>
      </c>
      <c r="G57" s="134">
        <v>29</v>
      </c>
      <c r="H57" s="134">
        <v>1224</v>
      </c>
      <c r="I57" s="200">
        <v>4.6140658870600003E-2</v>
      </c>
      <c r="J57" s="134">
        <v>2369</v>
      </c>
      <c r="K57" s="134">
        <v>51343.003285699997</v>
      </c>
      <c r="L57" s="42">
        <v>0.68530428530599996</v>
      </c>
      <c r="M57" s="42">
        <v>0.67252747252699996</v>
      </c>
      <c r="N57" s="134">
        <v>1</v>
      </c>
      <c r="O57" s="43" t="s">
        <v>627</v>
      </c>
      <c r="P57" s="43">
        <f t="shared" si="5"/>
        <v>12.923655348706633</v>
      </c>
      <c r="Q57" s="43">
        <f t="shared" si="6"/>
        <v>9.5285277000000002E-2</v>
      </c>
      <c r="R57" s="43">
        <f t="shared" si="7"/>
        <v>3.6894409000000003E-2</v>
      </c>
      <c r="S57" s="43">
        <f t="shared" si="8"/>
        <v>0.68530428499999996</v>
      </c>
      <c r="T57" s="43">
        <f t="shared" si="9"/>
        <v>1.6681979650000001</v>
      </c>
      <c r="U57" s="43">
        <f t="shared" si="10"/>
        <v>6.4531683910000002</v>
      </c>
      <c r="V57" s="43">
        <f t="shared" si="11"/>
        <v>4.1673749000000003E-2</v>
      </c>
      <c r="W57" s="230">
        <f t="shared" si="12"/>
        <v>0.1994981991825503</v>
      </c>
      <c r="X57" s="43">
        <f t="shared" si="13"/>
        <v>0.61515114699999995</v>
      </c>
      <c r="Y57" s="43">
        <v>260.75210199999998</v>
      </c>
      <c r="Z57" s="43">
        <f t="shared" si="2"/>
        <v>1</v>
      </c>
      <c r="AA57" s="43">
        <f t="shared" si="3"/>
        <v>127833</v>
      </c>
      <c r="AB57" s="43">
        <f t="shared" si="4"/>
        <v>52297</v>
      </c>
      <c r="AC57" s="43">
        <f t="shared" si="14"/>
        <v>6.9618232924242435E-2</v>
      </c>
      <c r="AD57" s="43">
        <f t="shared" si="15"/>
        <v>0.78767596906060611</v>
      </c>
      <c r="AF57" s="43">
        <v>12.923655348706633</v>
      </c>
      <c r="AG57" s="43">
        <v>9.5285277000000002E-2</v>
      </c>
      <c r="AH57" s="43">
        <v>3.6894409000000003E-2</v>
      </c>
      <c r="AI57" s="43">
        <v>0.68530428499999996</v>
      </c>
      <c r="AJ57" s="43">
        <v>1.6681979650000001</v>
      </c>
      <c r="AK57" s="43">
        <v>6.4531683910000002</v>
      </c>
      <c r="AL57" s="43">
        <v>4.1673749000000003E-2</v>
      </c>
      <c r="AM57" s="230">
        <v>0.1994981991825503</v>
      </c>
      <c r="AN57" s="43">
        <v>0.61515114699999995</v>
      </c>
    </row>
    <row r="58" spans="1:40" x14ac:dyDescent="0.25">
      <c r="A58" s="134">
        <v>48</v>
      </c>
      <c r="B58" s="134" t="s">
        <v>213</v>
      </c>
      <c r="C58" s="134" t="s">
        <v>210</v>
      </c>
      <c r="D58" s="134" t="s">
        <v>211</v>
      </c>
      <c r="E58" s="134">
        <v>862</v>
      </c>
      <c r="F58" s="134">
        <v>2641</v>
      </c>
      <c r="G58" s="134">
        <v>57</v>
      </c>
      <c r="H58" s="134">
        <v>638</v>
      </c>
      <c r="I58" s="200">
        <v>8.42719535454E-2</v>
      </c>
      <c r="J58" s="134">
        <v>3279</v>
      </c>
      <c r="K58" s="134">
        <v>38909.742352599998</v>
      </c>
      <c r="L58" s="42">
        <v>0.66384795118499995</v>
      </c>
      <c r="M58" s="42">
        <v>0.425333333333</v>
      </c>
      <c r="N58" s="134">
        <v>1</v>
      </c>
      <c r="O58" s="43" t="s">
        <v>627</v>
      </c>
      <c r="P58" s="43">
        <f t="shared" si="5"/>
        <v>12.367245970321852</v>
      </c>
      <c r="Q58" s="43">
        <f t="shared" si="6"/>
        <v>9.9673989000000005E-2</v>
      </c>
      <c r="R58" s="43">
        <f t="shared" si="7"/>
        <v>4.7683982999999999E-2</v>
      </c>
      <c r="S58" s="43">
        <f t="shared" si="8"/>
        <v>0.66384795100000005</v>
      </c>
      <c r="T58" s="43">
        <f t="shared" si="9"/>
        <v>1.6934916630000001</v>
      </c>
      <c r="U58" s="43">
        <f t="shared" si="10"/>
        <v>6.908521854</v>
      </c>
      <c r="V58" s="43">
        <f t="shared" si="11"/>
        <v>4.6019671999999998E-2</v>
      </c>
      <c r="W58" s="230">
        <f t="shared" si="12"/>
        <v>0.2009774931854178</v>
      </c>
      <c r="X58" s="43">
        <f t="shared" si="13"/>
        <v>0.61876406299999998</v>
      </c>
      <c r="Y58" s="43">
        <v>124.031182</v>
      </c>
      <c r="Z58" s="43">
        <f t="shared" si="2"/>
        <v>1</v>
      </c>
      <c r="AA58" s="43">
        <f t="shared" si="3"/>
        <v>127833</v>
      </c>
      <c r="AB58" s="43">
        <f t="shared" si="4"/>
        <v>52297</v>
      </c>
      <c r="AC58" s="43">
        <f t="shared" si="14"/>
        <v>6.9618232924242435E-2</v>
      </c>
      <c r="AD58" s="43">
        <f t="shared" si="15"/>
        <v>0.78767596906060611</v>
      </c>
      <c r="AF58" s="43">
        <v>12.367245970321852</v>
      </c>
      <c r="AG58" s="43">
        <v>9.9673989000000005E-2</v>
      </c>
      <c r="AH58" s="43">
        <v>4.7683982999999999E-2</v>
      </c>
      <c r="AI58" s="43">
        <v>0.66384795100000005</v>
      </c>
      <c r="AJ58" s="43">
        <v>1.6934916630000001</v>
      </c>
      <c r="AK58" s="43">
        <v>6.908521854</v>
      </c>
      <c r="AL58" s="43">
        <v>4.6019671999999998E-2</v>
      </c>
      <c r="AM58" s="230">
        <v>0.2009774931854178</v>
      </c>
      <c r="AN58" s="43">
        <v>0.61876406299999998</v>
      </c>
    </row>
    <row r="59" spans="1:40" x14ac:dyDescent="0.25">
      <c r="A59" s="134">
        <v>49</v>
      </c>
      <c r="B59" s="134" t="s">
        <v>213</v>
      </c>
      <c r="C59" s="134" t="s">
        <v>210</v>
      </c>
      <c r="D59" s="134" t="s">
        <v>211</v>
      </c>
      <c r="E59" s="134">
        <v>763</v>
      </c>
      <c r="F59" s="134">
        <v>2336</v>
      </c>
      <c r="G59" s="134">
        <v>59</v>
      </c>
      <c r="H59" s="134">
        <v>779</v>
      </c>
      <c r="I59" s="200">
        <v>8.6473247223799996E-2</v>
      </c>
      <c r="J59" s="134">
        <v>3115</v>
      </c>
      <c r="K59" s="134">
        <v>36022.701818299996</v>
      </c>
      <c r="L59" s="42">
        <v>0.68687056237199995</v>
      </c>
      <c r="M59" s="42">
        <v>0.505188067445</v>
      </c>
      <c r="N59" s="134">
        <v>0</v>
      </c>
      <c r="O59" s="43" t="s">
        <v>627</v>
      </c>
      <c r="P59" s="43">
        <f t="shared" si="5"/>
        <v>12.716879796813268</v>
      </c>
      <c r="Q59" s="43">
        <f t="shared" si="6"/>
        <v>8.9322583999999997E-2</v>
      </c>
      <c r="R59" s="43">
        <f t="shared" si="7"/>
        <v>4.9862971999999998E-2</v>
      </c>
      <c r="S59" s="43">
        <f t="shared" si="8"/>
        <v>0.68687056199999996</v>
      </c>
      <c r="T59" s="43">
        <f t="shared" si="9"/>
        <v>1.8032222019999999</v>
      </c>
      <c r="U59" s="43">
        <f t="shared" si="10"/>
        <v>7.1646573660000001</v>
      </c>
      <c r="V59" s="43">
        <f t="shared" si="11"/>
        <v>4.7039817999999997E-2</v>
      </c>
      <c r="W59" s="230">
        <f t="shared" si="12"/>
        <v>0.17575587484341734</v>
      </c>
      <c r="X59" s="43">
        <f t="shared" si="13"/>
        <v>0.66242495999999995</v>
      </c>
      <c r="Y59" s="43">
        <v>175.52586959999999</v>
      </c>
      <c r="Z59" s="43">
        <f t="shared" si="2"/>
        <v>1</v>
      </c>
      <c r="AA59" s="43">
        <f t="shared" si="3"/>
        <v>127833</v>
      </c>
      <c r="AB59" s="43">
        <f t="shared" si="4"/>
        <v>52297</v>
      </c>
      <c r="AC59" s="43">
        <f t="shared" si="14"/>
        <v>6.9618232924242435E-2</v>
      </c>
      <c r="AD59" s="43">
        <f t="shared" si="15"/>
        <v>0.78767596906060611</v>
      </c>
      <c r="AF59" s="43">
        <v>12.716879796813268</v>
      </c>
      <c r="AG59" s="43">
        <v>8.9322583999999997E-2</v>
      </c>
      <c r="AH59" s="43">
        <v>4.9862971999999998E-2</v>
      </c>
      <c r="AI59" s="43">
        <v>0.68687056199999996</v>
      </c>
      <c r="AJ59" s="43">
        <v>1.8032222019999999</v>
      </c>
      <c r="AK59" s="43">
        <v>7.1646573660000001</v>
      </c>
      <c r="AL59" s="43">
        <v>4.7039817999999997E-2</v>
      </c>
      <c r="AM59" s="230">
        <v>0.17575587484341734</v>
      </c>
      <c r="AN59" s="43">
        <v>0.66242495999999995</v>
      </c>
    </row>
    <row r="60" spans="1:40" x14ac:dyDescent="0.25">
      <c r="A60" s="134">
        <v>50</v>
      </c>
      <c r="B60" s="134" t="s">
        <v>213</v>
      </c>
      <c r="C60" s="134" t="s">
        <v>210</v>
      </c>
      <c r="D60" s="134" t="s">
        <v>211</v>
      </c>
      <c r="E60" s="134">
        <v>10</v>
      </c>
      <c r="F60" s="134">
        <v>998</v>
      </c>
      <c r="G60" s="134">
        <v>248</v>
      </c>
      <c r="H60" s="134">
        <v>17859</v>
      </c>
      <c r="I60" s="200">
        <v>0.41997487950200002</v>
      </c>
      <c r="J60" s="134">
        <v>18857</v>
      </c>
      <c r="K60" s="134">
        <v>44900.304566699997</v>
      </c>
      <c r="L60" s="42">
        <v>0.77754757568999999</v>
      </c>
      <c r="M60" s="42">
        <v>0.99944037159300003</v>
      </c>
      <c r="N60" s="134">
        <v>0</v>
      </c>
      <c r="O60" s="43" t="s">
        <v>627</v>
      </c>
      <c r="P60" s="43">
        <f t="shared" si="5"/>
        <v>15.934252445843349</v>
      </c>
      <c r="Q60" s="43">
        <f t="shared" si="6"/>
        <v>8.1708233000000005E-2</v>
      </c>
      <c r="R60" s="43">
        <f t="shared" si="7"/>
        <v>2.8960673999999999E-2</v>
      </c>
      <c r="S60" s="43">
        <f t="shared" si="8"/>
        <v>0.77754757600000002</v>
      </c>
      <c r="T60" s="43">
        <f t="shared" si="9"/>
        <v>3.4305069769999998</v>
      </c>
      <c r="U60" s="43">
        <f t="shared" si="10"/>
        <v>8.9147732709999996</v>
      </c>
      <c r="V60" s="43">
        <f t="shared" si="11"/>
        <v>4.0286503000000001E-2</v>
      </c>
      <c r="W60" s="230">
        <f t="shared" si="12"/>
        <v>0.13339500444190619</v>
      </c>
      <c r="X60" s="43">
        <f t="shared" si="13"/>
        <v>0.78302775400000002</v>
      </c>
      <c r="Y60" s="43">
        <v>433.0148269</v>
      </c>
      <c r="Z60" s="43">
        <f t="shared" si="2"/>
        <v>1</v>
      </c>
      <c r="AA60" s="43">
        <f t="shared" si="3"/>
        <v>127833</v>
      </c>
      <c r="AB60" s="43">
        <f t="shared" si="4"/>
        <v>52297</v>
      </c>
      <c r="AC60" s="43">
        <f t="shared" si="14"/>
        <v>6.9618232924242435E-2</v>
      </c>
      <c r="AD60" s="43">
        <f t="shared" si="15"/>
        <v>0.78767596906060611</v>
      </c>
      <c r="AF60" s="43">
        <v>15.934252445843349</v>
      </c>
      <c r="AG60" s="43">
        <v>8.1708233000000005E-2</v>
      </c>
      <c r="AH60" s="43">
        <v>2.8960673999999999E-2</v>
      </c>
      <c r="AI60" s="43">
        <v>0.77754757600000002</v>
      </c>
      <c r="AJ60" s="43">
        <v>3.4305069769999998</v>
      </c>
      <c r="AK60" s="43">
        <v>8.9147732709999996</v>
      </c>
      <c r="AL60" s="43">
        <v>4.0286503000000001E-2</v>
      </c>
      <c r="AM60" s="230">
        <v>0.13339500444190619</v>
      </c>
      <c r="AN60" s="43">
        <v>0.78302775400000002</v>
      </c>
    </row>
    <row r="61" spans="1:40" x14ac:dyDescent="0.25">
      <c r="A61" s="134">
        <v>51</v>
      </c>
      <c r="B61" s="134" t="s">
        <v>213</v>
      </c>
      <c r="C61" s="134" t="s">
        <v>210</v>
      </c>
      <c r="D61" s="134" t="s">
        <v>211</v>
      </c>
      <c r="E61" s="134">
        <v>4</v>
      </c>
      <c r="F61" s="134">
        <v>363</v>
      </c>
      <c r="G61" s="134">
        <v>171</v>
      </c>
      <c r="H61" s="134">
        <v>25816</v>
      </c>
      <c r="I61" s="200">
        <v>0.28982811629400002</v>
      </c>
      <c r="J61" s="134">
        <v>26179</v>
      </c>
      <c r="K61" s="134">
        <v>90325.950203500004</v>
      </c>
      <c r="L61" s="42">
        <v>0.63288163195299996</v>
      </c>
      <c r="M61" s="42">
        <v>0.99984508133200001</v>
      </c>
      <c r="N61" s="134">
        <v>1</v>
      </c>
      <c r="O61" s="43" t="s">
        <v>627</v>
      </c>
      <c r="P61" s="43">
        <f t="shared" si="5"/>
        <v>15.150109574715929</v>
      </c>
      <c r="Q61" s="43">
        <f t="shared" si="6"/>
        <v>0.11847104999999999</v>
      </c>
      <c r="R61" s="43">
        <f t="shared" si="7"/>
        <v>5.1673887000000002E-2</v>
      </c>
      <c r="S61" s="43">
        <f t="shared" si="8"/>
        <v>0.63288163200000003</v>
      </c>
      <c r="T61" s="43">
        <f t="shared" si="9"/>
        <v>1.995694439</v>
      </c>
      <c r="U61" s="43">
        <f t="shared" si="10"/>
        <v>7.081419575</v>
      </c>
      <c r="V61" s="43">
        <f t="shared" si="11"/>
        <v>3.5104150000000001E-2</v>
      </c>
      <c r="W61" s="230">
        <f t="shared" si="12"/>
        <v>0.21283145886562643</v>
      </c>
      <c r="X61" s="43">
        <f t="shared" si="13"/>
        <v>0.66270370899999997</v>
      </c>
      <c r="Y61" s="43">
        <v>493.71212969999999</v>
      </c>
      <c r="Z61" s="43">
        <f t="shared" si="2"/>
        <v>1</v>
      </c>
      <c r="AA61" s="43">
        <f t="shared" si="3"/>
        <v>127833</v>
      </c>
      <c r="AB61" s="43">
        <f t="shared" si="4"/>
        <v>52297</v>
      </c>
      <c r="AC61" s="43">
        <f t="shared" si="14"/>
        <v>6.9618232924242435E-2</v>
      </c>
      <c r="AD61" s="43">
        <f t="shared" si="15"/>
        <v>0.78767596906060611</v>
      </c>
      <c r="AF61" s="43">
        <v>15.150109574715929</v>
      </c>
      <c r="AG61" s="43">
        <v>0.11847104999999999</v>
      </c>
      <c r="AH61" s="43">
        <v>5.1673887000000002E-2</v>
      </c>
      <c r="AI61" s="43">
        <v>0.63288163200000003</v>
      </c>
      <c r="AJ61" s="43">
        <v>1.995694439</v>
      </c>
      <c r="AK61" s="43">
        <v>7.081419575</v>
      </c>
      <c r="AL61" s="43">
        <v>3.5104150000000001E-2</v>
      </c>
      <c r="AM61" s="230">
        <v>0.21283145886562643</v>
      </c>
      <c r="AN61" s="43">
        <v>0.66270370899999997</v>
      </c>
    </row>
    <row r="62" spans="1:40" x14ac:dyDescent="0.25">
      <c r="A62" s="134">
        <v>52</v>
      </c>
      <c r="B62" s="134" t="s">
        <v>213</v>
      </c>
      <c r="C62" s="134" t="s">
        <v>210</v>
      </c>
      <c r="D62" s="134" t="s">
        <v>211</v>
      </c>
      <c r="E62" s="134">
        <v>686</v>
      </c>
      <c r="F62" s="134">
        <v>1399</v>
      </c>
      <c r="G62" s="134">
        <v>25</v>
      </c>
      <c r="H62" s="134">
        <v>536</v>
      </c>
      <c r="I62" s="200">
        <v>1.6471015731500002E-2</v>
      </c>
      <c r="J62" s="134">
        <v>1935</v>
      </c>
      <c r="K62" s="134">
        <v>117479.093673</v>
      </c>
      <c r="L62" s="42">
        <v>0.650219617335</v>
      </c>
      <c r="M62" s="42">
        <v>0.43862520458299997</v>
      </c>
      <c r="N62" s="134">
        <v>1</v>
      </c>
      <c r="O62" s="43" t="s">
        <v>627</v>
      </c>
      <c r="P62" s="43">
        <f t="shared" si="5"/>
        <v>12.78195851103693</v>
      </c>
      <c r="Q62" s="43">
        <f t="shared" si="6"/>
        <v>9.7627044999999996E-2</v>
      </c>
      <c r="R62" s="43">
        <f t="shared" si="7"/>
        <v>4.3265295000000002E-2</v>
      </c>
      <c r="S62" s="43">
        <f t="shared" si="8"/>
        <v>0.65021961699999997</v>
      </c>
      <c r="T62" s="43">
        <f t="shared" si="9"/>
        <v>1.658540417</v>
      </c>
      <c r="U62" s="43">
        <f t="shared" si="10"/>
        <v>6.0476221609999996</v>
      </c>
      <c r="V62" s="43">
        <f t="shared" si="11"/>
        <v>4.9678443000000003E-2</v>
      </c>
      <c r="W62" s="230">
        <f t="shared" si="12"/>
        <v>0.21793342596805335</v>
      </c>
      <c r="X62" s="43">
        <f t="shared" si="13"/>
        <v>0.55536564099999997</v>
      </c>
      <c r="Y62" s="43">
        <v>174.43989780000001</v>
      </c>
      <c r="Z62" s="43">
        <f t="shared" si="2"/>
        <v>1</v>
      </c>
      <c r="AA62" s="43">
        <f t="shared" si="3"/>
        <v>127833</v>
      </c>
      <c r="AB62" s="43">
        <f t="shared" si="4"/>
        <v>52297</v>
      </c>
      <c r="AC62" s="43">
        <f t="shared" si="14"/>
        <v>6.9618232924242435E-2</v>
      </c>
      <c r="AD62" s="43">
        <f t="shared" si="15"/>
        <v>0.78767596906060611</v>
      </c>
      <c r="AF62" s="43">
        <v>12.78195851103693</v>
      </c>
      <c r="AG62" s="43">
        <v>9.7627044999999996E-2</v>
      </c>
      <c r="AH62" s="43">
        <v>4.3265295000000002E-2</v>
      </c>
      <c r="AI62" s="43">
        <v>0.65021961699999997</v>
      </c>
      <c r="AJ62" s="43">
        <v>1.658540417</v>
      </c>
      <c r="AK62" s="43">
        <v>6.0476221609999996</v>
      </c>
      <c r="AL62" s="43">
        <v>4.9678443000000003E-2</v>
      </c>
      <c r="AM62" s="230">
        <v>0.21793342596805335</v>
      </c>
      <c r="AN62" s="43">
        <v>0.55536564099999997</v>
      </c>
    </row>
    <row r="63" spans="1:40" x14ac:dyDescent="0.25">
      <c r="A63" s="134">
        <v>53</v>
      </c>
      <c r="B63" s="134" t="s">
        <v>213</v>
      </c>
      <c r="C63" s="134" t="s">
        <v>210</v>
      </c>
      <c r="D63" s="134" t="s">
        <v>211</v>
      </c>
      <c r="E63" s="134">
        <v>483</v>
      </c>
      <c r="F63" s="134">
        <v>985</v>
      </c>
      <c r="G63" s="134">
        <v>14</v>
      </c>
      <c r="H63" s="134">
        <v>377</v>
      </c>
      <c r="I63" s="200">
        <v>1.34467015956E-2</v>
      </c>
      <c r="J63" s="134">
        <v>1362</v>
      </c>
      <c r="K63" s="134">
        <v>101288.780027</v>
      </c>
      <c r="L63" s="42">
        <v>0.63167264544900004</v>
      </c>
      <c r="M63" s="42">
        <v>0.43837209302300001</v>
      </c>
      <c r="N63" s="134">
        <v>1</v>
      </c>
      <c r="O63" s="43" t="s">
        <v>627</v>
      </c>
      <c r="P63" s="43">
        <f t="shared" si="5"/>
        <v>12.824028738544968</v>
      </c>
      <c r="Q63" s="43">
        <f t="shared" si="6"/>
        <v>0.102365153</v>
      </c>
      <c r="R63" s="43">
        <f t="shared" si="7"/>
        <v>4.3941183000000002E-2</v>
      </c>
      <c r="S63" s="43">
        <f t="shared" si="8"/>
        <v>0.63167264499999998</v>
      </c>
      <c r="T63" s="43">
        <f t="shared" si="9"/>
        <v>1.6607678589999999</v>
      </c>
      <c r="U63" s="43">
        <f t="shared" si="10"/>
        <v>5.8952855020000001</v>
      </c>
      <c r="V63" s="43">
        <f t="shared" si="11"/>
        <v>5.1012046999999998E-2</v>
      </c>
      <c r="W63" s="230">
        <f t="shared" si="12"/>
        <v>0.22343485765093532</v>
      </c>
      <c r="X63" s="43">
        <f t="shared" si="13"/>
        <v>0.53367387899999996</v>
      </c>
      <c r="Y63" s="43">
        <v>173.95982739999999</v>
      </c>
      <c r="Z63" s="43">
        <f t="shared" si="2"/>
        <v>1</v>
      </c>
      <c r="AA63" s="43">
        <f t="shared" si="3"/>
        <v>127833</v>
      </c>
      <c r="AB63" s="43">
        <f t="shared" si="4"/>
        <v>52297</v>
      </c>
      <c r="AC63" s="43">
        <f t="shared" si="14"/>
        <v>6.9618232924242435E-2</v>
      </c>
      <c r="AD63" s="43">
        <f t="shared" si="15"/>
        <v>0.78767596906060611</v>
      </c>
      <c r="AF63" s="43">
        <v>12.824028738544968</v>
      </c>
      <c r="AG63" s="43">
        <v>0.102365153</v>
      </c>
      <c r="AH63" s="43">
        <v>4.3941183000000002E-2</v>
      </c>
      <c r="AI63" s="43">
        <v>0.63167264499999998</v>
      </c>
      <c r="AJ63" s="43">
        <v>1.6607678589999999</v>
      </c>
      <c r="AK63" s="43">
        <v>5.8952855020000001</v>
      </c>
      <c r="AL63" s="43">
        <v>5.1012046999999998E-2</v>
      </c>
      <c r="AM63" s="230">
        <v>0.22343485765093532</v>
      </c>
      <c r="AN63" s="43">
        <v>0.53367387899999996</v>
      </c>
    </row>
    <row r="64" spans="1:40" x14ac:dyDescent="0.25">
      <c r="A64" s="134">
        <v>54</v>
      </c>
      <c r="B64" s="134" t="s">
        <v>213</v>
      </c>
      <c r="C64" s="134" t="s">
        <v>210</v>
      </c>
      <c r="D64" s="134" t="s">
        <v>211</v>
      </c>
      <c r="E64" s="134">
        <v>174</v>
      </c>
      <c r="F64" s="134">
        <v>356</v>
      </c>
      <c r="G64" s="134">
        <v>7</v>
      </c>
      <c r="H64" s="134">
        <v>1508</v>
      </c>
      <c r="I64" s="200">
        <v>1.3134118327599999E-2</v>
      </c>
      <c r="J64" s="134">
        <v>1864</v>
      </c>
      <c r="K64" s="134">
        <v>141920.451263</v>
      </c>
      <c r="L64" s="42">
        <v>0.57219574390600003</v>
      </c>
      <c r="M64" s="42">
        <v>0.89655172413799999</v>
      </c>
      <c r="N64" s="134">
        <v>1</v>
      </c>
      <c r="O64" s="43" t="s">
        <v>627</v>
      </c>
      <c r="P64" s="43">
        <f t="shared" si="5"/>
        <v>15.78585614124963</v>
      </c>
      <c r="Q64" s="43">
        <f t="shared" si="6"/>
        <v>0.219170638</v>
      </c>
      <c r="R64" s="43">
        <f t="shared" si="7"/>
        <v>3.4337147999999998E-2</v>
      </c>
      <c r="S64" s="43">
        <f t="shared" si="8"/>
        <v>0.57219574399999995</v>
      </c>
      <c r="T64" s="43">
        <f t="shared" si="9"/>
        <v>2.3320528110000001</v>
      </c>
      <c r="U64" s="43">
        <f t="shared" si="10"/>
        <v>7.0690581339999996</v>
      </c>
      <c r="V64" s="43">
        <f t="shared" si="11"/>
        <v>4.3780755999999997E-2</v>
      </c>
      <c r="W64" s="230">
        <f t="shared" si="12"/>
        <v>0.4076538723597547</v>
      </c>
      <c r="X64" s="43">
        <f t="shared" si="13"/>
        <v>0.41453554399999998</v>
      </c>
      <c r="Y64" s="43">
        <v>300.50065640000003</v>
      </c>
      <c r="Z64" s="43">
        <f t="shared" si="2"/>
        <v>1</v>
      </c>
      <c r="AA64" s="43">
        <f t="shared" si="3"/>
        <v>127833</v>
      </c>
      <c r="AB64" s="43">
        <f t="shared" si="4"/>
        <v>52297</v>
      </c>
      <c r="AC64" s="43">
        <f t="shared" si="14"/>
        <v>6.9618232924242435E-2</v>
      </c>
      <c r="AD64" s="43">
        <f t="shared" si="15"/>
        <v>0.78767596906060611</v>
      </c>
      <c r="AF64" s="43">
        <v>15.78585614124963</v>
      </c>
      <c r="AG64" s="43">
        <v>0.219170638</v>
      </c>
      <c r="AH64" s="43">
        <v>3.4337147999999998E-2</v>
      </c>
      <c r="AI64" s="43">
        <v>0.57219574399999995</v>
      </c>
      <c r="AJ64" s="43">
        <v>2.3320528110000001</v>
      </c>
      <c r="AK64" s="43">
        <v>7.0690581339999996</v>
      </c>
      <c r="AL64" s="43">
        <v>4.3780755999999997E-2</v>
      </c>
      <c r="AM64" s="230">
        <v>0.4076538723597547</v>
      </c>
      <c r="AN64" s="43">
        <v>0.41453554399999998</v>
      </c>
    </row>
    <row r="65" spans="1:40" x14ac:dyDescent="0.25">
      <c r="A65" s="134">
        <v>55</v>
      </c>
      <c r="B65" s="134" t="s">
        <v>213</v>
      </c>
      <c r="C65" s="134" t="s">
        <v>210</v>
      </c>
      <c r="D65" s="134" t="s">
        <v>211</v>
      </c>
      <c r="E65" s="134">
        <v>416</v>
      </c>
      <c r="F65" s="134">
        <v>848</v>
      </c>
      <c r="G65" s="134">
        <v>12</v>
      </c>
      <c r="H65" s="134">
        <v>3483</v>
      </c>
      <c r="I65" s="200">
        <v>2.3854767610000001E-2</v>
      </c>
      <c r="J65" s="134">
        <v>4331</v>
      </c>
      <c r="K65" s="134">
        <v>181556.99819899999</v>
      </c>
      <c r="L65" s="42">
        <v>0.54816434140500003</v>
      </c>
      <c r="M65" s="42">
        <v>0.89330597589100003</v>
      </c>
      <c r="N65" s="134">
        <v>1</v>
      </c>
      <c r="O65" s="43" t="s">
        <v>627</v>
      </c>
      <c r="P65" s="43">
        <f t="shared" si="5"/>
        <v>16.443695566247325</v>
      </c>
      <c r="Q65" s="43">
        <f t="shared" si="6"/>
        <v>0.249955434</v>
      </c>
      <c r="R65" s="43">
        <f t="shared" si="7"/>
        <v>3.1602467000000002E-2</v>
      </c>
      <c r="S65" s="43">
        <f t="shared" si="8"/>
        <v>0.548164341</v>
      </c>
      <c r="T65" s="43">
        <f t="shared" si="9"/>
        <v>2.2640208720000001</v>
      </c>
      <c r="U65" s="43">
        <f t="shared" si="10"/>
        <v>7.1036849259999997</v>
      </c>
      <c r="V65" s="43">
        <f t="shared" si="11"/>
        <v>4.0810316999999999E-2</v>
      </c>
      <c r="W65" s="230">
        <f t="shared" si="12"/>
        <v>0.46538615053425725</v>
      </c>
      <c r="X65" s="43">
        <f t="shared" si="13"/>
        <v>0.37044670800000001</v>
      </c>
      <c r="Y65" s="43">
        <v>293.0235548</v>
      </c>
      <c r="Z65" s="43">
        <f t="shared" si="2"/>
        <v>1</v>
      </c>
      <c r="AA65" s="43">
        <f t="shared" si="3"/>
        <v>127833</v>
      </c>
      <c r="AB65" s="43">
        <f t="shared" si="4"/>
        <v>52297</v>
      </c>
      <c r="AC65" s="43">
        <f t="shared" si="14"/>
        <v>6.9618232924242435E-2</v>
      </c>
      <c r="AD65" s="43">
        <f t="shared" si="15"/>
        <v>0.78767596906060611</v>
      </c>
      <c r="AF65" s="43">
        <v>16.443695566247325</v>
      </c>
      <c r="AG65" s="43">
        <v>0.249955434</v>
      </c>
      <c r="AH65" s="43">
        <v>3.1602467000000002E-2</v>
      </c>
      <c r="AI65" s="43">
        <v>0.548164341</v>
      </c>
      <c r="AJ65" s="43">
        <v>2.2640208720000001</v>
      </c>
      <c r="AK65" s="43">
        <v>7.1036849259999997</v>
      </c>
      <c r="AL65" s="43">
        <v>4.0810316999999999E-2</v>
      </c>
      <c r="AM65" s="230">
        <v>0.46538615053425725</v>
      </c>
      <c r="AN65" s="43">
        <v>0.37044670800000001</v>
      </c>
    </row>
    <row r="66" spans="1:40" x14ac:dyDescent="0.25">
      <c r="A66" s="134">
        <v>56</v>
      </c>
      <c r="B66" s="134" t="s">
        <v>213</v>
      </c>
      <c r="C66" s="134" t="s">
        <v>210</v>
      </c>
      <c r="D66" s="134" t="s">
        <v>211</v>
      </c>
      <c r="E66" s="134">
        <v>17</v>
      </c>
      <c r="F66" s="134">
        <v>36</v>
      </c>
      <c r="G66" s="134">
        <v>8</v>
      </c>
      <c r="H66" s="134">
        <v>1581</v>
      </c>
      <c r="I66" s="200">
        <v>1.6090079969600001E-2</v>
      </c>
      <c r="J66" s="134">
        <v>1617</v>
      </c>
      <c r="K66" s="134">
        <v>100496.70374899999</v>
      </c>
      <c r="L66" s="42">
        <v>0.46706437298300002</v>
      </c>
      <c r="M66" s="42">
        <v>0.98936170212800001</v>
      </c>
      <c r="N66" s="134">
        <v>1</v>
      </c>
      <c r="O66" s="43" t="s">
        <v>627</v>
      </c>
      <c r="P66" s="43">
        <f t="shared" si="5"/>
        <v>16.195953744868763</v>
      </c>
      <c r="Q66" s="43">
        <f t="shared" si="6"/>
        <v>0.22667427300000001</v>
      </c>
      <c r="R66" s="43">
        <f t="shared" si="7"/>
        <v>0.15357053700000001</v>
      </c>
      <c r="S66" s="43">
        <f t="shared" si="8"/>
        <v>0.46706437299999998</v>
      </c>
      <c r="T66" s="43">
        <f t="shared" si="9"/>
        <v>2.7418385230000002</v>
      </c>
      <c r="U66" s="43">
        <f t="shared" si="10"/>
        <v>7.0146862629999998</v>
      </c>
      <c r="V66" s="43">
        <f t="shared" si="11"/>
        <v>4.1132765000000002E-2</v>
      </c>
      <c r="W66" s="230">
        <f t="shared" si="12"/>
        <v>0.41391050583657585</v>
      </c>
      <c r="X66" s="43">
        <f t="shared" si="13"/>
        <v>0.43257748600000001</v>
      </c>
      <c r="Y66" s="43">
        <v>295.44793579999998</v>
      </c>
      <c r="Z66" s="43">
        <f t="shared" si="2"/>
        <v>1</v>
      </c>
      <c r="AA66" s="43">
        <f t="shared" si="3"/>
        <v>127833</v>
      </c>
      <c r="AB66" s="43">
        <f t="shared" si="4"/>
        <v>52297</v>
      </c>
      <c r="AC66" s="43">
        <f t="shared" si="14"/>
        <v>6.9618232924242435E-2</v>
      </c>
      <c r="AD66" s="43">
        <f t="shared" si="15"/>
        <v>0.78767596906060611</v>
      </c>
      <c r="AF66" s="43">
        <v>16.195953744868763</v>
      </c>
      <c r="AG66" s="43">
        <v>0.22667427300000001</v>
      </c>
      <c r="AH66" s="43">
        <v>0.15357053700000001</v>
      </c>
      <c r="AI66" s="43">
        <v>0.46706437299999998</v>
      </c>
      <c r="AJ66" s="43">
        <v>2.7418385230000002</v>
      </c>
      <c r="AK66" s="43">
        <v>7.0146862629999998</v>
      </c>
      <c r="AL66" s="43">
        <v>4.1132765000000002E-2</v>
      </c>
      <c r="AM66" s="230">
        <v>0.41391050583657585</v>
      </c>
      <c r="AN66" s="43">
        <v>0.43257748600000001</v>
      </c>
    </row>
    <row r="67" spans="1:40" x14ac:dyDescent="0.25">
      <c r="A67" s="134">
        <v>57</v>
      </c>
      <c r="B67" s="134" t="s">
        <v>213</v>
      </c>
      <c r="C67" s="134" t="s">
        <v>210</v>
      </c>
      <c r="D67" s="134" t="s">
        <v>211</v>
      </c>
      <c r="E67" s="134">
        <v>0</v>
      </c>
      <c r="F67" s="134">
        <v>0</v>
      </c>
      <c r="G67" s="134">
        <v>16</v>
      </c>
      <c r="H67" s="134">
        <v>1951</v>
      </c>
      <c r="I67" s="200">
        <v>3.2219792975099998E-2</v>
      </c>
      <c r="J67" s="134">
        <v>1951</v>
      </c>
      <c r="K67" s="134">
        <v>60552.840966700001</v>
      </c>
      <c r="L67" s="42">
        <v>0.66446328051799997</v>
      </c>
      <c r="M67" s="42">
        <v>1</v>
      </c>
      <c r="N67" s="134">
        <v>1</v>
      </c>
      <c r="O67" s="43" t="s">
        <v>627</v>
      </c>
      <c r="P67" s="43">
        <f t="shared" si="5"/>
        <v>15.379199733417327</v>
      </c>
      <c r="Q67" s="43">
        <f t="shared" si="6"/>
        <v>0.16430377199999999</v>
      </c>
      <c r="R67" s="43">
        <f t="shared" si="7"/>
        <v>3.2625437E-2</v>
      </c>
      <c r="S67" s="43">
        <f t="shared" si="8"/>
        <v>0.66446328099999996</v>
      </c>
      <c r="T67" s="43">
        <f t="shared" si="9"/>
        <v>2.9091434270000001</v>
      </c>
      <c r="U67" s="43">
        <f t="shared" si="10"/>
        <v>7.5372228440000004</v>
      </c>
      <c r="V67" s="43">
        <f t="shared" si="11"/>
        <v>5.1412908E-2</v>
      </c>
      <c r="W67" s="230">
        <f t="shared" si="12"/>
        <v>0.30398314222920969</v>
      </c>
      <c r="X67" s="43">
        <f t="shared" si="13"/>
        <v>0.52729921700000004</v>
      </c>
      <c r="Y67" s="43">
        <v>292.46243939999999</v>
      </c>
      <c r="Z67" s="43">
        <f t="shared" si="2"/>
        <v>1</v>
      </c>
      <c r="AA67" s="43">
        <f t="shared" si="3"/>
        <v>127833</v>
      </c>
      <c r="AB67" s="43">
        <f t="shared" si="4"/>
        <v>52297</v>
      </c>
      <c r="AC67" s="43">
        <f t="shared" si="14"/>
        <v>6.9618232924242435E-2</v>
      </c>
      <c r="AD67" s="43">
        <f t="shared" si="15"/>
        <v>0.78767596906060611</v>
      </c>
      <c r="AF67" s="43">
        <v>15.379199733417327</v>
      </c>
      <c r="AG67" s="43">
        <v>0.16430377199999999</v>
      </c>
      <c r="AH67" s="43">
        <v>3.2625437E-2</v>
      </c>
      <c r="AI67" s="43">
        <v>0.66446328099999996</v>
      </c>
      <c r="AJ67" s="43">
        <v>2.9091434270000001</v>
      </c>
      <c r="AK67" s="43">
        <v>7.5372228440000004</v>
      </c>
      <c r="AL67" s="43">
        <v>5.1412908E-2</v>
      </c>
      <c r="AM67" s="230">
        <v>0.30398314222920969</v>
      </c>
      <c r="AN67" s="43">
        <v>0.52729921700000004</v>
      </c>
    </row>
    <row r="68" spans="1:40" x14ac:dyDescent="0.25">
      <c r="A68" s="134">
        <v>58</v>
      </c>
      <c r="B68" s="134" t="s">
        <v>213</v>
      </c>
      <c r="C68" s="134" t="s">
        <v>210</v>
      </c>
      <c r="D68" s="134" t="s">
        <v>211</v>
      </c>
      <c r="E68" s="134">
        <v>178</v>
      </c>
      <c r="F68" s="134">
        <v>363</v>
      </c>
      <c r="G68" s="134">
        <v>14</v>
      </c>
      <c r="H68" s="134">
        <v>1628</v>
      </c>
      <c r="I68" s="200">
        <v>2.6424391640499999E-2</v>
      </c>
      <c r="J68" s="134">
        <v>1991</v>
      </c>
      <c r="K68" s="134">
        <v>75347.051583499997</v>
      </c>
      <c r="L68" s="42">
        <v>0.57336957964500002</v>
      </c>
      <c r="M68" s="42">
        <v>0.90143964562599999</v>
      </c>
      <c r="N68" s="134">
        <v>1</v>
      </c>
      <c r="O68" s="43" t="s">
        <v>627</v>
      </c>
      <c r="P68" s="43">
        <f t="shared" si="5"/>
        <v>15.719561316520489</v>
      </c>
      <c r="Q68" s="43">
        <f t="shared" si="6"/>
        <v>0.21628588600000001</v>
      </c>
      <c r="R68" s="43">
        <f t="shared" si="7"/>
        <v>3.8937353000000001E-2</v>
      </c>
      <c r="S68" s="43">
        <f t="shared" si="8"/>
        <v>0.57336958000000005</v>
      </c>
      <c r="T68" s="43">
        <f t="shared" si="9"/>
        <v>2.2376180250000002</v>
      </c>
      <c r="U68" s="43">
        <f t="shared" si="10"/>
        <v>7.0845568490000002</v>
      </c>
      <c r="V68" s="43">
        <f t="shared" si="11"/>
        <v>4.4018274000000003E-2</v>
      </c>
      <c r="W68" s="230">
        <f t="shared" si="12"/>
        <v>0.40393156478820524</v>
      </c>
      <c r="X68" s="43">
        <f t="shared" si="13"/>
        <v>0.42617371500000001</v>
      </c>
      <c r="Y68" s="43">
        <v>294.47930689999998</v>
      </c>
      <c r="Z68" s="43">
        <f t="shared" si="2"/>
        <v>1</v>
      </c>
      <c r="AA68" s="43">
        <f t="shared" si="3"/>
        <v>127833</v>
      </c>
      <c r="AB68" s="43">
        <f t="shared" si="4"/>
        <v>52297</v>
      </c>
      <c r="AC68" s="43">
        <f t="shared" si="14"/>
        <v>6.9618232924242435E-2</v>
      </c>
      <c r="AD68" s="43">
        <f t="shared" si="15"/>
        <v>0.78767596906060611</v>
      </c>
      <c r="AF68" s="43">
        <v>15.719561316520489</v>
      </c>
      <c r="AG68" s="43">
        <v>0.21628588600000001</v>
      </c>
      <c r="AH68" s="43">
        <v>3.8937353000000001E-2</v>
      </c>
      <c r="AI68" s="43">
        <v>0.57336958000000005</v>
      </c>
      <c r="AJ68" s="43">
        <v>2.2376180250000002</v>
      </c>
      <c r="AK68" s="43">
        <v>7.0845568490000002</v>
      </c>
      <c r="AL68" s="43">
        <v>4.4018274000000003E-2</v>
      </c>
      <c r="AM68" s="230">
        <v>0.40393156478820524</v>
      </c>
      <c r="AN68" s="43">
        <v>0.42617371500000001</v>
      </c>
    </row>
    <row r="69" spans="1:40" x14ac:dyDescent="0.25">
      <c r="A69" s="134">
        <v>59</v>
      </c>
      <c r="B69" s="134" t="s">
        <v>213</v>
      </c>
      <c r="C69" s="134" t="s">
        <v>210</v>
      </c>
      <c r="D69" s="134" t="s">
        <v>211</v>
      </c>
      <c r="E69" s="134">
        <v>154</v>
      </c>
      <c r="F69" s="134">
        <v>315</v>
      </c>
      <c r="G69" s="134">
        <v>13</v>
      </c>
      <c r="H69" s="134">
        <v>1403</v>
      </c>
      <c r="I69" s="200">
        <v>2.4912123185900002E-2</v>
      </c>
      <c r="J69" s="134">
        <v>1718</v>
      </c>
      <c r="K69" s="134">
        <v>68962.407867899994</v>
      </c>
      <c r="L69" s="42">
        <v>0.59281594294700002</v>
      </c>
      <c r="M69" s="42">
        <v>0.90109184328799996</v>
      </c>
      <c r="N69" s="134">
        <v>1</v>
      </c>
      <c r="O69" s="43" t="s">
        <v>627</v>
      </c>
      <c r="P69" s="43">
        <f t="shared" si="5"/>
        <v>15.61055744474571</v>
      </c>
      <c r="Q69" s="43">
        <f t="shared" si="6"/>
        <v>0.202945451</v>
      </c>
      <c r="R69" s="43">
        <f t="shared" si="7"/>
        <v>3.7904831E-2</v>
      </c>
      <c r="S69" s="43">
        <f t="shared" si="8"/>
        <v>0.59281594299999996</v>
      </c>
      <c r="T69" s="43">
        <f t="shared" si="9"/>
        <v>2.3093920319999999</v>
      </c>
      <c r="U69" s="43">
        <f t="shared" si="10"/>
        <v>7.3182774940000002</v>
      </c>
      <c r="V69" s="43">
        <f t="shared" si="11"/>
        <v>4.6231402999999997E-2</v>
      </c>
      <c r="W69" s="230">
        <f t="shared" si="12"/>
        <v>0.37176933480880359</v>
      </c>
      <c r="X69" s="43">
        <f t="shared" si="13"/>
        <v>0.45669084799999998</v>
      </c>
      <c r="Y69" s="43">
        <v>292.89575200000002</v>
      </c>
      <c r="Z69" s="43">
        <f t="shared" si="2"/>
        <v>1</v>
      </c>
      <c r="AA69" s="43">
        <f t="shared" si="3"/>
        <v>127833</v>
      </c>
      <c r="AB69" s="43">
        <f t="shared" si="4"/>
        <v>52297</v>
      </c>
      <c r="AC69" s="43">
        <f t="shared" si="14"/>
        <v>6.9618232924242435E-2</v>
      </c>
      <c r="AD69" s="43">
        <f t="shared" si="15"/>
        <v>0.78767596906060611</v>
      </c>
      <c r="AF69" s="43">
        <v>15.61055744474571</v>
      </c>
      <c r="AG69" s="43">
        <v>0.202945451</v>
      </c>
      <c r="AH69" s="43">
        <v>3.7904831E-2</v>
      </c>
      <c r="AI69" s="43">
        <v>0.59281594299999996</v>
      </c>
      <c r="AJ69" s="43">
        <v>2.3093920319999999</v>
      </c>
      <c r="AK69" s="43">
        <v>7.3182774940000002</v>
      </c>
      <c r="AL69" s="43">
        <v>4.6231402999999997E-2</v>
      </c>
      <c r="AM69" s="230">
        <v>0.37176933480880359</v>
      </c>
      <c r="AN69" s="43">
        <v>0.45669084799999998</v>
      </c>
    </row>
    <row r="70" spans="1:40" x14ac:dyDescent="0.25">
      <c r="A70" s="134">
        <v>60</v>
      </c>
      <c r="B70" s="134" t="s">
        <v>213</v>
      </c>
      <c r="C70" s="134" t="s">
        <v>210</v>
      </c>
      <c r="D70" s="134" t="s">
        <v>211</v>
      </c>
      <c r="E70" s="134">
        <v>676</v>
      </c>
      <c r="F70" s="134">
        <v>1446</v>
      </c>
      <c r="G70" s="134">
        <v>48</v>
      </c>
      <c r="H70" s="134">
        <v>966</v>
      </c>
      <c r="I70" s="200">
        <v>7.9029299237799999E-2</v>
      </c>
      <c r="J70" s="134">
        <v>2412</v>
      </c>
      <c r="K70" s="134">
        <v>30520.326300000001</v>
      </c>
      <c r="L70" s="42">
        <v>0.71528222431499999</v>
      </c>
      <c r="M70" s="42">
        <v>0.588306942753</v>
      </c>
      <c r="N70" s="134">
        <v>1</v>
      </c>
      <c r="O70" s="43" t="s">
        <v>627</v>
      </c>
      <c r="P70" s="43">
        <f t="shared" si="5"/>
        <v>12.504871118970913</v>
      </c>
      <c r="Q70" s="43">
        <f t="shared" si="6"/>
        <v>8.5968658000000003E-2</v>
      </c>
      <c r="R70" s="43">
        <f t="shared" si="7"/>
        <v>3.7113443000000003E-2</v>
      </c>
      <c r="S70" s="43">
        <f t="shared" si="8"/>
        <v>0.71528222399999997</v>
      </c>
      <c r="T70" s="43">
        <f t="shared" si="9"/>
        <v>1.721010975</v>
      </c>
      <c r="U70" s="43">
        <f t="shared" si="10"/>
        <v>7.0603554500000003</v>
      </c>
      <c r="V70" s="43">
        <f t="shared" si="11"/>
        <v>3.7457017000000002E-2</v>
      </c>
      <c r="W70" s="230">
        <f t="shared" si="12"/>
        <v>0.16767710263193938</v>
      </c>
      <c r="X70" s="43">
        <f t="shared" si="13"/>
        <v>0.67144371000000003</v>
      </c>
      <c r="Y70" s="43">
        <v>115.9259704</v>
      </c>
      <c r="Z70" s="43">
        <f t="shared" si="2"/>
        <v>1</v>
      </c>
      <c r="AA70" s="43">
        <f t="shared" si="3"/>
        <v>127833</v>
      </c>
      <c r="AB70" s="43">
        <f t="shared" si="4"/>
        <v>52297</v>
      </c>
      <c r="AC70" s="43">
        <f t="shared" si="14"/>
        <v>6.9618232924242435E-2</v>
      </c>
      <c r="AD70" s="43">
        <f t="shared" si="15"/>
        <v>0.78767596906060611</v>
      </c>
      <c r="AF70" s="43">
        <v>12.504871118970913</v>
      </c>
      <c r="AG70" s="43">
        <v>8.5968658000000003E-2</v>
      </c>
      <c r="AH70" s="43">
        <v>3.7113443000000003E-2</v>
      </c>
      <c r="AI70" s="43">
        <v>0.71528222399999997</v>
      </c>
      <c r="AJ70" s="43">
        <v>1.721010975</v>
      </c>
      <c r="AK70" s="43">
        <v>7.0603554500000003</v>
      </c>
      <c r="AL70" s="43">
        <v>3.7457017000000002E-2</v>
      </c>
      <c r="AM70" s="230">
        <v>0.16767710263193938</v>
      </c>
      <c r="AN70" s="43">
        <v>0.67144371000000003</v>
      </c>
    </row>
    <row r="71" spans="1:40" x14ac:dyDescent="0.25">
      <c r="A71" s="134">
        <v>61</v>
      </c>
      <c r="B71" s="134" t="s">
        <v>213</v>
      </c>
      <c r="C71" s="134" t="s">
        <v>210</v>
      </c>
      <c r="D71" s="134" t="s">
        <v>211</v>
      </c>
      <c r="E71" s="134">
        <v>651</v>
      </c>
      <c r="F71" s="134">
        <v>1392</v>
      </c>
      <c r="G71" s="134">
        <v>49</v>
      </c>
      <c r="H71" s="134">
        <v>1246</v>
      </c>
      <c r="I71" s="200">
        <v>8.0207836648700001E-2</v>
      </c>
      <c r="J71" s="134">
        <v>2638</v>
      </c>
      <c r="K71" s="134">
        <v>32889.554315699999</v>
      </c>
      <c r="L71" s="42">
        <v>0.72444894419600003</v>
      </c>
      <c r="M71" s="42">
        <v>0.65682656826600005</v>
      </c>
      <c r="N71" s="134">
        <v>1</v>
      </c>
      <c r="O71" s="43" t="s">
        <v>627</v>
      </c>
      <c r="P71" s="43">
        <f t="shared" si="5"/>
        <v>12.630533348230969</v>
      </c>
      <c r="Q71" s="43">
        <f t="shared" si="6"/>
        <v>9.3439531000000006E-2</v>
      </c>
      <c r="R71" s="43">
        <f t="shared" si="7"/>
        <v>3.7386757999999999E-2</v>
      </c>
      <c r="S71" s="43">
        <f t="shared" si="8"/>
        <v>0.72444894400000004</v>
      </c>
      <c r="T71" s="43">
        <f t="shared" si="9"/>
        <v>1.786044024</v>
      </c>
      <c r="U71" s="43">
        <f t="shared" si="10"/>
        <v>7.1834213</v>
      </c>
      <c r="V71" s="43">
        <f t="shared" si="11"/>
        <v>3.8853204000000002E-2</v>
      </c>
      <c r="W71" s="230">
        <f t="shared" si="12"/>
        <v>0.18353779400445477</v>
      </c>
      <c r="X71" s="43">
        <f t="shared" si="13"/>
        <v>0.67658658500000002</v>
      </c>
      <c r="Y71" s="43">
        <v>124.9139876</v>
      </c>
      <c r="Z71" s="43">
        <f t="shared" si="2"/>
        <v>1</v>
      </c>
      <c r="AA71" s="43">
        <f t="shared" si="3"/>
        <v>127833</v>
      </c>
      <c r="AB71" s="43">
        <f t="shared" si="4"/>
        <v>52297</v>
      </c>
      <c r="AC71" s="43">
        <f t="shared" si="14"/>
        <v>6.9618232924242435E-2</v>
      </c>
      <c r="AD71" s="43">
        <f t="shared" si="15"/>
        <v>0.78767596906060611</v>
      </c>
      <c r="AF71" s="43">
        <v>12.630533348230969</v>
      </c>
      <c r="AG71" s="43">
        <v>9.3439531000000006E-2</v>
      </c>
      <c r="AH71" s="43">
        <v>3.7386757999999999E-2</v>
      </c>
      <c r="AI71" s="43">
        <v>0.72444894400000004</v>
      </c>
      <c r="AJ71" s="43">
        <v>1.786044024</v>
      </c>
      <c r="AK71" s="43">
        <v>7.1834213</v>
      </c>
      <c r="AL71" s="43">
        <v>3.8853204000000002E-2</v>
      </c>
      <c r="AM71" s="230">
        <v>0.18353779400445477</v>
      </c>
      <c r="AN71" s="43">
        <v>0.67658658500000002</v>
      </c>
    </row>
    <row r="72" spans="1:40" x14ac:dyDescent="0.25">
      <c r="A72" s="134">
        <v>62</v>
      </c>
      <c r="B72" s="134" t="s">
        <v>213</v>
      </c>
      <c r="C72" s="134" t="s">
        <v>210</v>
      </c>
      <c r="D72" s="134" t="s">
        <v>211</v>
      </c>
      <c r="E72" s="134">
        <v>489</v>
      </c>
      <c r="F72" s="134">
        <v>1045</v>
      </c>
      <c r="G72" s="134">
        <v>38</v>
      </c>
      <c r="H72" s="134">
        <v>139</v>
      </c>
      <c r="I72" s="200">
        <v>6.2405712096600001E-2</v>
      </c>
      <c r="J72" s="134">
        <v>1184</v>
      </c>
      <c r="K72" s="134">
        <v>18972.6222203</v>
      </c>
      <c r="L72" s="42">
        <v>0.73541165358100002</v>
      </c>
      <c r="M72" s="42">
        <v>0.22133757961799999</v>
      </c>
      <c r="N72" s="134">
        <v>1</v>
      </c>
      <c r="O72" s="43" t="s">
        <v>627</v>
      </c>
      <c r="P72" s="43">
        <f t="shared" si="5"/>
        <v>10.990881016567313</v>
      </c>
      <c r="Q72" s="43">
        <f t="shared" si="6"/>
        <v>8.3189796999999996E-2</v>
      </c>
      <c r="R72" s="43">
        <f t="shared" si="7"/>
        <v>3.5713828000000003E-2</v>
      </c>
      <c r="S72" s="43">
        <f t="shared" si="8"/>
        <v>0.73541165399999997</v>
      </c>
      <c r="T72" s="43">
        <f t="shared" si="9"/>
        <v>1.7354962060000001</v>
      </c>
      <c r="U72" s="43">
        <f t="shared" si="10"/>
        <v>6.3673680709999996</v>
      </c>
      <c r="V72" s="43">
        <f t="shared" si="11"/>
        <v>2.8093397999999999E-2</v>
      </c>
      <c r="W72" s="230">
        <f t="shared" si="12"/>
        <v>0.17496591296443584</v>
      </c>
      <c r="X72" s="43">
        <f t="shared" si="13"/>
        <v>0.68681115800000003</v>
      </c>
      <c r="Y72" s="43">
        <v>118.114116</v>
      </c>
      <c r="Z72" s="43">
        <f t="shared" si="2"/>
        <v>1</v>
      </c>
      <c r="AA72" s="43">
        <f t="shared" si="3"/>
        <v>127833</v>
      </c>
      <c r="AB72" s="43">
        <f t="shared" si="4"/>
        <v>52297</v>
      </c>
      <c r="AC72" s="43">
        <f t="shared" si="14"/>
        <v>6.9618232924242435E-2</v>
      </c>
      <c r="AD72" s="43">
        <f t="shared" si="15"/>
        <v>0.78767596906060611</v>
      </c>
      <c r="AF72" s="43">
        <v>10.990881016567313</v>
      </c>
      <c r="AG72" s="43">
        <v>8.3189796999999996E-2</v>
      </c>
      <c r="AH72" s="43">
        <v>3.5713828000000003E-2</v>
      </c>
      <c r="AI72" s="43">
        <v>0.73541165399999997</v>
      </c>
      <c r="AJ72" s="43">
        <v>1.7354962060000001</v>
      </c>
      <c r="AK72" s="43">
        <v>6.3673680709999996</v>
      </c>
      <c r="AL72" s="43">
        <v>2.8093397999999999E-2</v>
      </c>
      <c r="AM72" s="230">
        <v>0.17496591296443584</v>
      </c>
      <c r="AN72" s="43">
        <v>0.68681115800000003</v>
      </c>
    </row>
    <row r="73" spans="1:40" x14ac:dyDescent="0.25">
      <c r="A73" s="134">
        <v>63</v>
      </c>
      <c r="B73" s="134" t="s">
        <v>213</v>
      </c>
      <c r="C73" s="134" t="s">
        <v>210</v>
      </c>
      <c r="D73" s="134" t="s">
        <v>211</v>
      </c>
      <c r="E73" s="134">
        <v>395</v>
      </c>
      <c r="F73" s="134">
        <v>846</v>
      </c>
      <c r="G73" s="134">
        <v>39</v>
      </c>
      <c r="H73" s="134">
        <v>31</v>
      </c>
      <c r="I73" s="200">
        <v>6.3537472024499997E-2</v>
      </c>
      <c r="J73" s="134">
        <v>877</v>
      </c>
      <c r="K73" s="134">
        <v>13802.8783969</v>
      </c>
      <c r="L73" s="42">
        <v>0.75457055394899997</v>
      </c>
      <c r="M73" s="42">
        <v>7.27699530516E-2</v>
      </c>
      <c r="N73" s="134">
        <v>0</v>
      </c>
      <c r="O73" s="43" t="s">
        <v>664</v>
      </c>
      <c r="P73" s="43">
        <f t="shared" si="5"/>
        <v>10.465642807498261</v>
      </c>
      <c r="Q73" s="43">
        <f t="shared" si="6"/>
        <v>9.8192664999999998E-2</v>
      </c>
      <c r="R73" s="43">
        <f t="shared" si="7"/>
        <v>3.0180994999999999E-2</v>
      </c>
      <c r="S73" s="43">
        <f t="shared" si="8"/>
        <v>0.75457055399999995</v>
      </c>
      <c r="T73" s="43">
        <f t="shared" si="9"/>
        <v>1.849924422</v>
      </c>
      <c r="U73" s="43">
        <f t="shared" si="10"/>
        <v>6.2488838549999999</v>
      </c>
      <c r="V73" s="43">
        <f t="shared" si="11"/>
        <v>1.4845832E-2</v>
      </c>
      <c r="W73" s="230">
        <f t="shared" si="12"/>
        <v>0.21431290445374954</v>
      </c>
      <c r="X73" s="43">
        <f t="shared" si="13"/>
        <v>0.69071183899999999</v>
      </c>
      <c r="Y73" s="43">
        <v>142.29072859999999</v>
      </c>
      <c r="Z73" s="43">
        <f t="shared" si="2"/>
        <v>1</v>
      </c>
      <c r="AA73" s="43">
        <f t="shared" si="3"/>
        <v>127833</v>
      </c>
      <c r="AB73" s="43">
        <f t="shared" si="4"/>
        <v>52297</v>
      </c>
      <c r="AC73" s="43">
        <f t="shared" si="14"/>
        <v>6.9618232924242435E-2</v>
      </c>
      <c r="AD73" s="43">
        <f t="shared" si="15"/>
        <v>0.78767596906060611</v>
      </c>
      <c r="AF73" s="43">
        <v>10.465642807498261</v>
      </c>
      <c r="AG73" s="43">
        <v>9.8192664999999998E-2</v>
      </c>
      <c r="AH73" s="43">
        <v>3.0180994999999999E-2</v>
      </c>
      <c r="AI73" s="43">
        <v>0.75457055399999995</v>
      </c>
      <c r="AJ73" s="43">
        <v>1.849924422</v>
      </c>
      <c r="AK73" s="43">
        <v>6.2488838549999999</v>
      </c>
      <c r="AL73" s="43">
        <v>1.4845832E-2</v>
      </c>
      <c r="AM73" s="230">
        <v>0.21431290445374954</v>
      </c>
      <c r="AN73" s="43">
        <v>0.69071183899999999</v>
      </c>
    </row>
    <row r="74" spans="1:40" x14ac:dyDescent="0.25">
      <c r="A74" s="134">
        <v>64</v>
      </c>
      <c r="B74" s="134" t="s">
        <v>213</v>
      </c>
      <c r="C74" s="134" t="s">
        <v>210</v>
      </c>
      <c r="D74" s="134" t="s">
        <v>211</v>
      </c>
      <c r="E74" s="134">
        <v>721</v>
      </c>
      <c r="F74" s="134">
        <v>1560</v>
      </c>
      <c r="G74" s="134">
        <v>58</v>
      </c>
      <c r="H74" s="134">
        <v>514</v>
      </c>
      <c r="I74" s="200">
        <v>9.2506344039800001E-2</v>
      </c>
      <c r="J74" s="134">
        <v>2074</v>
      </c>
      <c r="K74" s="134">
        <v>22420.083957800001</v>
      </c>
      <c r="L74" s="42">
        <v>0.74753957956799999</v>
      </c>
      <c r="M74" s="42">
        <v>0.41619433198400002</v>
      </c>
      <c r="N74" s="134">
        <v>1</v>
      </c>
      <c r="O74" s="43" t="s">
        <v>664</v>
      </c>
      <c r="P74" s="43">
        <f t="shared" si="5"/>
        <v>12.240590624026488</v>
      </c>
      <c r="Q74" s="43">
        <f t="shared" si="6"/>
        <v>8.8332981000000005E-2</v>
      </c>
      <c r="R74" s="43">
        <f t="shared" si="7"/>
        <v>3.5459113E-2</v>
      </c>
      <c r="S74" s="43">
        <f t="shared" si="8"/>
        <v>0.74753957999999998</v>
      </c>
      <c r="T74" s="43">
        <f t="shared" si="9"/>
        <v>1.9103978720000001</v>
      </c>
      <c r="U74" s="43">
        <f t="shared" si="10"/>
        <v>6.8689872530000002</v>
      </c>
      <c r="V74" s="43">
        <f t="shared" si="11"/>
        <v>3.2030995E-2</v>
      </c>
      <c r="W74" s="230">
        <f t="shared" si="12"/>
        <v>0.18128179993464966</v>
      </c>
      <c r="X74" s="43">
        <f t="shared" si="13"/>
        <v>0.70336554200000001</v>
      </c>
      <c r="Y74" s="43">
        <v>156.68397659999999</v>
      </c>
      <c r="Z74" s="43">
        <f t="shared" si="2"/>
        <v>1</v>
      </c>
      <c r="AA74" s="43">
        <f t="shared" si="3"/>
        <v>127833</v>
      </c>
      <c r="AB74" s="43">
        <f t="shared" si="4"/>
        <v>52297</v>
      </c>
      <c r="AC74" s="43">
        <f t="shared" si="14"/>
        <v>6.9618232924242435E-2</v>
      </c>
      <c r="AD74" s="43">
        <f t="shared" si="15"/>
        <v>0.78767596906060611</v>
      </c>
      <c r="AF74" s="43">
        <v>12.240590624026488</v>
      </c>
      <c r="AG74" s="43">
        <v>8.8332981000000005E-2</v>
      </c>
      <c r="AH74" s="43">
        <v>3.5459113E-2</v>
      </c>
      <c r="AI74" s="43">
        <v>0.74753957999999998</v>
      </c>
      <c r="AJ74" s="43">
        <v>1.9103978720000001</v>
      </c>
      <c r="AK74" s="43">
        <v>6.8689872530000002</v>
      </c>
      <c r="AL74" s="43">
        <v>3.2030995E-2</v>
      </c>
      <c r="AM74" s="230">
        <v>0.18128179993464966</v>
      </c>
      <c r="AN74" s="43">
        <v>0.70336554200000001</v>
      </c>
    </row>
    <row r="75" spans="1:40" x14ac:dyDescent="0.25">
      <c r="A75" s="134">
        <v>65</v>
      </c>
      <c r="B75" s="134" t="s">
        <v>213</v>
      </c>
      <c r="C75" s="134" t="s">
        <v>210</v>
      </c>
      <c r="D75" s="134" t="s">
        <v>211</v>
      </c>
      <c r="E75" s="134">
        <v>420</v>
      </c>
      <c r="F75" s="134">
        <v>910</v>
      </c>
      <c r="G75" s="134">
        <v>50</v>
      </c>
      <c r="H75" s="134">
        <v>658</v>
      </c>
      <c r="I75" s="200">
        <v>7.9092909334100001E-2</v>
      </c>
      <c r="J75" s="134">
        <v>1568</v>
      </c>
      <c r="K75" s="134">
        <v>19824.785978899999</v>
      </c>
      <c r="L75" s="42">
        <v>0.77167246593600003</v>
      </c>
      <c r="M75" s="42">
        <v>0.61038961038999995</v>
      </c>
      <c r="N75" s="134">
        <v>1</v>
      </c>
      <c r="O75" s="43" t="s">
        <v>664</v>
      </c>
      <c r="P75" s="43">
        <f t="shared" si="5"/>
        <v>12.74088919084596</v>
      </c>
      <c r="Q75" s="43">
        <f t="shared" si="6"/>
        <v>6.9321323000000004E-2</v>
      </c>
      <c r="R75" s="43">
        <f t="shared" si="7"/>
        <v>3.6164677999999999E-2</v>
      </c>
      <c r="S75" s="43">
        <f t="shared" si="8"/>
        <v>0.77167246599999995</v>
      </c>
      <c r="T75" s="43">
        <f t="shared" si="9"/>
        <v>2.0109238029999998</v>
      </c>
      <c r="U75" s="43">
        <f t="shared" si="10"/>
        <v>7.0682480339999998</v>
      </c>
      <c r="V75" s="43">
        <f t="shared" si="11"/>
        <v>3.3085917999999999E-2</v>
      </c>
      <c r="W75" s="230">
        <f t="shared" si="12"/>
        <v>0.13859552079447368</v>
      </c>
      <c r="X75" s="43">
        <f t="shared" si="13"/>
        <v>0.74937288499999999</v>
      </c>
      <c r="Y75" s="43">
        <v>156.75537890000001</v>
      </c>
      <c r="Z75" s="43">
        <f t="shared" ref="Z75:Z138" si="16">IF(B75="Berkeley",1,0)</f>
        <v>1</v>
      </c>
      <c r="AA75" s="43">
        <f t="shared" ref="AA75:AA138" si="17">SUMIFS(F:F,B:B,B75)</f>
        <v>127833</v>
      </c>
      <c r="AB75" s="43">
        <f t="shared" ref="AB75:AB138" si="18">SUMIFS(E:E,B:B,B75)</f>
        <v>52297</v>
      </c>
      <c r="AC75" s="43">
        <f t="shared" si="14"/>
        <v>6.9618232924242435E-2</v>
      </c>
      <c r="AD75" s="43">
        <f t="shared" si="15"/>
        <v>0.78767596906060611</v>
      </c>
      <c r="AF75" s="43">
        <v>12.74088919084596</v>
      </c>
      <c r="AG75" s="43">
        <v>6.9321323000000004E-2</v>
      </c>
      <c r="AH75" s="43">
        <v>3.6164677999999999E-2</v>
      </c>
      <c r="AI75" s="43">
        <v>0.77167246599999995</v>
      </c>
      <c r="AJ75" s="43">
        <v>2.0109238029999998</v>
      </c>
      <c r="AK75" s="43">
        <v>7.0682480339999998</v>
      </c>
      <c r="AL75" s="43">
        <v>3.3085917999999999E-2</v>
      </c>
      <c r="AM75" s="230">
        <v>0.13859552079447368</v>
      </c>
      <c r="AN75" s="43">
        <v>0.74937288499999999</v>
      </c>
    </row>
    <row r="76" spans="1:40" x14ac:dyDescent="0.25">
      <c r="A76" s="134">
        <v>66</v>
      </c>
      <c r="B76" s="134" t="s">
        <v>213</v>
      </c>
      <c r="C76" s="134" t="s">
        <v>210</v>
      </c>
      <c r="D76" s="134" t="s">
        <v>211</v>
      </c>
      <c r="E76" s="134">
        <v>463</v>
      </c>
      <c r="F76" s="134">
        <v>1003</v>
      </c>
      <c r="G76" s="134">
        <v>45</v>
      </c>
      <c r="H76" s="134">
        <v>102</v>
      </c>
      <c r="I76" s="200">
        <v>7.2366361695700002E-2</v>
      </c>
      <c r="J76" s="134">
        <v>1105</v>
      </c>
      <c r="K76" s="134">
        <v>15269.5254274</v>
      </c>
      <c r="L76" s="42">
        <v>0.76962545845200003</v>
      </c>
      <c r="M76" s="42">
        <v>0.180530973451</v>
      </c>
      <c r="N76" s="134">
        <v>0</v>
      </c>
      <c r="O76" s="43" t="s">
        <v>664</v>
      </c>
      <c r="P76" s="43">
        <f t="shared" ref="P76:P139" si="19">IF(OR(IFERROR(AF76=0,TRUE),ISERROR(AF76)),AVERAGEIFS(AF:AF,$B:$B,$B76,AF:AF,"&gt;0"),AF76)</f>
        <v>11.451240177547435</v>
      </c>
      <c r="Q76" s="43">
        <f t="shared" ref="Q76:Q139" si="20">IF(OR(IFERROR(AG76=0,TRUE),ISERROR(AG76)),AVERAGEIFS(AG:AG,$B:$B,$B76,AG:AG,"&gt;0"),AG76)</f>
        <v>7.9404846000000001E-2</v>
      </c>
      <c r="R76" s="43">
        <f t="shared" ref="R76:R139" si="21">IF(OR(IFERROR(AH76=0,TRUE),ISERROR(AH76)),AVERAGEIFS(AH:AH,$B:$B,$B76,AH:AH,"&gt;0"),AH76)</f>
        <v>3.5055385000000001E-2</v>
      </c>
      <c r="S76" s="43">
        <f t="shared" ref="S76:S139" si="22">IF(OR(IFERROR(AI76=0,TRUE),ISERROR(AI76)),AVERAGEIFS(AI:AI,$B:$B,$B76,AI:AI,"&gt;0"),AI76)</f>
        <v>0.76962545800000004</v>
      </c>
      <c r="T76" s="43">
        <f t="shared" ref="T76:T139" si="23">IF(OR(IFERROR(AJ76=0,TRUE),ISERROR(AJ76)),AVERAGEIFS(AJ:AJ,$B:$B,$B76,AJ:AJ,"&gt;0"),AJ76)</f>
        <v>1.976793249</v>
      </c>
      <c r="U76" s="43">
        <f t="shared" ref="U76:U139" si="24">IF(OR(IFERROR(AK76=0,TRUE),ISERROR(AK76)),AVERAGEIFS(AK:AK,$B:$B,$B76,AK:AK,"&gt;0"),AK76)</f>
        <v>6.5991425789999996</v>
      </c>
      <c r="V76" s="43">
        <f t="shared" ref="V76:V139" si="25">IF(OR(IFERROR(AL76=0,TRUE),ISERROR(AL76)),AVERAGEIFS(AL:AL,$B:$B,$B76,AL:AL,"&gt;0"),AL76)</f>
        <v>2.1837348999999999E-2</v>
      </c>
      <c r="W76" s="230">
        <f t="shared" ref="W76:W139" si="26">IF(OR(IFERROR(AM76=0,TRUE),ISERROR(AM76)),AVERAGEIFS(AM:AM,$B:$B,$B76,AM:AM,"&gt;0"),AM76)</f>
        <v>0.18759412650602408</v>
      </c>
      <c r="X76" s="43">
        <f t="shared" ref="X76:X139" si="27">IF(OR(IFERROR(AN76=0,TRUE),ISERROR(AN76)),AVERAGEIFS(AN:AN,$B:$B,$B76,AN:AN,"&gt;0"),AN76)</f>
        <v>0.72151731900000005</v>
      </c>
      <c r="Y76" s="43">
        <v>152.143168</v>
      </c>
      <c r="Z76" s="43">
        <f t="shared" si="16"/>
        <v>1</v>
      </c>
      <c r="AA76" s="43">
        <f t="shared" si="17"/>
        <v>127833</v>
      </c>
      <c r="AB76" s="43">
        <f t="shared" si="18"/>
        <v>52297</v>
      </c>
      <c r="AC76" s="43">
        <f t="shared" ref="AC76:AC139" si="28">AVERAGEIFS(Q:Q,B:B,B76,N:N,0,Q:Q,"&gt;0")</f>
        <v>6.9618232924242435E-2</v>
      </c>
      <c r="AD76" s="43">
        <f t="shared" ref="AD76:AD139" si="29">AVERAGEIFS(S:S,B:B,B76,N:N,0,S:S,"&gt;0")</f>
        <v>0.78767596906060611</v>
      </c>
      <c r="AF76" s="43">
        <v>11.451240177547435</v>
      </c>
      <c r="AG76" s="43">
        <v>7.9404846000000001E-2</v>
      </c>
      <c r="AH76" s="43">
        <v>3.5055385000000001E-2</v>
      </c>
      <c r="AI76" s="43">
        <v>0.76962545800000004</v>
      </c>
      <c r="AJ76" s="43">
        <v>1.976793249</v>
      </c>
      <c r="AK76" s="43">
        <v>6.5991425789999996</v>
      </c>
      <c r="AL76" s="43">
        <v>2.1837348999999999E-2</v>
      </c>
      <c r="AM76" s="230">
        <v>0.18759412650602408</v>
      </c>
      <c r="AN76" s="43">
        <v>0.72151731900000005</v>
      </c>
    </row>
    <row r="77" spans="1:40" x14ac:dyDescent="0.25">
      <c r="A77" s="134">
        <v>67</v>
      </c>
      <c r="B77" s="134" t="s">
        <v>213</v>
      </c>
      <c r="C77" s="134" t="s">
        <v>210</v>
      </c>
      <c r="D77" s="134" t="s">
        <v>211</v>
      </c>
      <c r="E77" s="134">
        <v>334</v>
      </c>
      <c r="F77" s="134">
        <v>723</v>
      </c>
      <c r="G77" s="134">
        <v>31</v>
      </c>
      <c r="H77" s="134">
        <v>72</v>
      </c>
      <c r="I77" s="200">
        <v>4.9855875836900002E-2</v>
      </c>
      <c r="J77" s="134">
        <v>795</v>
      </c>
      <c r="K77" s="134">
        <v>15945.9639742</v>
      </c>
      <c r="L77" s="42">
        <v>0.757772445691</v>
      </c>
      <c r="M77" s="42">
        <v>0.17733990147799999</v>
      </c>
      <c r="N77" s="134">
        <v>0</v>
      </c>
      <c r="O77" s="43" t="s">
        <v>664</v>
      </c>
      <c r="P77" s="43">
        <f t="shared" si="19"/>
        <v>11.001003868308251</v>
      </c>
      <c r="Q77" s="43">
        <f t="shared" si="20"/>
        <v>8.3382115000000007E-2</v>
      </c>
      <c r="R77" s="43">
        <f t="shared" si="21"/>
        <v>3.5033096999999999E-2</v>
      </c>
      <c r="S77" s="43">
        <f t="shared" si="22"/>
        <v>0.75777244600000004</v>
      </c>
      <c r="T77" s="43">
        <f t="shared" si="23"/>
        <v>1.892614367</v>
      </c>
      <c r="U77" s="43">
        <f t="shared" si="24"/>
        <v>6.2224132130000003</v>
      </c>
      <c r="V77" s="43">
        <f t="shared" si="25"/>
        <v>2.2189233999999999E-2</v>
      </c>
      <c r="W77" s="230">
        <f t="shared" si="26"/>
        <v>0.19050967523504442</v>
      </c>
      <c r="X77" s="43">
        <f t="shared" si="27"/>
        <v>0.70719066600000002</v>
      </c>
      <c r="Y77" s="43">
        <v>152.23641090000001</v>
      </c>
      <c r="Z77" s="43">
        <f t="shared" si="16"/>
        <v>1</v>
      </c>
      <c r="AA77" s="43">
        <f t="shared" si="17"/>
        <v>127833</v>
      </c>
      <c r="AB77" s="43">
        <f t="shared" si="18"/>
        <v>52297</v>
      </c>
      <c r="AC77" s="43">
        <f t="shared" si="28"/>
        <v>6.9618232924242435E-2</v>
      </c>
      <c r="AD77" s="43">
        <f t="shared" si="29"/>
        <v>0.78767596906060611</v>
      </c>
      <c r="AF77" s="43">
        <v>11.001003868308251</v>
      </c>
      <c r="AG77" s="43">
        <v>8.3382115000000007E-2</v>
      </c>
      <c r="AH77" s="43">
        <v>3.5033096999999999E-2</v>
      </c>
      <c r="AI77" s="43">
        <v>0.75777244600000004</v>
      </c>
      <c r="AJ77" s="43">
        <v>1.892614367</v>
      </c>
      <c r="AK77" s="43">
        <v>6.2224132130000003</v>
      </c>
      <c r="AL77" s="43">
        <v>2.2189233999999999E-2</v>
      </c>
      <c r="AM77" s="230">
        <v>0.19050967523504442</v>
      </c>
      <c r="AN77" s="43">
        <v>0.70719066600000002</v>
      </c>
    </row>
    <row r="78" spans="1:40" x14ac:dyDescent="0.25">
      <c r="A78" s="134">
        <v>68</v>
      </c>
      <c r="B78" s="134" t="s">
        <v>213</v>
      </c>
      <c r="C78" s="134" t="s">
        <v>210</v>
      </c>
      <c r="D78" s="134" t="s">
        <v>211</v>
      </c>
      <c r="E78" s="134">
        <v>585</v>
      </c>
      <c r="F78" s="134">
        <v>1530</v>
      </c>
      <c r="G78" s="134">
        <v>64</v>
      </c>
      <c r="H78" s="134">
        <v>642</v>
      </c>
      <c r="I78" s="200">
        <v>9.8880865883400004E-2</v>
      </c>
      <c r="J78" s="134">
        <v>2172</v>
      </c>
      <c r="K78" s="134">
        <v>21965.827064699999</v>
      </c>
      <c r="L78" s="42">
        <v>0.75286821396799997</v>
      </c>
      <c r="M78" s="42">
        <v>0.52322738386300005</v>
      </c>
      <c r="N78" s="134">
        <v>0</v>
      </c>
      <c r="O78" s="43" t="s">
        <v>627</v>
      </c>
      <c r="P78" s="43">
        <f t="shared" si="19"/>
        <v>12.76450916210487</v>
      </c>
      <c r="Q78" s="43">
        <f t="shared" si="20"/>
        <v>7.7938271000000003E-2</v>
      </c>
      <c r="R78" s="43">
        <f t="shared" si="21"/>
        <v>4.0774679000000001E-2</v>
      </c>
      <c r="S78" s="43">
        <f t="shared" si="22"/>
        <v>0.75286821400000004</v>
      </c>
      <c r="T78" s="43">
        <f t="shared" si="23"/>
        <v>2.024887154</v>
      </c>
      <c r="U78" s="43">
        <f t="shared" si="24"/>
        <v>7.3151853989999998</v>
      </c>
      <c r="V78" s="43">
        <f t="shared" si="25"/>
        <v>3.4800642999999999E-2</v>
      </c>
      <c r="W78" s="230">
        <f t="shared" si="26"/>
        <v>0.1707484073272868</v>
      </c>
      <c r="X78" s="43">
        <f t="shared" si="27"/>
        <v>0.71122511799999999</v>
      </c>
      <c r="Y78" s="43">
        <v>120.50979580000001</v>
      </c>
      <c r="Z78" s="43">
        <f t="shared" si="16"/>
        <v>1</v>
      </c>
      <c r="AA78" s="43">
        <f t="shared" si="17"/>
        <v>127833</v>
      </c>
      <c r="AB78" s="43">
        <f t="shared" si="18"/>
        <v>52297</v>
      </c>
      <c r="AC78" s="43">
        <f t="shared" si="28"/>
        <v>6.9618232924242435E-2</v>
      </c>
      <c r="AD78" s="43">
        <f t="shared" si="29"/>
        <v>0.78767596906060611</v>
      </c>
      <c r="AF78" s="43">
        <v>12.76450916210487</v>
      </c>
      <c r="AG78" s="43">
        <v>7.7938271000000003E-2</v>
      </c>
      <c r="AH78" s="43">
        <v>4.0774679000000001E-2</v>
      </c>
      <c r="AI78" s="43">
        <v>0.75286821400000004</v>
      </c>
      <c r="AJ78" s="43">
        <v>2.024887154</v>
      </c>
      <c r="AK78" s="43">
        <v>7.3151853989999998</v>
      </c>
      <c r="AL78" s="43">
        <v>3.4800642999999999E-2</v>
      </c>
      <c r="AM78" s="230">
        <v>0.1707484073272868</v>
      </c>
      <c r="AN78" s="43">
        <v>0.71122511799999999</v>
      </c>
    </row>
    <row r="79" spans="1:40" x14ac:dyDescent="0.25">
      <c r="A79" s="134">
        <v>69</v>
      </c>
      <c r="B79" s="134" t="s">
        <v>213</v>
      </c>
      <c r="C79" s="134" t="s">
        <v>210</v>
      </c>
      <c r="D79" s="134" t="s">
        <v>211</v>
      </c>
      <c r="E79" s="134">
        <v>551</v>
      </c>
      <c r="F79" s="134">
        <v>1441</v>
      </c>
      <c r="G79" s="134">
        <v>50</v>
      </c>
      <c r="H79" s="134">
        <v>135</v>
      </c>
      <c r="I79" s="200">
        <v>7.7626986887600002E-2</v>
      </c>
      <c r="J79" s="134">
        <v>1576</v>
      </c>
      <c r="K79" s="134">
        <v>20302.217865099999</v>
      </c>
      <c r="L79" s="42">
        <v>0.74463471227300004</v>
      </c>
      <c r="M79" s="42">
        <v>0.19679300291499999</v>
      </c>
      <c r="N79" s="134">
        <v>0</v>
      </c>
      <c r="O79" s="43" t="s">
        <v>664</v>
      </c>
      <c r="P79" s="43">
        <f t="shared" si="19"/>
        <v>12.074729226363051</v>
      </c>
      <c r="Q79" s="43">
        <f t="shared" si="20"/>
        <v>9.3911510000000004E-2</v>
      </c>
      <c r="R79" s="43">
        <f t="shared" si="21"/>
        <v>3.9318938999999997E-2</v>
      </c>
      <c r="S79" s="43">
        <f t="shared" si="22"/>
        <v>0.74463471199999998</v>
      </c>
      <c r="T79" s="43">
        <f t="shared" si="23"/>
        <v>2.1058244840000002</v>
      </c>
      <c r="U79" s="43">
        <f t="shared" si="24"/>
        <v>6.7179728259999996</v>
      </c>
      <c r="V79" s="43">
        <f t="shared" si="25"/>
        <v>2.518157E-2</v>
      </c>
      <c r="W79" s="230">
        <f t="shared" si="26"/>
        <v>0.21277271611533849</v>
      </c>
      <c r="X79" s="43">
        <f t="shared" si="27"/>
        <v>0.68058102399999998</v>
      </c>
      <c r="Y79" s="43">
        <v>135.80276230000001</v>
      </c>
      <c r="Z79" s="43">
        <f t="shared" si="16"/>
        <v>1</v>
      </c>
      <c r="AA79" s="43">
        <f t="shared" si="17"/>
        <v>127833</v>
      </c>
      <c r="AB79" s="43">
        <f t="shared" si="18"/>
        <v>52297</v>
      </c>
      <c r="AC79" s="43">
        <f t="shared" si="28"/>
        <v>6.9618232924242435E-2</v>
      </c>
      <c r="AD79" s="43">
        <f t="shared" si="29"/>
        <v>0.78767596906060611</v>
      </c>
      <c r="AF79" s="43">
        <v>12.074729226363051</v>
      </c>
      <c r="AG79" s="43">
        <v>9.3911510000000004E-2</v>
      </c>
      <c r="AH79" s="43">
        <v>3.9318938999999997E-2</v>
      </c>
      <c r="AI79" s="43">
        <v>0.74463471199999998</v>
      </c>
      <c r="AJ79" s="43">
        <v>2.1058244840000002</v>
      </c>
      <c r="AK79" s="43">
        <v>6.7179728259999996</v>
      </c>
      <c r="AL79" s="43">
        <v>2.518157E-2</v>
      </c>
      <c r="AM79" s="230">
        <v>0.21277271611533849</v>
      </c>
      <c r="AN79" s="43">
        <v>0.68058102399999998</v>
      </c>
    </row>
    <row r="80" spans="1:40" x14ac:dyDescent="0.25">
      <c r="A80" s="134">
        <v>70</v>
      </c>
      <c r="B80" s="134" t="s">
        <v>213</v>
      </c>
      <c r="C80" s="134" t="s">
        <v>210</v>
      </c>
      <c r="D80" s="134" t="s">
        <v>211</v>
      </c>
      <c r="E80" s="134">
        <v>35</v>
      </c>
      <c r="F80" s="134">
        <v>90</v>
      </c>
      <c r="G80" s="134">
        <v>55</v>
      </c>
      <c r="H80" s="134">
        <v>1705</v>
      </c>
      <c r="I80" s="200">
        <v>0.102307294397</v>
      </c>
      <c r="J80" s="134">
        <v>1795</v>
      </c>
      <c r="K80" s="134">
        <v>17545.181021299999</v>
      </c>
      <c r="L80" s="42">
        <v>0.81124989354800003</v>
      </c>
      <c r="M80" s="42">
        <v>0.97988505747099997</v>
      </c>
      <c r="N80" s="134">
        <v>0</v>
      </c>
      <c r="O80" s="43" t="s">
        <v>664</v>
      </c>
      <c r="P80" s="43">
        <f t="shared" si="19"/>
        <v>15.045210723296078</v>
      </c>
      <c r="Q80" s="43">
        <f t="shared" si="20"/>
        <v>5.9281233000000003E-2</v>
      </c>
      <c r="R80" s="43">
        <f t="shared" si="21"/>
        <v>2.7036080000000001E-2</v>
      </c>
      <c r="S80" s="43">
        <f t="shared" si="22"/>
        <v>0.81124989400000003</v>
      </c>
      <c r="T80" s="43">
        <f t="shared" si="23"/>
        <v>2.6351983190000001</v>
      </c>
      <c r="U80" s="43">
        <f t="shared" si="24"/>
        <v>8.8058603600000005</v>
      </c>
      <c r="V80" s="43">
        <f t="shared" si="25"/>
        <v>3.3866291E-2</v>
      </c>
      <c r="W80" s="230">
        <f t="shared" si="26"/>
        <v>0.1015705421817598</v>
      </c>
      <c r="X80" s="43">
        <f t="shared" si="27"/>
        <v>0.80084429599999996</v>
      </c>
      <c r="Y80" s="43">
        <v>101.8391199</v>
      </c>
      <c r="Z80" s="43">
        <f t="shared" si="16"/>
        <v>1</v>
      </c>
      <c r="AA80" s="43">
        <f t="shared" si="17"/>
        <v>127833</v>
      </c>
      <c r="AB80" s="43">
        <f t="shared" si="18"/>
        <v>52297</v>
      </c>
      <c r="AC80" s="43">
        <f t="shared" si="28"/>
        <v>6.9618232924242435E-2</v>
      </c>
      <c r="AD80" s="43">
        <f t="shared" si="29"/>
        <v>0.78767596906060611</v>
      </c>
      <c r="AF80" s="43">
        <v>15.045210723296078</v>
      </c>
      <c r="AG80" s="43">
        <v>5.9281233000000003E-2</v>
      </c>
      <c r="AH80" s="43">
        <v>2.7036080000000001E-2</v>
      </c>
      <c r="AI80" s="43">
        <v>0.81124989400000003</v>
      </c>
      <c r="AJ80" s="43">
        <v>2.6351983190000001</v>
      </c>
      <c r="AK80" s="43">
        <v>8.8058603600000005</v>
      </c>
      <c r="AL80" s="43">
        <v>3.3866291E-2</v>
      </c>
      <c r="AM80" s="230">
        <v>0.1015705421817598</v>
      </c>
      <c r="AN80" s="43">
        <v>0.80084429599999996</v>
      </c>
    </row>
    <row r="81" spans="1:40" x14ac:dyDescent="0.25">
      <c r="A81" s="134">
        <v>71</v>
      </c>
      <c r="B81" s="134" t="s">
        <v>213</v>
      </c>
      <c r="C81" s="134" t="s">
        <v>210</v>
      </c>
      <c r="D81" s="134" t="s">
        <v>211</v>
      </c>
      <c r="E81" s="134">
        <v>7</v>
      </c>
      <c r="F81" s="134">
        <v>19</v>
      </c>
      <c r="G81" s="134">
        <v>68</v>
      </c>
      <c r="H81" s="134">
        <v>111</v>
      </c>
      <c r="I81" s="200">
        <v>0.12640608403799999</v>
      </c>
      <c r="J81" s="134">
        <v>130</v>
      </c>
      <c r="K81" s="134">
        <v>1028.43151094</v>
      </c>
      <c r="L81" s="42">
        <v>0.89179931492999998</v>
      </c>
      <c r="M81" s="42">
        <v>0.94067796610200005</v>
      </c>
      <c r="N81" s="134">
        <v>0</v>
      </c>
      <c r="O81" s="43" t="s">
        <v>664</v>
      </c>
      <c r="P81" s="43">
        <f t="shared" si="19"/>
        <v>15.757356114988479</v>
      </c>
      <c r="Q81" s="43">
        <f t="shared" si="20"/>
        <v>2.1156558999999998E-2</v>
      </c>
      <c r="R81" s="43">
        <f t="shared" si="21"/>
        <v>1.8375981999999999E-2</v>
      </c>
      <c r="S81" s="43">
        <f t="shared" si="22"/>
        <v>0.89179931499999998</v>
      </c>
      <c r="T81" s="43">
        <f t="shared" si="23"/>
        <v>4.5263157889999999</v>
      </c>
      <c r="U81" s="43">
        <f t="shared" si="24"/>
        <v>9.5688557680000006</v>
      </c>
      <c r="V81" s="43">
        <f t="shared" si="25"/>
        <v>3.0326507999999999E-2</v>
      </c>
      <c r="W81" s="230">
        <f t="shared" si="26"/>
        <v>9.9612617598229102E-3</v>
      </c>
      <c r="X81" s="43">
        <f t="shared" si="27"/>
        <v>0.869064748</v>
      </c>
      <c r="Y81" s="43">
        <v>114.004959</v>
      </c>
      <c r="Z81" s="43">
        <f t="shared" si="16"/>
        <v>1</v>
      </c>
      <c r="AA81" s="43">
        <f t="shared" si="17"/>
        <v>127833</v>
      </c>
      <c r="AB81" s="43">
        <f t="shared" si="18"/>
        <v>52297</v>
      </c>
      <c r="AC81" s="43">
        <f t="shared" si="28"/>
        <v>6.9618232924242435E-2</v>
      </c>
      <c r="AD81" s="43">
        <f t="shared" si="29"/>
        <v>0.78767596906060611</v>
      </c>
      <c r="AF81" s="43">
        <v>15.757356114988479</v>
      </c>
      <c r="AG81" s="43">
        <v>2.1156558999999998E-2</v>
      </c>
      <c r="AH81" s="43">
        <v>1.8375981999999999E-2</v>
      </c>
      <c r="AI81" s="43">
        <v>0.89179931499999998</v>
      </c>
      <c r="AJ81" s="43">
        <v>4.5263157889999999</v>
      </c>
      <c r="AK81" s="43">
        <v>9.5688557680000006</v>
      </c>
      <c r="AL81" s="43">
        <v>3.0326507999999999E-2</v>
      </c>
      <c r="AM81" s="230">
        <v>9.9612617598229102E-3</v>
      </c>
      <c r="AN81" s="43">
        <v>0.869064748</v>
      </c>
    </row>
    <row r="82" spans="1:40" x14ac:dyDescent="0.25">
      <c r="A82" s="134">
        <v>72</v>
      </c>
      <c r="B82" s="134" t="s">
        <v>213</v>
      </c>
      <c r="C82" s="134" t="s">
        <v>210</v>
      </c>
      <c r="D82" s="134" t="s">
        <v>211</v>
      </c>
      <c r="E82" s="134">
        <v>29</v>
      </c>
      <c r="F82" s="134">
        <v>73</v>
      </c>
      <c r="G82" s="134">
        <v>208</v>
      </c>
      <c r="H82" s="134">
        <v>236</v>
      </c>
      <c r="I82" s="200">
        <v>0.38463831047399999</v>
      </c>
      <c r="J82" s="134">
        <v>309</v>
      </c>
      <c r="K82" s="134">
        <v>803.35211440499995</v>
      </c>
      <c r="L82" s="42">
        <v>0.90502266392599995</v>
      </c>
      <c r="M82" s="42">
        <v>0.89056603773599996</v>
      </c>
      <c r="N82" s="134">
        <v>0</v>
      </c>
      <c r="O82" s="43" t="s">
        <v>666</v>
      </c>
      <c r="P82" s="43">
        <f t="shared" si="19"/>
        <v>16.070002263091293</v>
      </c>
      <c r="Q82" s="43">
        <f t="shared" si="20"/>
        <v>3.8824290999999997E-2</v>
      </c>
      <c r="R82" s="43">
        <f t="shared" si="21"/>
        <v>2.4423548E-2</v>
      </c>
      <c r="S82" s="43">
        <f t="shared" si="22"/>
        <v>0.90502266399999998</v>
      </c>
      <c r="T82" s="43">
        <f t="shared" si="23"/>
        <v>4.1711399709999997</v>
      </c>
      <c r="U82" s="43">
        <f t="shared" si="24"/>
        <v>10.833272450000001</v>
      </c>
      <c r="V82" s="43">
        <f t="shared" si="25"/>
        <v>3.1371419999999997E-2</v>
      </c>
      <c r="W82" s="230">
        <f t="shared" si="26"/>
        <v>3.1227514750323787E-2</v>
      </c>
      <c r="X82" s="43">
        <f t="shared" si="27"/>
        <v>0.89442126</v>
      </c>
      <c r="Y82" s="43">
        <v>114.17612459999999</v>
      </c>
      <c r="Z82" s="43">
        <f t="shared" si="16"/>
        <v>1</v>
      </c>
      <c r="AA82" s="43">
        <f t="shared" si="17"/>
        <v>127833</v>
      </c>
      <c r="AB82" s="43">
        <f t="shared" si="18"/>
        <v>52297</v>
      </c>
      <c r="AC82" s="43">
        <f t="shared" si="28"/>
        <v>6.9618232924242435E-2</v>
      </c>
      <c r="AD82" s="43">
        <f t="shared" si="29"/>
        <v>0.78767596906060611</v>
      </c>
      <c r="AF82" s="43">
        <v>16.070002263091293</v>
      </c>
      <c r="AG82" s="43">
        <v>3.8824290999999997E-2</v>
      </c>
      <c r="AH82" s="43">
        <v>2.4423548E-2</v>
      </c>
      <c r="AI82" s="43">
        <v>0.90502266399999998</v>
      </c>
      <c r="AJ82" s="43">
        <v>4.1711399709999997</v>
      </c>
      <c r="AK82" s="43">
        <v>10.833272450000001</v>
      </c>
      <c r="AL82" s="43">
        <v>3.1371419999999997E-2</v>
      </c>
      <c r="AM82" s="230">
        <v>3.1227514750323787E-2</v>
      </c>
      <c r="AN82" s="43">
        <v>0.89442126</v>
      </c>
    </row>
    <row r="83" spans="1:40" x14ac:dyDescent="0.25">
      <c r="A83" s="134">
        <v>73</v>
      </c>
      <c r="B83" s="134" t="s">
        <v>213</v>
      </c>
      <c r="C83" s="134" t="s">
        <v>210</v>
      </c>
      <c r="D83" s="134" t="s">
        <v>211</v>
      </c>
      <c r="E83" s="134">
        <v>8</v>
      </c>
      <c r="F83" s="134">
        <v>22</v>
      </c>
      <c r="G83" s="134">
        <v>166</v>
      </c>
      <c r="H83" s="134">
        <v>307</v>
      </c>
      <c r="I83" s="200">
        <v>0.19542995520100001</v>
      </c>
      <c r="J83" s="134">
        <v>329</v>
      </c>
      <c r="K83" s="134">
        <v>1683.4676120199999</v>
      </c>
      <c r="L83" s="42">
        <v>0.939674966833</v>
      </c>
      <c r="M83" s="42">
        <v>0.97460317460300006</v>
      </c>
      <c r="N83" s="134">
        <v>0</v>
      </c>
      <c r="O83" s="43" t="s">
        <v>664</v>
      </c>
      <c r="P83" s="43">
        <f t="shared" si="19"/>
        <v>16.198902116240077</v>
      </c>
      <c r="Q83" s="43">
        <f t="shared" si="20"/>
        <v>1.4363710999999999E-2</v>
      </c>
      <c r="R83" s="43">
        <f t="shared" si="21"/>
        <v>2.3535565000000001E-2</v>
      </c>
      <c r="S83" s="43">
        <f t="shared" si="22"/>
        <v>0.93967496699999997</v>
      </c>
      <c r="T83" s="43">
        <f t="shared" si="23"/>
        <v>4.5046346780000004</v>
      </c>
      <c r="U83" s="43">
        <f t="shared" si="24"/>
        <v>10.629442790000001</v>
      </c>
      <c r="V83" s="43">
        <f t="shared" si="25"/>
        <v>3.5827412000000003E-2</v>
      </c>
      <c r="W83" s="230">
        <f t="shared" si="26"/>
        <v>5.8642239534286451E-3</v>
      </c>
      <c r="X83" s="43">
        <f t="shared" si="27"/>
        <v>0.92235253800000006</v>
      </c>
      <c r="Y83" s="43">
        <v>111.5310291</v>
      </c>
      <c r="Z83" s="43">
        <f t="shared" si="16"/>
        <v>1</v>
      </c>
      <c r="AA83" s="43">
        <f t="shared" si="17"/>
        <v>127833</v>
      </c>
      <c r="AB83" s="43">
        <f t="shared" si="18"/>
        <v>52297</v>
      </c>
      <c r="AC83" s="43">
        <f t="shared" si="28"/>
        <v>6.9618232924242435E-2</v>
      </c>
      <c r="AD83" s="43">
        <f t="shared" si="29"/>
        <v>0.78767596906060611</v>
      </c>
      <c r="AF83" s="43">
        <v>16.198902116240077</v>
      </c>
      <c r="AG83" s="43">
        <v>1.4363710999999999E-2</v>
      </c>
      <c r="AH83" s="43">
        <v>2.3535565000000001E-2</v>
      </c>
      <c r="AI83" s="43">
        <v>0.93967496699999997</v>
      </c>
      <c r="AJ83" s="43">
        <v>4.5046346780000004</v>
      </c>
      <c r="AK83" s="43">
        <v>10.629442790000001</v>
      </c>
      <c r="AL83" s="43">
        <v>3.5827412000000003E-2</v>
      </c>
      <c r="AM83" s="230">
        <v>5.8642239534286451E-3</v>
      </c>
      <c r="AN83" s="43">
        <v>0.92235253800000006</v>
      </c>
    </row>
    <row r="84" spans="1:40" x14ac:dyDescent="0.25">
      <c r="A84" s="134">
        <v>74</v>
      </c>
      <c r="B84" s="134" t="s">
        <v>213</v>
      </c>
      <c r="C84" s="134" t="s">
        <v>210</v>
      </c>
      <c r="D84" s="134" t="s">
        <v>211</v>
      </c>
      <c r="E84" s="134">
        <v>130</v>
      </c>
      <c r="F84" s="134">
        <v>331</v>
      </c>
      <c r="G84" s="134">
        <v>44</v>
      </c>
      <c r="H84" s="134">
        <v>1775</v>
      </c>
      <c r="I84" s="200">
        <v>8.2035245797299997E-2</v>
      </c>
      <c r="J84" s="134">
        <v>2106</v>
      </c>
      <c r="K84" s="134">
        <v>25671.892361999999</v>
      </c>
      <c r="L84" s="42">
        <v>0.81650363178499996</v>
      </c>
      <c r="M84" s="42">
        <v>0.93175853018400001</v>
      </c>
      <c r="N84" s="134">
        <v>0</v>
      </c>
      <c r="O84" s="43" t="s">
        <v>627</v>
      </c>
      <c r="P84" s="43">
        <f t="shared" si="19"/>
        <v>15.708680628177467</v>
      </c>
      <c r="Q84" s="43">
        <f t="shared" si="20"/>
        <v>7.2693482000000004E-2</v>
      </c>
      <c r="R84" s="43">
        <f t="shared" si="21"/>
        <v>2.9185069000000001E-2</v>
      </c>
      <c r="S84" s="43">
        <f t="shared" si="22"/>
        <v>0.81650363199999998</v>
      </c>
      <c r="T84" s="43">
        <f t="shared" si="23"/>
        <v>3.000104313</v>
      </c>
      <c r="U84" s="43">
        <f t="shared" si="24"/>
        <v>9.4074250979999992</v>
      </c>
      <c r="V84" s="43">
        <f t="shared" si="25"/>
        <v>3.6293575000000002E-2</v>
      </c>
      <c r="W84" s="230">
        <f t="shared" si="26"/>
        <v>0.10857527744926809</v>
      </c>
      <c r="X84" s="43">
        <f t="shared" si="27"/>
        <v>0.80829567400000002</v>
      </c>
      <c r="Y84" s="43">
        <v>114.05522910000001</v>
      </c>
      <c r="Z84" s="43">
        <f t="shared" si="16"/>
        <v>1</v>
      </c>
      <c r="AA84" s="43">
        <f t="shared" si="17"/>
        <v>127833</v>
      </c>
      <c r="AB84" s="43">
        <f t="shared" si="18"/>
        <v>52297</v>
      </c>
      <c r="AC84" s="43">
        <f t="shared" si="28"/>
        <v>6.9618232924242435E-2</v>
      </c>
      <c r="AD84" s="43">
        <f t="shared" si="29"/>
        <v>0.78767596906060611</v>
      </c>
      <c r="AF84" s="43">
        <v>15.708680628177467</v>
      </c>
      <c r="AG84" s="43">
        <v>7.2693482000000004E-2</v>
      </c>
      <c r="AH84" s="43">
        <v>2.9185069000000001E-2</v>
      </c>
      <c r="AI84" s="43">
        <v>0.81650363199999998</v>
      </c>
      <c r="AJ84" s="43">
        <v>3.000104313</v>
      </c>
      <c r="AK84" s="43">
        <v>9.4074250979999992</v>
      </c>
      <c r="AL84" s="43">
        <v>3.6293575000000002E-2</v>
      </c>
      <c r="AM84" s="230">
        <v>0.10857527744926809</v>
      </c>
      <c r="AN84" s="43">
        <v>0.80829567400000002</v>
      </c>
    </row>
    <row r="85" spans="1:40" x14ac:dyDescent="0.25">
      <c r="A85" s="134">
        <v>75</v>
      </c>
      <c r="B85" s="134" t="s">
        <v>213</v>
      </c>
      <c r="C85" s="134" t="s">
        <v>210</v>
      </c>
      <c r="D85" s="134" t="s">
        <v>211</v>
      </c>
      <c r="E85" s="134">
        <v>80</v>
      </c>
      <c r="F85" s="134">
        <v>204</v>
      </c>
      <c r="G85" s="134">
        <v>32</v>
      </c>
      <c r="H85" s="134">
        <v>831</v>
      </c>
      <c r="I85" s="200">
        <v>5.8692885075700002E-2</v>
      </c>
      <c r="J85" s="134">
        <v>1035</v>
      </c>
      <c r="K85" s="134">
        <v>17634.1646635</v>
      </c>
      <c r="L85" s="42">
        <v>0.82526123479299995</v>
      </c>
      <c r="M85" s="42">
        <v>0.91218441273299999</v>
      </c>
      <c r="N85" s="134">
        <v>0</v>
      </c>
      <c r="O85" s="43" t="s">
        <v>664</v>
      </c>
      <c r="P85" s="43">
        <f t="shared" si="19"/>
        <v>15.557965038494363</v>
      </c>
      <c r="Q85" s="43">
        <f t="shared" si="20"/>
        <v>6.7319265000000003E-2</v>
      </c>
      <c r="R85" s="43">
        <f t="shared" si="21"/>
        <v>2.9984138E-2</v>
      </c>
      <c r="S85" s="43">
        <f t="shared" si="22"/>
        <v>0.82526123500000004</v>
      </c>
      <c r="T85" s="43">
        <f t="shared" si="23"/>
        <v>3.0578665570000001</v>
      </c>
      <c r="U85" s="43">
        <f t="shared" si="24"/>
        <v>9.0632855330000002</v>
      </c>
      <c r="V85" s="43">
        <f t="shared" si="25"/>
        <v>3.5753374999999997E-2</v>
      </c>
      <c r="W85" s="230">
        <f t="shared" si="26"/>
        <v>9.3983471598750062E-2</v>
      </c>
      <c r="X85" s="43">
        <f t="shared" si="27"/>
        <v>0.82220072</v>
      </c>
      <c r="Y85" s="43">
        <v>114.46564669999999</v>
      </c>
      <c r="Z85" s="43">
        <f t="shared" si="16"/>
        <v>1</v>
      </c>
      <c r="AA85" s="43">
        <f t="shared" si="17"/>
        <v>127833</v>
      </c>
      <c r="AB85" s="43">
        <f t="shared" si="18"/>
        <v>52297</v>
      </c>
      <c r="AC85" s="43">
        <f t="shared" si="28"/>
        <v>6.9618232924242435E-2</v>
      </c>
      <c r="AD85" s="43">
        <f t="shared" si="29"/>
        <v>0.78767596906060611</v>
      </c>
      <c r="AF85" s="43">
        <v>15.557965038494363</v>
      </c>
      <c r="AG85" s="43">
        <v>6.7319265000000003E-2</v>
      </c>
      <c r="AH85" s="43">
        <v>2.9984138E-2</v>
      </c>
      <c r="AI85" s="43">
        <v>0.82526123500000004</v>
      </c>
      <c r="AJ85" s="43">
        <v>3.0578665570000001</v>
      </c>
      <c r="AK85" s="43">
        <v>9.0632855330000002</v>
      </c>
      <c r="AL85" s="43">
        <v>3.5753374999999997E-2</v>
      </c>
      <c r="AM85" s="230">
        <v>9.3983471598750062E-2</v>
      </c>
      <c r="AN85" s="43">
        <v>0.82220072</v>
      </c>
    </row>
    <row r="86" spans="1:40" x14ac:dyDescent="0.25">
      <c r="A86" s="134">
        <v>76</v>
      </c>
      <c r="B86" s="134" t="s">
        <v>213</v>
      </c>
      <c r="C86" s="134" t="s">
        <v>210</v>
      </c>
      <c r="D86" s="134" t="s">
        <v>211</v>
      </c>
      <c r="E86" s="134">
        <v>191</v>
      </c>
      <c r="F86" s="134">
        <v>489</v>
      </c>
      <c r="G86" s="134">
        <v>64</v>
      </c>
      <c r="H86" s="134">
        <v>2527</v>
      </c>
      <c r="I86" s="200">
        <v>0.118680958034</v>
      </c>
      <c r="J86" s="134">
        <v>3016</v>
      </c>
      <c r="K86" s="134">
        <v>25412.669816199999</v>
      </c>
      <c r="L86" s="42">
        <v>0.81066790472100003</v>
      </c>
      <c r="M86" s="42">
        <v>0.92972774098599997</v>
      </c>
      <c r="N86" s="134">
        <v>0</v>
      </c>
      <c r="O86" s="43" t="s">
        <v>627</v>
      </c>
      <c r="P86" s="43">
        <f t="shared" si="19"/>
        <v>15.057428960681454</v>
      </c>
      <c r="Q86" s="43">
        <f t="shared" si="20"/>
        <v>7.6538004000000007E-2</v>
      </c>
      <c r="R86" s="43">
        <f t="shared" si="21"/>
        <v>2.9066343000000001E-2</v>
      </c>
      <c r="S86" s="43">
        <f t="shared" si="22"/>
        <v>0.81066790499999997</v>
      </c>
      <c r="T86" s="43">
        <f t="shared" si="23"/>
        <v>2.8824617209999999</v>
      </c>
      <c r="U86" s="43">
        <f t="shared" si="24"/>
        <v>8.6956197750000008</v>
      </c>
      <c r="V86" s="43">
        <f t="shared" si="25"/>
        <v>3.6074250000000002E-2</v>
      </c>
      <c r="W86" s="230">
        <f t="shared" si="26"/>
        <v>0.11075900618384278</v>
      </c>
      <c r="X86" s="43">
        <f t="shared" si="27"/>
        <v>0.80445522800000002</v>
      </c>
      <c r="Y86" s="43">
        <v>114.1787583</v>
      </c>
      <c r="Z86" s="43">
        <f t="shared" si="16"/>
        <v>1</v>
      </c>
      <c r="AA86" s="43">
        <f t="shared" si="17"/>
        <v>127833</v>
      </c>
      <c r="AB86" s="43">
        <f t="shared" si="18"/>
        <v>52297</v>
      </c>
      <c r="AC86" s="43">
        <f t="shared" si="28"/>
        <v>6.9618232924242435E-2</v>
      </c>
      <c r="AD86" s="43">
        <f t="shared" si="29"/>
        <v>0.78767596906060611</v>
      </c>
      <c r="AF86" s="43">
        <v>15.057428960681454</v>
      </c>
      <c r="AG86" s="43">
        <v>7.6538004000000007E-2</v>
      </c>
      <c r="AH86" s="43">
        <v>2.9066343000000001E-2</v>
      </c>
      <c r="AI86" s="43">
        <v>0.81066790499999997</v>
      </c>
      <c r="AJ86" s="43">
        <v>2.8824617209999999</v>
      </c>
      <c r="AK86" s="43">
        <v>8.6956197750000008</v>
      </c>
      <c r="AL86" s="43">
        <v>3.6074250000000002E-2</v>
      </c>
      <c r="AM86" s="230">
        <v>0.11075900618384278</v>
      </c>
      <c r="AN86" s="43">
        <v>0.80445522800000002</v>
      </c>
    </row>
    <row r="87" spans="1:40" x14ac:dyDescent="0.25">
      <c r="A87" s="134">
        <v>77</v>
      </c>
      <c r="B87" s="134" t="s">
        <v>213</v>
      </c>
      <c r="C87" s="134" t="s">
        <v>210</v>
      </c>
      <c r="D87" s="134" t="s">
        <v>211</v>
      </c>
      <c r="E87" s="134">
        <v>0</v>
      </c>
      <c r="F87" s="134">
        <v>0</v>
      </c>
      <c r="G87" s="134">
        <v>70</v>
      </c>
      <c r="H87" s="134">
        <v>1698</v>
      </c>
      <c r="I87" s="200">
        <v>0.12940563995099999</v>
      </c>
      <c r="J87" s="134">
        <v>1698</v>
      </c>
      <c r="K87" s="134">
        <v>13121.5301021</v>
      </c>
      <c r="L87" s="42">
        <v>0.84814803397899996</v>
      </c>
      <c r="M87" s="42">
        <v>1</v>
      </c>
      <c r="N87" s="134">
        <v>0</v>
      </c>
      <c r="O87" s="43" t="s">
        <v>664</v>
      </c>
      <c r="P87" s="43">
        <f t="shared" si="19"/>
        <v>15.852303972177616</v>
      </c>
      <c r="Q87" s="43">
        <f t="shared" si="20"/>
        <v>6.2756788999999993E-2</v>
      </c>
      <c r="R87" s="43">
        <f t="shared" si="21"/>
        <v>2.5369579E-2</v>
      </c>
      <c r="S87" s="43">
        <f t="shared" si="22"/>
        <v>0.84814803400000005</v>
      </c>
      <c r="T87" s="43">
        <f t="shared" si="23"/>
        <v>3.3631784630000001</v>
      </c>
      <c r="U87" s="43">
        <f t="shared" si="24"/>
        <v>9.0718261580000004</v>
      </c>
      <c r="V87" s="43">
        <f t="shared" si="25"/>
        <v>3.6793409999999999E-2</v>
      </c>
      <c r="W87" s="230">
        <f t="shared" si="26"/>
        <v>8.1060108637259001E-2</v>
      </c>
      <c r="X87" s="43">
        <f t="shared" si="27"/>
        <v>0.84930460200000002</v>
      </c>
      <c r="Y87" s="43">
        <v>114.17612459999999</v>
      </c>
      <c r="Z87" s="43">
        <f t="shared" si="16"/>
        <v>1</v>
      </c>
      <c r="AA87" s="43">
        <f t="shared" si="17"/>
        <v>127833</v>
      </c>
      <c r="AB87" s="43">
        <f t="shared" si="18"/>
        <v>52297</v>
      </c>
      <c r="AC87" s="43">
        <f t="shared" si="28"/>
        <v>6.9618232924242435E-2</v>
      </c>
      <c r="AD87" s="43">
        <f t="shared" si="29"/>
        <v>0.78767596906060611</v>
      </c>
      <c r="AF87" s="43">
        <v>15.852303972177616</v>
      </c>
      <c r="AG87" s="43">
        <v>6.2756788999999993E-2</v>
      </c>
      <c r="AH87" s="43">
        <v>2.5369579E-2</v>
      </c>
      <c r="AI87" s="43">
        <v>0.84814803400000005</v>
      </c>
      <c r="AJ87" s="43">
        <v>3.3631784630000001</v>
      </c>
      <c r="AK87" s="43">
        <v>9.0718261580000004</v>
      </c>
      <c r="AL87" s="43">
        <v>3.6793409999999999E-2</v>
      </c>
      <c r="AM87" s="230">
        <v>8.1060108637259001E-2</v>
      </c>
      <c r="AN87" s="43">
        <v>0.84930460200000002</v>
      </c>
    </row>
    <row r="88" spans="1:40" x14ac:dyDescent="0.25">
      <c r="A88" s="134">
        <v>78</v>
      </c>
      <c r="B88" s="134" t="s">
        <v>213</v>
      </c>
      <c r="C88" s="134" t="s">
        <v>210</v>
      </c>
      <c r="D88" s="134" t="s">
        <v>211</v>
      </c>
      <c r="E88" s="134">
        <v>154</v>
      </c>
      <c r="F88" s="134">
        <v>394</v>
      </c>
      <c r="G88" s="134">
        <v>90</v>
      </c>
      <c r="H88" s="134">
        <v>3272</v>
      </c>
      <c r="I88" s="200">
        <v>0.16725689128099999</v>
      </c>
      <c r="J88" s="134">
        <v>3666</v>
      </c>
      <c r="K88" s="134">
        <v>21918.379397799999</v>
      </c>
      <c r="L88" s="42">
        <v>0.82689538758600001</v>
      </c>
      <c r="M88" s="42">
        <v>0.955049620549</v>
      </c>
      <c r="N88" s="134">
        <v>0</v>
      </c>
      <c r="O88" s="43" t="s">
        <v>664</v>
      </c>
      <c r="P88" s="43">
        <f t="shared" si="19"/>
        <v>15.081654028223976</v>
      </c>
      <c r="Q88" s="43">
        <f t="shared" si="20"/>
        <v>5.6639378999999997E-2</v>
      </c>
      <c r="R88" s="43">
        <f t="shared" si="21"/>
        <v>2.7933822000000001E-2</v>
      </c>
      <c r="S88" s="43">
        <f t="shared" si="22"/>
        <v>0.82689538799999995</v>
      </c>
      <c r="T88" s="43">
        <f t="shared" si="23"/>
        <v>2.8838509619999999</v>
      </c>
      <c r="U88" s="43">
        <f t="shared" si="24"/>
        <v>9.0873795039999994</v>
      </c>
      <c r="V88" s="43">
        <f t="shared" si="25"/>
        <v>3.5861442E-2</v>
      </c>
      <c r="W88" s="230">
        <f t="shared" si="26"/>
        <v>9.4036474646855883E-2</v>
      </c>
      <c r="X88" s="43">
        <f t="shared" si="27"/>
        <v>0.82336618500000003</v>
      </c>
      <c r="Y88" s="43">
        <v>101.88737589999999</v>
      </c>
      <c r="Z88" s="43">
        <f t="shared" si="16"/>
        <v>1</v>
      </c>
      <c r="AA88" s="43">
        <f t="shared" si="17"/>
        <v>127833</v>
      </c>
      <c r="AB88" s="43">
        <f t="shared" si="18"/>
        <v>52297</v>
      </c>
      <c r="AC88" s="43">
        <f t="shared" si="28"/>
        <v>6.9618232924242435E-2</v>
      </c>
      <c r="AD88" s="43">
        <f t="shared" si="29"/>
        <v>0.78767596906060611</v>
      </c>
      <c r="AF88" s="43">
        <v>15.081654028223976</v>
      </c>
      <c r="AG88" s="43">
        <v>5.6639378999999997E-2</v>
      </c>
      <c r="AH88" s="43">
        <v>2.7933822000000001E-2</v>
      </c>
      <c r="AI88" s="43">
        <v>0.82689538799999995</v>
      </c>
      <c r="AJ88" s="43">
        <v>2.8838509619999999</v>
      </c>
      <c r="AK88" s="43">
        <v>9.0873795039999994</v>
      </c>
      <c r="AL88" s="43">
        <v>3.5861442E-2</v>
      </c>
      <c r="AM88" s="230">
        <v>9.4036474646855883E-2</v>
      </c>
      <c r="AN88" s="43">
        <v>0.82336618500000003</v>
      </c>
    </row>
    <row r="89" spans="1:40" x14ac:dyDescent="0.25">
      <c r="A89" s="134">
        <v>79</v>
      </c>
      <c r="B89" s="134" t="s">
        <v>213</v>
      </c>
      <c r="C89" s="134" t="s">
        <v>210</v>
      </c>
      <c r="D89" s="134" t="s">
        <v>211</v>
      </c>
      <c r="E89" s="134">
        <v>174</v>
      </c>
      <c r="F89" s="134">
        <v>445</v>
      </c>
      <c r="G89" s="134">
        <v>61</v>
      </c>
      <c r="H89" s="134">
        <v>2130</v>
      </c>
      <c r="I89" s="200">
        <v>0.11357473075500001</v>
      </c>
      <c r="J89" s="134">
        <v>2575</v>
      </c>
      <c r="K89" s="134">
        <v>22672.2967589</v>
      </c>
      <c r="L89" s="42">
        <v>0.83313630014600004</v>
      </c>
      <c r="M89" s="42">
        <v>0.92447916666700003</v>
      </c>
      <c r="N89" s="134">
        <v>0</v>
      </c>
      <c r="O89" s="43" t="s">
        <v>664</v>
      </c>
      <c r="P89" s="43">
        <f t="shared" si="19"/>
        <v>15.670509837293553</v>
      </c>
      <c r="Q89" s="43">
        <f t="shared" si="20"/>
        <v>4.5885322999999999E-2</v>
      </c>
      <c r="R89" s="43">
        <f t="shared" si="21"/>
        <v>2.8632239E-2</v>
      </c>
      <c r="S89" s="43">
        <f t="shared" si="22"/>
        <v>0.83313630000000005</v>
      </c>
      <c r="T89" s="43">
        <f t="shared" si="23"/>
        <v>2.8370221330000001</v>
      </c>
      <c r="U89" s="43">
        <f t="shared" si="24"/>
        <v>9.3746226789999998</v>
      </c>
      <c r="V89" s="43">
        <f t="shared" si="25"/>
        <v>3.5292597000000002E-2</v>
      </c>
      <c r="W89" s="230">
        <f t="shared" si="26"/>
        <v>7.8960803955149136E-2</v>
      </c>
      <c r="X89" s="43">
        <f t="shared" si="27"/>
        <v>0.83642356299999998</v>
      </c>
      <c r="Y89" s="43">
        <v>101.6752503</v>
      </c>
      <c r="Z89" s="43">
        <f t="shared" si="16"/>
        <v>1</v>
      </c>
      <c r="AA89" s="43">
        <f t="shared" si="17"/>
        <v>127833</v>
      </c>
      <c r="AB89" s="43">
        <f t="shared" si="18"/>
        <v>52297</v>
      </c>
      <c r="AC89" s="43">
        <f t="shared" si="28"/>
        <v>6.9618232924242435E-2</v>
      </c>
      <c r="AD89" s="43">
        <f t="shared" si="29"/>
        <v>0.78767596906060611</v>
      </c>
      <c r="AF89" s="43">
        <v>15.670509837293553</v>
      </c>
      <c r="AG89" s="43">
        <v>4.5885322999999999E-2</v>
      </c>
      <c r="AH89" s="43">
        <v>2.8632239E-2</v>
      </c>
      <c r="AI89" s="43">
        <v>0.83313630000000005</v>
      </c>
      <c r="AJ89" s="43">
        <v>2.8370221330000001</v>
      </c>
      <c r="AK89" s="43">
        <v>9.3746226789999998</v>
      </c>
      <c r="AL89" s="43">
        <v>3.5292597000000002E-2</v>
      </c>
      <c r="AM89" s="230">
        <v>7.8960803955149136E-2</v>
      </c>
      <c r="AN89" s="43">
        <v>0.83642356299999998</v>
      </c>
    </row>
    <row r="90" spans="1:40" x14ac:dyDescent="0.25">
      <c r="A90" s="134">
        <v>80</v>
      </c>
      <c r="B90" s="134" t="s">
        <v>213</v>
      </c>
      <c r="C90" s="134" t="s">
        <v>210</v>
      </c>
      <c r="D90" s="134" t="s">
        <v>211</v>
      </c>
      <c r="E90" s="134">
        <v>82</v>
      </c>
      <c r="F90" s="134">
        <v>209</v>
      </c>
      <c r="G90" s="134">
        <v>42</v>
      </c>
      <c r="H90" s="134">
        <v>1363</v>
      </c>
      <c r="I90" s="200">
        <v>7.7637033655899995E-2</v>
      </c>
      <c r="J90" s="134">
        <v>1572</v>
      </c>
      <c r="K90" s="134">
        <v>20248.068814300001</v>
      </c>
      <c r="L90" s="42">
        <v>0.84414730031399998</v>
      </c>
      <c r="M90" s="42">
        <v>0.94325259515600002</v>
      </c>
      <c r="N90" s="134">
        <v>0</v>
      </c>
      <c r="O90" s="43" t="s">
        <v>664</v>
      </c>
      <c r="P90" s="43">
        <f t="shared" si="19"/>
        <v>15.814355984096851</v>
      </c>
      <c r="Q90" s="43">
        <f t="shared" si="20"/>
        <v>4.6048114000000001E-2</v>
      </c>
      <c r="R90" s="43">
        <f t="shared" si="21"/>
        <v>2.6928199E-2</v>
      </c>
      <c r="S90" s="43">
        <f t="shared" si="22"/>
        <v>0.84414730000000004</v>
      </c>
      <c r="T90" s="43">
        <f t="shared" si="23"/>
        <v>3.0181775119999998</v>
      </c>
      <c r="U90" s="43">
        <f t="shared" si="24"/>
        <v>9.6375953849999991</v>
      </c>
      <c r="V90" s="43">
        <f t="shared" si="25"/>
        <v>3.2879035000000001E-2</v>
      </c>
      <c r="W90" s="230">
        <f t="shared" si="26"/>
        <v>7.1452497592429762E-2</v>
      </c>
      <c r="X90" s="43">
        <f t="shared" si="27"/>
        <v>0.84968387599999995</v>
      </c>
      <c r="Y90" s="43">
        <v>101.26159680000001</v>
      </c>
      <c r="Z90" s="43">
        <f t="shared" si="16"/>
        <v>1</v>
      </c>
      <c r="AA90" s="43">
        <f t="shared" si="17"/>
        <v>127833</v>
      </c>
      <c r="AB90" s="43">
        <f t="shared" si="18"/>
        <v>52297</v>
      </c>
      <c r="AC90" s="43">
        <f t="shared" si="28"/>
        <v>6.9618232924242435E-2</v>
      </c>
      <c r="AD90" s="43">
        <f t="shared" si="29"/>
        <v>0.78767596906060611</v>
      </c>
      <c r="AF90" s="43">
        <v>15.814355984096851</v>
      </c>
      <c r="AG90" s="43">
        <v>4.6048114000000001E-2</v>
      </c>
      <c r="AH90" s="43">
        <v>2.6928199E-2</v>
      </c>
      <c r="AI90" s="43">
        <v>0.84414730000000004</v>
      </c>
      <c r="AJ90" s="43">
        <v>3.0181775119999998</v>
      </c>
      <c r="AK90" s="43">
        <v>9.6375953849999991</v>
      </c>
      <c r="AL90" s="43">
        <v>3.2879035000000001E-2</v>
      </c>
      <c r="AM90" s="230">
        <v>7.1452497592429762E-2</v>
      </c>
      <c r="AN90" s="43">
        <v>0.84968387599999995</v>
      </c>
    </row>
    <row r="91" spans="1:40" x14ac:dyDescent="0.25">
      <c r="A91" s="134">
        <v>81</v>
      </c>
      <c r="B91" s="134" t="s">
        <v>213</v>
      </c>
      <c r="C91" s="134" t="s">
        <v>210</v>
      </c>
      <c r="D91" s="134" t="s">
        <v>211</v>
      </c>
      <c r="E91" s="134">
        <v>0</v>
      </c>
      <c r="F91" s="134">
        <v>0</v>
      </c>
      <c r="G91" s="134">
        <v>22</v>
      </c>
      <c r="H91" s="134">
        <v>988</v>
      </c>
      <c r="I91" s="200">
        <v>4.0407905803900003E-2</v>
      </c>
      <c r="J91" s="134">
        <v>988</v>
      </c>
      <c r="K91" s="134">
        <v>24450.660838399999</v>
      </c>
      <c r="L91" s="42">
        <v>0.82012127173899996</v>
      </c>
      <c r="M91" s="42">
        <v>1</v>
      </c>
      <c r="N91" s="134">
        <v>0</v>
      </c>
      <c r="O91" s="43" t="s">
        <v>627</v>
      </c>
      <c r="P91" s="43">
        <f t="shared" si="19"/>
        <v>14.945019490919348</v>
      </c>
      <c r="Q91" s="43">
        <f t="shared" si="20"/>
        <v>7.6436548000000007E-2</v>
      </c>
      <c r="R91" s="43">
        <f t="shared" si="21"/>
        <v>2.5368695E-2</v>
      </c>
      <c r="S91" s="43">
        <f t="shared" si="22"/>
        <v>0.82012127199999996</v>
      </c>
      <c r="T91" s="43">
        <f t="shared" si="23"/>
        <v>3.0622356499999999</v>
      </c>
      <c r="U91" s="43">
        <f t="shared" si="24"/>
        <v>8.1948791950000004</v>
      </c>
      <c r="V91" s="43">
        <f t="shared" si="25"/>
        <v>3.6645403999999999E-2</v>
      </c>
      <c r="W91" s="230">
        <f t="shared" si="26"/>
        <v>0.10212337856928808</v>
      </c>
      <c r="X91" s="43">
        <f t="shared" si="27"/>
        <v>0.80534269400000003</v>
      </c>
      <c r="Y91" s="43">
        <v>114.5040296</v>
      </c>
      <c r="Z91" s="43">
        <f t="shared" si="16"/>
        <v>1</v>
      </c>
      <c r="AA91" s="43">
        <f t="shared" si="17"/>
        <v>127833</v>
      </c>
      <c r="AB91" s="43">
        <f t="shared" si="18"/>
        <v>52297</v>
      </c>
      <c r="AC91" s="43">
        <f t="shared" si="28"/>
        <v>6.9618232924242435E-2</v>
      </c>
      <c r="AD91" s="43">
        <f t="shared" si="29"/>
        <v>0.78767596906060611</v>
      </c>
      <c r="AF91" s="43">
        <v>14.945019490919348</v>
      </c>
      <c r="AG91" s="43">
        <v>7.6436548000000007E-2</v>
      </c>
      <c r="AH91" s="43">
        <v>2.5368695E-2</v>
      </c>
      <c r="AI91" s="43">
        <v>0.82012127199999996</v>
      </c>
      <c r="AJ91" s="43">
        <v>3.0622356499999999</v>
      </c>
      <c r="AK91" s="43">
        <v>8.1948791950000004</v>
      </c>
      <c r="AL91" s="43">
        <v>3.6645403999999999E-2</v>
      </c>
      <c r="AM91" s="230">
        <v>0.10212337856928808</v>
      </c>
      <c r="AN91" s="43">
        <v>0.80534269400000003</v>
      </c>
    </row>
    <row r="92" spans="1:40" x14ac:dyDescent="0.25">
      <c r="A92" s="134">
        <v>82</v>
      </c>
      <c r="B92" s="134" t="s">
        <v>213</v>
      </c>
      <c r="C92" s="134" t="s">
        <v>210</v>
      </c>
      <c r="D92" s="134" t="s">
        <v>211</v>
      </c>
      <c r="E92" s="134">
        <v>7</v>
      </c>
      <c r="F92" s="134">
        <v>19</v>
      </c>
      <c r="G92" s="134">
        <v>17</v>
      </c>
      <c r="H92" s="134">
        <v>836</v>
      </c>
      <c r="I92" s="200">
        <v>3.0731197728199999E-2</v>
      </c>
      <c r="J92" s="134">
        <v>855</v>
      </c>
      <c r="K92" s="134">
        <v>27821.889910099999</v>
      </c>
      <c r="L92" s="42">
        <v>0.78192556912699995</v>
      </c>
      <c r="M92" s="42">
        <v>0.99169632265700003</v>
      </c>
      <c r="N92" s="134">
        <v>0</v>
      </c>
      <c r="O92" s="43" t="s">
        <v>627</v>
      </c>
      <c r="P92" s="43">
        <f t="shared" si="19"/>
        <v>15.05563955353597</v>
      </c>
      <c r="Q92" s="43">
        <f t="shared" si="20"/>
        <v>0.111081074</v>
      </c>
      <c r="R92" s="43">
        <f t="shared" si="21"/>
        <v>2.5329106000000001E-2</v>
      </c>
      <c r="S92" s="43">
        <f t="shared" si="22"/>
        <v>0.78192556899999999</v>
      </c>
      <c r="T92" s="43">
        <f t="shared" si="23"/>
        <v>3.0588615780000001</v>
      </c>
      <c r="U92" s="43">
        <f t="shared" si="24"/>
        <v>8.5973178019999992</v>
      </c>
      <c r="V92" s="43">
        <f t="shared" si="25"/>
        <v>3.4681852999999999E-2</v>
      </c>
      <c r="W92" s="230">
        <f t="shared" si="26"/>
        <v>0.12390880249078762</v>
      </c>
      <c r="X92" s="43">
        <f t="shared" si="27"/>
        <v>0.78418428699999998</v>
      </c>
      <c r="Y92" s="43">
        <v>117.6200226</v>
      </c>
      <c r="Z92" s="43">
        <f t="shared" si="16"/>
        <v>1</v>
      </c>
      <c r="AA92" s="43">
        <f t="shared" si="17"/>
        <v>127833</v>
      </c>
      <c r="AB92" s="43">
        <f t="shared" si="18"/>
        <v>52297</v>
      </c>
      <c r="AC92" s="43">
        <f t="shared" si="28"/>
        <v>6.9618232924242435E-2</v>
      </c>
      <c r="AD92" s="43">
        <f t="shared" si="29"/>
        <v>0.78767596906060611</v>
      </c>
      <c r="AF92" s="43">
        <v>15.05563955353597</v>
      </c>
      <c r="AG92" s="43">
        <v>0.111081074</v>
      </c>
      <c r="AH92" s="43">
        <v>2.5329106000000001E-2</v>
      </c>
      <c r="AI92" s="43">
        <v>0.78192556899999999</v>
      </c>
      <c r="AJ92" s="43">
        <v>3.0588615780000001</v>
      </c>
      <c r="AK92" s="43">
        <v>8.5973178019999992</v>
      </c>
      <c r="AL92" s="43">
        <v>3.4681852999999999E-2</v>
      </c>
      <c r="AM92" s="230">
        <v>0.12390880249078762</v>
      </c>
      <c r="AN92" s="43">
        <v>0.78418428699999998</v>
      </c>
    </row>
    <row r="93" spans="1:40" x14ac:dyDescent="0.25">
      <c r="A93" s="134">
        <v>83</v>
      </c>
      <c r="B93" s="134" t="s">
        <v>213</v>
      </c>
      <c r="C93" s="134" t="s">
        <v>210</v>
      </c>
      <c r="D93" s="134" t="s">
        <v>211</v>
      </c>
      <c r="E93" s="134">
        <v>31</v>
      </c>
      <c r="F93" s="134">
        <v>79</v>
      </c>
      <c r="G93" s="134">
        <v>30</v>
      </c>
      <c r="H93" s="134">
        <v>414</v>
      </c>
      <c r="I93" s="200">
        <v>5.5385574189699999E-2</v>
      </c>
      <c r="J93" s="134">
        <v>493</v>
      </c>
      <c r="K93" s="134">
        <v>8901.2347928700001</v>
      </c>
      <c r="L93" s="42">
        <v>0.79362519993799996</v>
      </c>
      <c r="M93" s="42">
        <v>0.93033707865199999</v>
      </c>
      <c r="N93" s="134">
        <v>0</v>
      </c>
      <c r="O93" s="43" t="s">
        <v>664</v>
      </c>
      <c r="P93" s="43">
        <f t="shared" si="19"/>
        <v>14.978829236714326</v>
      </c>
      <c r="Q93" s="43">
        <f t="shared" si="20"/>
        <v>9.8666218999999999E-2</v>
      </c>
      <c r="R93" s="43">
        <f t="shared" si="21"/>
        <v>2.8223518E-2</v>
      </c>
      <c r="S93" s="43">
        <f t="shared" si="22"/>
        <v>0.79362520000000003</v>
      </c>
      <c r="T93" s="43">
        <f t="shared" si="23"/>
        <v>3.1610013779999999</v>
      </c>
      <c r="U93" s="43">
        <f t="shared" si="24"/>
        <v>9.0659099740000002</v>
      </c>
      <c r="V93" s="43">
        <f t="shared" si="25"/>
        <v>3.6194482E-2</v>
      </c>
      <c r="W93" s="230">
        <f t="shared" si="26"/>
        <v>8.344484802141082E-2</v>
      </c>
      <c r="X93" s="43">
        <f t="shared" si="27"/>
        <v>0.82489007800000003</v>
      </c>
      <c r="Y93" s="43">
        <v>114.17612459999999</v>
      </c>
      <c r="Z93" s="43">
        <f t="shared" si="16"/>
        <v>1</v>
      </c>
      <c r="AA93" s="43">
        <f t="shared" si="17"/>
        <v>127833</v>
      </c>
      <c r="AB93" s="43">
        <f t="shared" si="18"/>
        <v>52297</v>
      </c>
      <c r="AC93" s="43">
        <f t="shared" si="28"/>
        <v>6.9618232924242435E-2</v>
      </c>
      <c r="AD93" s="43">
        <f t="shared" si="29"/>
        <v>0.78767596906060611</v>
      </c>
      <c r="AF93" s="43">
        <v>14.978829236714326</v>
      </c>
      <c r="AG93" s="43">
        <v>9.8666218999999999E-2</v>
      </c>
      <c r="AH93" s="43">
        <v>2.8223518E-2</v>
      </c>
      <c r="AI93" s="43">
        <v>0.79362520000000003</v>
      </c>
      <c r="AJ93" s="43">
        <v>3.1610013779999999</v>
      </c>
      <c r="AK93" s="43">
        <v>9.0659099740000002</v>
      </c>
      <c r="AL93" s="43">
        <v>3.6194482E-2</v>
      </c>
      <c r="AM93" s="230">
        <v>8.344484802141082E-2</v>
      </c>
      <c r="AN93" s="43">
        <v>0.82489007800000003</v>
      </c>
    </row>
    <row r="94" spans="1:40" x14ac:dyDescent="0.25">
      <c r="A94" s="134">
        <v>84</v>
      </c>
      <c r="B94" s="134" t="s">
        <v>213</v>
      </c>
      <c r="C94" s="134" t="s">
        <v>210</v>
      </c>
      <c r="D94" s="134" t="s">
        <v>211</v>
      </c>
      <c r="E94" s="134">
        <v>0</v>
      </c>
      <c r="F94" s="134">
        <v>0</v>
      </c>
      <c r="G94" s="134">
        <v>7</v>
      </c>
      <c r="H94" s="134">
        <v>378</v>
      </c>
      <c r="I94" s="200">
        <v>1.46351842915E-2</v>
      </c>
      <c r="J94" s="134">
        <v>378</v>
      </c>
      <c r="K94" s="134">
        <v>25828.168096199999</v>
      </c>
      <c r="L94" s="42">
        <v>0.78979070333400003</v>
      </c>
      <c r="M94" s="42">
        <v>1</v>
      </c>
      <c r="N94" s="134">
        <v>0</v>
      </c>
      <c r="O94" s="43" t="s">
        <v>627</v>
      </c>
      <c r="P94" s="43">
        <f t="shared" si="19"/>
        <v>15.356160723274416</v>
      </c>
      <c r="Q94" s="43">
        <f t="shared" si="20"/>
        <v>0.11221302800000001</v>
      </c>
      <c r="R94" s="43">
        <f t="shared" si="21"/>
        <v>2.3018576999999998E-2</v>
      </c>
      <c r="S94" s="43">
        <f t="shared" si="22"/>
        <v>0.78979070299999998</v>
      </c>
      <c r="T94" s="43">
        <f t="shared" si="23"/>
        <v>3.3149536830000002</v>
      </c>
      <c r="U94" s="43">
        <f t="shared" si="24"/>
        <v>8.5027889450000007</v>
      </c>
      <c r="V94" s="43">
        <f t="shared" si="25"/>
        <v>3.2122905E-2</v>
      </c>
      <c r="W94" s="230">
        <f t="shared" si="26"/>
        <v>0.11033519553072625</v>
      </c>
      <c r="X94" s="43">
        <f t="shared" si="27"/>
        <v>0.78424581000000004</v>
      </c>
      <c r="Y94" s="43">
        <v>108.3491568</v>
      </c>
      <c r="Z94" s="43">
        <f t="shared" si="16"/>
        <v>1</v>
      </c>
      <c r="AA94" s="43">
        <f t="shared" si="17"/>
        <v>127833</v>
      </c>
      <c r="AB94" s="43">
        <f t="shared" si="18"/>
        <v>52297</v>
      </c>
      <c r="AC94" s="43">
        <f t="shared" si="28"/>
        <v>6.9618232924242435E-2</v>
      </c>
      <c r="AD94" s="43">
        <f t="shared" si="29"/>
        <v>0.78767596906060611</v>
      </c>
      <c r="AF94" s="43">
        <v>15.356160723274416</v>
      </c>
      <c r="AG94" s="43">
        <v>0.11221302800000001</v>
      </c>
      <c r="AH94" s="43">
        <v>2.3018576999999998E-2</v>
      </c>
      <c r="AI94" s="43">
        <v>0.78979070299999998</v>
      </c>
      <c r="AJ94" s="43">
        <v>3.3149536830000002</v>
      </c>
      <c r="AK94" s="43">
        <v>8.5027889450000007</v>
      </c>
      <c r="AL94" s="43">
        <v>3.2122905E-2</v>
      </c>
      <c r="AM94" s="230">
        <v>0.11033519553072625</v>
      </c>
      <c r="AN94" s="43">
        <v>0.78424581000000004</v>
      </c>
    </row>
    <row r="95" spans="1:40" x14ac:dyDescent="0.25">
      <c r="A95" s="134">
        <v>85</v>
      </c>
      <c r="B95" s="134" t="s">
        <v>213</v>
      </c>
      <c r="C95" s="134" t="s">
        <v>210</v>
      </c>
      <c r="D95" s="134" t="s">
        <v>211</v>
      </c>
      <c r="E95" s="134">
        <v>568</v>
      </c>
      <c r="F95" s="134">
        <v>1286</v>
      </c>
      <c r="G95" s="134">
        <v>78</v>
      </c>
      <c r="H95" s="134">
        <v>185</v>
      </c>
      <c r="I95" s="200">
        <v>0.123768331276</v>
      </c>
      <c r="J95" s="134">
        <v>1471</v>
      </c>
      <c r="K95" s="134">
        <v>11885.108127699999</v>
      </c>
      <c r="L95" s="42">
        <v>0.78120866190600002</v>
      </c>
      <c r="M95" s="42">
        <v>0.24568393094300001</v>
      </c>
      <c r="N95" s="134">
        <v>0</v>
      </c>
      <c r="O95" s="43" t="s">
        <v>664</v>
      </c>
      <c r="P95" s="43">
        <f t="shared" si="19"/>
        <v>11.237522734408945</v>
      </c>
      <c r="Q95" s="43">
        <f t="shared" si="20"/>
        <v>7.6800240000000006E-2</v>
      </c>
      <c r="R95" s="43">
        <f t="shared" si="21"/>
        <v>3.4780639000000002E-2</v>
      </c>
      <c r="S95" s="43">
        <f t="shared" si="22"/>
        <v>0.78120866200000005</v>
      </c>
      <c r="T95" s="43">
        <f t="shared" si="23"/>
        <v>2.1394443280000002</v>
      </c>
      <c r="U95" s="43">
        <f t="shared" si="24"/>
        <v>6.6753194599999999</v>
      </c>
      <c r="V95" s="43">
        <f t="shared" si="25"/>
        <v>2.3104395999999999E-2</v>
      </c>
      <c r="W95" s="230">
        <f t="shared" si="26"/>
        <v>0.17063742853363512</v>
      </c>
      <c r="X95" s="43">
        <f t="shared" si="27"/>
        <v>0.74568997199999998</v>
      </c>
      <c r="Y95" s="43">
        <v>268.55800260000001</v>
      </c>
      <c r="Z95" s="43">
        <f t="shared" si="16"/>
        <v>1</v>
      </c>
      <c r="AA95" s="43">
        <f t="shared" si="17"/>
        <v>127833</v>
      </c>
      <c r="AB95" s="43">
        <f t="shared" si="18"/>
        <v>52297</v>
      </c>
      <c r="AC95" s="43">
        <f t="shared" si="28"/>
        <v>6.9618232924242435E-2</v>
      </c>
      <c r="AD95" s="43">
        <f t="shared" si="29"/>
        <v>0.78767596906060611</v>
      </c>
      <c r="AF95" s="43">
        <v>11.237522734408945</v>
      </c>
      <c r="AG95" s="43">
        <v>7.6800240000000006E-2</v>
      </c>
      <c r="AH95" s="43">
        <v>3.4780639000000002E-2</v>
      </c>
      <c r="AI95" s="43">
        <v>0.78120866200000005</v>
      </c>
      <c r="AJ95" s="43">
        <v>2.1394443280000002</v>
      </c>
      <c r="AK95" s="43">
        <v>6.6753194599999999</v>
      </c>
      <c r="AL95" s="43">
        <v>2.3104395999999999E-2</v>
      </c>
      <c r="AM95" s="230">
        <v>0.17063742853363512</v>
      </c>
      <c r="AN95" s="43">
        <v>0.74568997199999998</v>
      </c>
    </row>
    <row r="96" spans="1:40" x14ac:dyDescent="0.25">
      <c r="A96" s="134">
        <v>86</v>
      </c>
      <c r="B96" s="134" t="s">
        <v>213</v>
      </c>
      <c r="C96" s="134" t="s">
        <v>210</v>
      </c>
      <c r="D96" s="134" t="s">
        <v>211</v>
      </c>
      <c r="E96" s="134">
        <v>445</v>
      </c>
      <c r="F96" s="134">
        <v>1007</v>
      </c>
      <c r="G96" s="134">
        <v>36</v>
      </c>
      <c r="H96" s="134">
        <v>93</v>
      </c>
      <c r="I96" s="200">
        <v>5.6473333984999999E-2</v>
      </c>
      <c r="J96" s="134">
        <v>1100</v>
      </c>
      <c r="K96" s="134">
        <v>19478.219583999999</v>
      </c>
      <c r="L96" s="42">
        <v>0.75727611092299996</v>
      </c>
      <c r="M96" s="42">
        <v>0.172862453532</v>
      </c>
      <c r="N96" s="134">
        <v>0</v>
      </c>
      <c r="O96" s="43" t="s">
        <v>664</v>
      </c>
      <c r="P96" s="43">
        <f t="shared" si="19"/>
        <v>10.666249583477923</v>
      </c>
      <c r="Q96" s="43">
        <f t="shared" si="20"/>
        <v>9.1020195999999998E-2</v>
      </c>
      <c r="R96" s="43">
        <f t="shared" si="21"/>
        <v>3.3967810000000001E-2</v>
      </c>
      <c r="S96" s="43">
        <f t="shared" si="22"/>
        <v>0.75727611100000003</v>
      </c>
      <c r="T96" s="43">
        <f t="shared" si="23"/>
        <v>2.0808501150000001</v>
      </c>
      <c r="U96" s="43">
        <f t="shared" si="24"/>
        <v>6.3003622229999996</v>
      </c>
      <c r="V96" s="43">
        <f t="shared" si="25"/>
        <v>2.1546902999999999E-2</v>
      </c>
      <c r="W96" s="230">
        <f t="shared" si="26"/>
        <v>0.20555027962435371</v>
      </c>
      <c r="X96" s="43">
        <f t="shared" si="27"/>
        <v>0.70144560499999997</v>
      </c>
      <c r="Y96" s="43">
        <v>292.11404909999999</v>
      </c>
      <c r="Z96" s="43">
        <f t="shared" si="16"/>
        <v>1</v>
      </c>
      <c r="AA96" s="43">
        <f t="shared" si="17"/>
        <v>127833</v>
      </c>
      <c r="AB96" s="43">
        <f t="shared" si="18"/>
        <v>52297</v>
      </c>
      <c r="AC96" s="43">
        <f t="shared" si="28"/>
        <v>6.9618232924242435E-2</v>
      </c>
      <c r="AD96" s="43">
        <f t="shared" si="29"/>
        <v>0.78767596906060611</v>
      </c>
      <c r="AF96" s="43">
        <v>10.666249583477923</v>
      </c>
      <c r="AG96" s="43">
        <v>9.1020195999999998E-2</v>
      </c>
      <c r="AH96" s="43">
        <v>3.3967810000000001E-2</v>
      </c>
      <c r="AI96" s="43">
        <v>0.75727611100000003</v>
      </c>
      <c r="AJ96" s="43">
        <v>2.0808501150000001</v>
      </c>
      <c r="AK96" s="43">
        <v>6.3003622229999996</v>
      </c>
      <c r="AL96" s="43">
        <v>2.1546902999999999E-2</v>
      </c>
      <c r="AM96" s="230">
        <v>0.20555027962435371</v>
      </c>
      <c r="AN96" s="43">
        <v>0.70144560499999997</v>
      </c>
    </row>
    <row r="97" spans="1:40" x14ac:dyDescent="0.25">
      <c r="A97" s="134">
        <v>87</v>
      </c>
      <c r="B97" s="134" t="s">
        <v>213</v>
      </c>
      <c r="C97" s="134" t="s">
        <v>210</v>
      </c>
      <c r="D97" s="134" t="s">
        <v>211</v>
      </c>
      <c r="E97" s="134">
        <v>688</v>
      </c>
      <c r="F97" s="134">
        <v>1557</v>
      </c>
      <c r="G97" s="134">
        <v>62</v>
      </c>
      <c r="H97" s="134">
        <v>111</v>
      </c>
      <c r="I97" s="200">
        <v>9.8789267924100005E-2</v>
      </c>
      <c r="J97" s="134">
        <v>1668</v>
      </c>
      <c r="K97" s="134">
        <v>16884.4251511</v>
      </c>
      <c r="L97" s="42">
        <v>0.77367383997200001</v>
      </c>
      <c r="M97" s="42">
        <v>0.13892365456799999</v>
      </c>
      <c r="N97" s="134">
        <v>0</v>
      </c>
      <c r="O97" s="43" t="s">
        <v>664</v>
      </c>
      <c r="P97" s="43">
        <f t="shared" si="19"/>
        <v>10.720857683089987</v>
      </c>
      <c r="Q97" s="43">
        <f t="shared" si="20"/>
        <v>7.3944932000000005E-2</v>
      </c>
      <c r="R97" s="43">
        <f t="shared" si="21"/>
        <v>3.6194928000000001E-2</v>
      </c>
      <c r="S97" s="43">
        <f t="shared" si="22"/>
        <v>0.77367383999999995</v>
      </c>
      <c r="T97" s="43">
        <f t="shared" si="23"/>
        <v>1.971584845</v>
      </c>
      <c r="U97" s="43">
        <f t="shared" si="24"/>
        <v>6.3436883560000004</v>
      </c>
      <c r="V97" s="43">
        <f t="shared" si="25"/>
        <v>2.1394499000000001E-2</v>
      </c>
      <c r="W97" s="230">
        <f t="shared" si="26"/>
        <v>0.18258162186866236</v>
      </c>
      <c r="X97" s="43">
        <f t="shared" si="27"/>
        <v>0.73668199599999995</v>
      </c>
      <c r="Y97" s="43">
        <v>187.4012515</v>
      </c>
      <c r="Z97" s="43">
        <f t="shared" si="16"/>
        <v>1</v>
      </c>
      <c r="AA97" s="43">
        <f t="shared" si="17"/>
        <v>127833</v>
      </c>
      <c r="AB97" s="43">
        <f t="shared" si="18"/>
        <v>52297</v>
      </c>
      <c r="AC97" s="43">
        <f t="shared" si="28"/>
        <v>6.9618232924242435E-2</v>
      </c>
      <c r="AD97" s="43">
        <f t="shared" si="29"/>
        <v>0.78767596906060611</v>
      </c>
      <c r="AF97" s="43">
        <v>10.720857683089987</v>
      </c>
      <c r="AG97" s="43">
        <v>7.3944932000000005E-2</v>
      </c>
      <c r="AH97" s="43">
        <v>3.6194928000000001E-2</v>
      </c>
      <c r="AI97" s="43">
        <v>0.77367383999999995</v>
      </c>
      <c r="AJ97" s="43">
        <v>1.971584845</v>
      </c>
      <c r="AK97" s="43">
        <v>6.3436883560000004</v>
      </c>
      <c r="AL97" s="43">
        <v>2.1394499000000001E-2</v>
      </c>
      <c r="AM97" s="230">
        <v>0.18258162186866236</v>
      </c>
      <c r="AN97" s="43">
        <v>0.73668199599999995</v>
      </c>
    </row>
    <row r="98" spans="1:40" x14ac:dyDescent="0.25">
      <c r="A98" s="134">
        <v>88</v>
      </c>
      <c r="B98" s="134" t="s">
        <v>213</v>
      </c>
      <c r="C98" s="134" t="s">
        <v>210</v>
      </c>
      <c r="D98" s="134" t="s">
        <v>211</v>
      </c>
      <c r="E98" s="134">
        <v>840</v>
      </c>
      <c r="F98" s="134">
        <v>1986</v>
      </c>
      <c r="G98" s="134">
        <v>65</v>
      </c>
      <c r="H98" s="134">
        <v>294</v>
      </c>
      <c r="I98" s="200">
        <v>0.117907200229</v>
      </c>
      <c r="J98" s="134">
        <v>2280</v>
      </c>
      <c r="K98" s="134">
        <v>19337.2414541</v>
      </c>
      <c r="L98" s="42">
        <v>0.74055236827199999</v>
      </c>
      <c r="M98" s="42">
        <v>0.25925925925900001</v>
      </c>
      <c r="N98" s="134">
        <v>0</v>
      </c>
      <c r="O98" s="43" t="s">
        <v>664</v>
      </c>
      <c r="P98" s="43">
        <f t="shared" si="19"/>
        <v>11.212159818866951</v>
      </c>
      <c r="Q98" s="43">
        <f t="shared" si="20"/>
        <v>8.5263652999999995E-2</v>
      </c>
      <c r="R98" s="43">
        <f t="shared" si="21"/>
        <v>3.9014313000000002E-2</v>
      </c>
      <c r="S98" s="43">
        <f t="shared" si="22"/>
        <v>0.74055236800000002</v>
      </c>
      <c r="T98" s="43">
        <f t="shared" si="23"/>
        <v>1.8744476130000001</v>
      </c>
      <c r="U98" s="43">
        <f t="shared" si="24"/>
        <v>6.5239543810000002</v>
      </c>
      <c r="V98" s="43">
        <f t="shared" si="25"/>
        <v>3.1941398000000003E-2</v>
      </c>
      <c r="W98" s="230">
        <f t="shared" si="26"/>
        <v>0.18592859022721289</v>
      </c>
      <c r="X98" s="43">
        <f t="shared" si="27"/>
        <v>0.69955259199999997</v>
      </c>
      <c r="Y98" s="43">
        <v>162.80815279999999</v>
      </c>
      <c r="Z98" s="43">
        <f t="shared" si="16"/>
        <v>1</v>
      </c>
      <c r="AA98" s="43">
        <f t="shared" si="17"/>
        <v>127833</v>
      </c>
      <c r="AB98" s="43">
        <f t="shared" si="18"/>
        <v>52297</v>
      </c>
      <c r="AC98" s="43">
        <f t="shared" si="28"/>
        <v>6.9618232924242435E-2</v>
      </c>
      <c r="AD98" s="43">
        <f t="shared" si="29"/>
        <v>0.78767596906060611</v>
      </c>
      <c r="AF98" s="43">
        <v>11.212159818866951</v>
      </c>
      <c r="AG98" s="43">
        <v>8.5263652999999995E-2</v>
      </c>
      <c r="AH98" s="43">
        <v>3.9014313000000002E-2</v>
      </c>
      <c r="AI98" s="43">
        <v>0.74055236800000002</v>
      </c>
      <c r="AJ98" s="43">
        <v>1.8744476130000001</v>
      </c>
      <c r="AK98" s="43">
        <v>6.5239543810000002</v>
      </c>
      <c r="AL98" s="43">
        <v>3.1941398000000003E-2</v>
      </c>
      <c r="AM98" s="230">
        <v>0.18592859022721289</v>
      </c>
      <c r="AN98" s="43">
        <v>0.69955259199999997</v>
      </c>
    </row>
    <row r="99" spans="1:40" x14ac:dyDescent="0.25">
      <c r="A99" s="134">
        <v>89</v>
      </c>
      <c r="B99" s="134" t="s">
        <v>213</v>
      </c>
      <c r="C99" s="134" t="s">
        <v>210</v>
      </c>
      <c r="D99" s="134" t="s">
        <v>211</v>
      </c>
      <c r="E99" s="134">
        <v>701</v>
      </c>
      <c r="F99" s="134">
        <v>1658</v>
      </c>
      <c r="G99" s="134">
        <v>58</v>
      </c>
      <c r="H99" s="134">
        <v>177</v>
      </c>
      <c r="I99" s="200">
        <v>0.105393298658</v>
      </c>
      <c r="J99" s="134">
        <v>1835</v>
      </c>
      <c r="K99" s="134">
        <v>17410.9741641</v>
      </c>
      <c r="L99" s="42">
        <v>0.74217353564699995</v>
      </c>
      <c r="M99" s="42">
        <v>0.20159453302999999</v>
      </c>
      <c r="N99" s="134">
        <v>1</v>
      </c>
      <c r="O99" s="43" t="s">
        <v>664</v>
      </c>
      <c r="P99" s="43">
        <f t="shared" si="19"/>
        <v>11.12611775165267</v>
      </c>
      <c r="Q99" s="43">
        <f t="shared" si="20"/>
        <v>9.8820170999999998E-2</v>
      </c>
      <c r="R99" s="43">
        <f t="shared" si="21"/>
        <v>3.7696474000000001E-2</v>
      </c>
      <c r="S99" s="43">
        <f t="shared" si="22"/>
        <v>0.74217353600000002</v>
      </c>
      <c r="T99" s="43">
        <f t="shared" si="23"/>
        <v>1.938897348</v>
      </c>
      <c r="U99" s="43">
        <f t="shared" si="24"/>
        <v>6.4085484690000003</v>
      </c>
      <c r="V99" s="43">
        <f t="shared" si="25"/>
        <v>2.6228020000000001E-2</v>
      </c>
      <c r="W99" s="230">
        <f t="shared" si="26"/>
        <v>0.22306296086216676</v>
      </c>
      <c r="X99" s="43">
        <f t="shared" si="27"/>
        <v>0.68499149199999998</v>
      </c>
      <c r="Y99" s="43">
        <v>148.5343268</v>
      </c>
      <c r="Z99" s="43">
        <f t="shared" si="16"/>
        <v>1</v>
      </c>
      <c r="AA99" s="43">
        <f t="shared" si="17"/>
        <v>127833</v>
      </c>
      <c r="AB99" s="43">
        <f t="shared" si="18"/>
        <v>52297</v>
      </c>
      <c r="AC99" s="43">
        <f t="shared" si="28"/>
        <v>6.9618232924242435E-2</v>
      </c>
      <c r="AD99" s="43">
        <f t="shared" si="29"/>
        <v>0.78767596906060611</v>
      </c>
      <c r="AF99" s="43">
        <v>11.12611775165267</v>
      </c>
      <c r="AG99" s="43">
        <v>9.8820170999999998E-2</v>
      </c>
      <c r="AH99" s="43">
        <v>3.7696474000000001E-2</v>
      </c>
      <c r="AI99" s="43">
        <v>0.74217353600000002</v>
      </c>
      <c r="AJ99" s="43">
        <v>1.938897348</v>
      </c>
      <c r="AK99" s="43">
        <v>6.4085484690000003</v>
      </c>
      <c r="AL99" s="43">
        <v>2.6228020000000001E-2</v>
      </c>
      <c r="AM99" s="230">
        <v>0.22306296086216676</v>
      </c>
      <c r="AN99" s="43">
        <v>0.68499149199999998</v>
      </c>
    </row>
    <row r="100" spans="1:40" x14ac:dyDescent="0.25">
      <c r="A100" s="134">
        <v>90</v>
      </c>
      <c r="B100" s="134" t="s">
        <v>213</v>
      </c>
      <c r="C100" s="134" t="s">
        <v>210</v>
      </c>
      <c r="D100" s="134" t="s">
        <v>211</v>
      </c>
      <c r="E100" s="134">
        <v>182</v>
      </c>
      <c r="F100" s="134">
        <v>432</v>
      </c>
      <c r="G100" s="134">
        <v>35</v>
      </c>
      <c r="H100" s="134">
        <v>78</v>
      </c>
      <c r="I100" s="200">
        <v>1.9814234614599999E-2</v>
      </c>
      <c r="J100" s="134">
        <v>510</v>
      </c>
      <c r="K100" s="134">
        <v>25739.071426099999</v>
      </c>
      <c r="L100" s="42">
        <v>0.77742676334600003</v>
      </c>
      <c r="M100" s="42">
        <v>0.3</v>
      </c>
      <c r="N100" s="134">
        <v>1</v>
      </c>
      <c r="O100" s="43" t="s">
        <v>664</v>
      </c>
      <c r="P100" s="43">
        <f t="shared" si="19"/>
        <v>11.169594909221285</v>
      </c>
      <c r="Q100" s="43">
        <f t="shared" si="20"/>
        <v>8.8656215999999996E-2</v>
      </c>
      <c r="R100" s="43">
        <f t="shared" si="21"/>
        <v>3.2313385999999999E-2</v>
      </c>
      <c r="S100" s="43">
        <f t="shared" si="22"/>
        <v>0.77742676300000002</v>
      </c>
      <c r="T100" s="43">
        <f t="shared" si="23"/>
        <v>2.1653150339999998</v>
      </c>
      <c r="U100" s="43">
        <f t="shared" si="24"/>
        <v>6.4435513230000003</v>
      </c>
      <c r="V100" s="43">
        <f t="shared" si="25"/>
        <v>2.2042066999999999E-2</v>
      </c>
      <c r="W100" s="230">
        <f t="shared" si="26"/>
        <v>0.18937497665035302</v>
      </c>
      <c r="X100" s="43">
        <f t="shared" si="27"/>
        <v>0.71266858399999999</v>
      </c>
      <c r="Y100" s="43">
        <v>176.58301270000001</v>
      </c>
      <c r="Z100" s="43">
        <f t="shared" si="16"/>
        <v>1</v>
      </c>
      <c r="AA100" s="43">
        <f t="shared" si="17"/>
        <v>127833</v>
      </c>
      <c r="AB100" s="43">
        <f t="shared" si="18"/>
        <v>52297</v>
      </c>
      <c r="AC100" s="43">
        <f t="shared" si="28"/>
        <v>6.9618232924242435E-2</v>
      </c>
      <c r="AD100" s="43">
        <f t="shared" si="29"/>
        <v>0.78767596906060611</v>
      </c>
      <c r="AF100" s="43">
        <v>11.169594909221285</v>
      </c>
      <c r="AG100" s="43">
        <v>8.8656215999999996E-2</v>
      </c>
      <c r="AH100" s="43">
        <v>3.2313385999999999E-2</v>
      </c>
      <c r="AI100" s="43">
        <v>0.77742676300000002</v>
      </c>
      <c r="AJ100" s="43">
        <v>2.1653150339999998</v>
      </c>
      <c r="AK100" s="43">
        <v>6.4435513230000003</v>
      </c>
      <c r="AL100" s="43">
        <v>2.2042066999999999E-2</v>
      </c>
      <c r="AM100" s="230">
        <v>0.18937497665035302</v>
      </c>
      <c r="AN100" s="43">
        <v>0.71266858399999999</v>
      </c>
    </row>
    <row r="101" spans="1:40" x14ac:dyDescent="0.25">
      <c r="A101" s="134">
        <v>91</v>
      </c>
      <c r="B101" s="134" t="s">
        <v>213</v>
      </c>
      <c r="C101" s="134" t="s">
        <v>210</v>
      </c>
      <c r="D101" s="134" t="s">
        <v>211</v>
      </c>
      <c r="E101" s="134">
        <v>145</v>
      </c>
      <c r="F101" s="134">
        <v>307</v>
      </c>
      <c r="G101" s="134">
        <v>20</v>
      </c>
      <c r="H101" s="134">
        <v>219</v>
      </c>
      <c r="I101" s="200">
        <v>1.6500826639200002E-2</v>
      </c>
      <c r="J101" s="134">
        <v>526</v>
      </c>
      <c r="K101" s="134">
        <v>31877.190852399999</v>
      </c>
      <c r="L101" s="42">
        <v>0.75726797280799996</v>
      </c>
      <c r="M101" s="42">
        <v>0.60164835164800001</v>
      </c>
      <c r="N101" s="134">
        <v>1</v>
      </c>
      <c r="O101" s="43" t="s">
        <v>627</v>
      </c>
      <c r="P101" s="43">
        <f t="shared" si="19"/>
        <v>11.879312985192428</v>
      </c>
      <c r="Q101" s="43">
        <f t="shared" si="20"/>
        <v>7.9517815000000006E-2</v>
      </c>
      <c r="R101" s="43">
        <f t="shared" si="21"/>
        <v>3.4676004000000003E-2</v>
      </c>
      <c r="S101" s="43">
        <f t="shared" si="22"/>
        <v>0.75726797300000004</v>
      </c>
      <c r="T101" s="43">
        <f t="shared" si="23"/>
        <v>1.938941131</v>
      </c>
      <c r="U101" s="43">
        <f t="shared" si="24"/>
        <v>6.3140591930000003</v>
      </c>
      <c r="V101" s="43">
        <f t="shared" si="25"/>
        <v>3.2837031000000003E-2</v>
      </c>
      <c r="W101" s="230">
        <f t="shared" si="26"/>
        <v>0.16248986511387931</v>
      </c>
      <c r="X101" s="43">
        <f t="shared" si="27"/>
        <v>0.70284513900000001</v>
      </c>
      <c r="Y101" s="43">
        <v>162.85559610000001</v>
      </c>
      <c r="Z101" s="43">
        <f t="shared" si="16"/>
        <v>1</v>
      </c>
      <c r="AA101" s="43">
        <f t="shared" si="17"/>
        <v>127833</v>
      </c>
      <c r="AB101" s="43">
        <f t="shared" si="18"/>
        <v>52297</v>
      </c>
      <c r="AC101" s="43">
        <f t="shared" si="28"/>
        <v>6.9618232924242435E-2</v>
      </c>
      <c r="AD101" s="43">
        <f t="shared" si="29"/>
        <v>0.78767596906060611</v>
      </c>
      <c r="AF101" s="43">
        <v>11.879312985192428</v>
      </c>
      <c r="AG101" s="43">
        <v>7.9517815000000006E-2</v>
      </c>
      <c r="AH101" s="43">
        <v>3.4676004000000003E-2</v>
      </c>
      <c r="AI101" s="43">
        <v>0.75726797300000004</v>
      </c>
      <c r="AJ101" s="43">
        <v>1.938941131</v>
      </c>
      <c r="AK101" s="43">
        <v>6.3140591930000003</v>
      </c>
      <c r="AL101" s="43">
        <v>3.2837031000000003E-2</v>
      </c>
      <c r="AM101" s="230">
        <v>0.16248986511387931</v>
      </c>
      <c r="AN101" s="43">
        <v>0.70284513900000001</v>
      </c>
    </row>
    <row r="102" spans="1:40" x14ac:dyDescent="0.25">
      <c r="A102" s="134">
        <v>92</v>
      </c>
      <c r="B102" s="134" t="s">
        <v>213</v>
      </c>
      <c r="C102" s="134" t="s">
        <v>210</v>
      </c>
      <c r="D102" s="134" t="s">
        <v>211</v>
      </c>
      <c r="E102" s="134">
        <v>371</v>
      </c>
      <c r="F102" s="134">
        <v>786</v>
      </c>
      <c r="G102" s="134">
        <v>44</v>
      </c>
      <c r="H102" s="134">
        <v>727</v>
      </c>
      <c r="I102" s="200">
        <v>5.7419879668699998E-2</v>
      </c>
      <c r="J102" s="134">
        <v>1513</v>
      </c>
      <c r="K102" s="134">
        <v>26349.759155399999</v>
      </c>
      <c r="L102" s="42">
        <v>0.73838125816400002</v>
      </c>
      <c r="M102" s="42">
        <v>0.66211293260500004</v>
      </c>
      <c r="N102" s="134">
        <v>1</v>
      </c>
      <c r="O102" s="43" t="s">
        <v>627</v>
      </c>
      <c r="P102" s="43">
        <f t="shared" si="19"/>
        <v>12.365558770180936</v>
      </c>
      <c r="Q102" s="43">
        <f t="shared" si="20"/>
        <v>8.8780506999999995E-2</v>
      </c>
      <c r="R102" s="43">
        <f t="shared" si="21"/>
        <v>3.5588126999999997E-2</v>
      </c>
      <c r="S102" s="43">
        <f t="shared" si="22"/>
        <v>0.73838125799999998</v>
      </c>
      <c r="T102" s="43">
        <f t="shared" si="23"/>
        <v>1.8517614069999999</v>
      </c>
      <c r="U102" s="43">
        <f t="shared" si="24"/>
        <v>6.8309515620000001</v>
      </c>
      <c r="V102" s="43">
        <f t="shared" si="25"/>
        <v>3.7279217000000003E-2</v>
      </c>
      <c r="W102" s="230">
        <f t="shared" si="26"/>
        <v>0.17777550733707106</v>
      </c>
      <c r="X102" s="43">
        <f t="shared" si="27"/>
        <v>0.69506136600000001</v>
      </c>
      <c r="Y102" s="43">
        <v>162.9936376</v>
      </c>
      <c r="Z102" s="43">
        <f t="shared" si="16"/>
        <v>1</v>
      </c>
      <c r="AA102" s="43">
        <f t="shared" si="17"/>
        <v>127833</v>
      </c>
      <c r="AB102" s="43">
        <f t="shared" si="18"/>
        <v>52297</v>
      </c>
      <c r="AC102" s="43">
        <f t="shared" si="28"/>
        <v>6.9618232924242435E-2</v>
      </c>
      <c r="AD102" s="43">
        <f t="shared" si="29"/>
        <v>0.78767596906060611</v>
      </c>
      <c r="AF102" s="43">
        <v>12.365558770180936</v>
      </c>
      <c r="AG102" s="43">
        <v>8.8780506999999995E-2</v>
      </c>
      <c r="AH102" s="43">
        <v>3.5588126999999997E-2</v>
      </c>
      <c r="AI102" s="43">
        <v>0.73838125799999998</v>
      </c>
      <c r="AJ102" s="43">
        <v>1.8517614069999999</v>
      </c>
      <c r="AK102" s="43">
        <v>6.8309515620000001</v>
      </c>
      <c r="AL102" s="43">
        <v>3.7279217000000003E-2</v>
      </c>
      <c r="AM102" s="230">
        <v>0.17777550733707106</v>
      </c>
      <c r="AN102" s="43">
        <v>0.69506136600000001</v>
      </c>
    </row>
    <row r="103" spans="1:40" x14ac:dyDescent="0.25">
      <c r="A103" s="134">
        <v>93</v>
      </c>
      <c r="B103" s="134" t="s">
        <v>213</v>
      </c>
      <c r="C103" s="134" t="s">
        <v>210</v>
      </c>
      <c r="D103" s="134" t="s">
        <v>211</v>
      </c>
      <c r="E103" s="134">
        <v>382</v>
      </c>
      <c r="F103" s="134">
        <v>810</v>
      </c>
      <c r="G103" s="134">
        <v>40</v>
      </c>
      <c r="H103" s="134">
        <v>668</v>
      </c>
      <c r="I103" s="200">
        <v>6.5225076401900006E-2</v>
      </c>
      <c r="J103" s="134">
        <v>1478</v>
      </c>
      <c r="K103" s="134">
        <v>22659.996454299999</v>
      </c>
      <c r="L103" s="42">
        <v>0.73166628747899998</v>
      </c>
      <c r="M103" s="42">
        <v>0.63619047619000002</v>
      </c>
      <c r="N103" s="134">
        <v>0</v>
      </c>
      <c r="O103" s="43" t="s">
        <v>627</v>
      </c>
      <c r="P103" s="43">
        <f t="shared" si="19"/>
        <v>12.12229250358137</v>
      </c>
      <c r="Q103" s="43">
        <f t="shared" si="20"/>
        <v>7.1821546999999999E-2</v>
      </c>
      <c r="R103" s="43">
        <f t="shared" si="21"/>
        <v>3.6601928999999998E-2</v>
      </c>
      <c r="S103" s="43">
        <f t="shared" si="22"/>
        <v>0.73166628700000003</v>
      </c>
      <c r="T103" s="43">
        <f t="shared" si="23"/>
        <v>1.7367478679999999</v>
      </c>
      <c r="U103" s="43">
        <f t="shared" si="24"/>
        <v>6.3625138000000003</v>
      </c>
      <c r="V103" s="43">
        <f t="shared" si="25"/>
        <v>3.8439053000000001E-2</v>
      </c>
      <c r="W103" s="230">
        <f t="shared" si="26"/>
        <v>0.14658127607557597</v>
      </c>
      <c r="X103" s="43">
        <f t="shared" si="27"/>
        <v>0.69588902799999997</v>
      </c>
      <c r="Y103" s="43">
        <v>158.9682779</v>
      </c>
      <c r="Z103" s="43">
        <f t="shared" si="16"/>
        <v>1</v>
      </c>
      <c r="AA103" s="43">
        <f t="shared" si="17"/>
        <v>127833</v>
      </c>
      <c r="AB103" s="43">
        <f t="shared" si="18"/>
        <v>52297</v>
      </c>
      <c r="AC103" s="43">
        <f t="shared" si="28"/>
        <v>6.9618232924242435E-2</v>
      </c>
      <c r="AD103" s="43">
        <f t="shared" si="29"/>
        <v>0.78767596906060611</v>
      </c>
      <c r="AF103" s="43">
        <v>12.12229250358137</v>
      </c>
      <c r="AG103" s="43">
        <v>7.1821546999999999E-2</v>
      </c>
      <c r="AH103" s="43">
        <v>3.6601928999999998E-2</v>
      </c>
      <c r="AI103" s="43">
        <v>0.73166628700000003</v>
      </c>
      <c r="AJ103" s="43">
        <v>1.7367478679999999</v>
      </c>
      <c r="AK103" s="43">
        <v>6.3625138000000003</v>
      </c>
      <c r="AL103" s="43">
        <v>3.8439053000000001E-2</v>
      </c>
      <c r="AM103" s="230">
        <v>0.14658127607557597</v>
      </c>
      <c r="AN103" s="43">
        <v>0.69588902799999997</v>
      </c>
    </row>
    <row r="104" spans="1:40" x14ac:dyDescent="0.25">
      <c r="A104" s="134">
        <v>94</v>
      </c>
      <c r="B104" s="134" t="s">
        <v>213</v>
      </c>
      <c r="C104" s="134" t="s">
        <v>210</v>
      </c>
      <c r="D104" s="134" t="s">
        <v>211</v>
      </c>
      <c r="E104" s="134">
        <v>752</v>
      </c>
      <c r="F104" s="134">
        <v>1682</v>
      </c>
      <c r="G104" s="134">
        <v>71</v>
      </c>
      <c r="H104" s="134">
        <v>716</v>
      </c>
      <c r="I104" s="200">
        <v>0.113997904696</v>
      </c>
      <c r="J104" s="134">
        <v>2398</v>
      </c>
      <c r="K104" s="134">
        <v>21035.474348299998</v>
      </c>
      <c r="L104" s="42">
        <v>0.76436810757499996</v>
      </c>
      <c r="M104" s="42">
        <v>0.487738419619</v>
      </c>
      <c r="N104" s="134">
        <v>0</v>
      </c>
      <c r="O104" s="43" t="s">
        <v>627</v>
      </c>
      <c r="P104" s="43">
        <f t="shared" si="19"/>
        <v>12.572232806319111</v>
      </c>
      <c r="Q104" s="43">
        <f t="shared" si="20"/>
        <v>8.1118092000000003E-2</v>
      </c>
      <c r="R104" s="43">
        <f t="shared" si="21"/>
        <v>3.3623897E-2</v>
      </c>
      <c r="S104" s="43">
        <f t="shared" si="22"/>
        <v>0.76436810799999999</v>
      </c>
      <c r="T104" s="43">
        <f t="shared" si="23"/>
        <v>2.067700479</v>
      </c>
      <c r="U104" s="43">
        <f t="shared" si="24"/>
        <v>7.6128095990000002</v>
      </c>
      <c r="V104" s="43">
        <f t="shared" si="25"/>
        <v>3.1420007999999999E-2</v>
      </c>
      <c r="W104" s="230">
        <f t="shared" si="26"/>
        <v>0.15977755997784124</v>
      </c>
      <c r="X104" s="43">
        <f t="shared" si="27"/>
        <v>0.73553642699999999</v>
      </c>
      <c r="Y104" s="43">
        <v>181.34002190000001</v>
      </c>
      <c r="Z104" s="43">
        <f t="shared" si="16"/>
        <v>1</v>
      </c>
      <c r="AA104" s="43">
        <f t="shared" si="17"/>
        <v>127833</v>
      </c>
      <c r="AB104" s="43">
        <f t="shared" si="18"/>
        <v>52297</v>
      </c>
      <c r="AC104" s="43">
        <f t="shared" si="28"/>
        <v>6.9618232924242435E-2</v>
      </c>
      <c r="AD104" s="43">
        <f t="shared" si="29"/>
        <v>0.78767596906060611</v>
      </c>
      <c r="AF104" s="43">
        <v>12.572232806319111</v>
      </c>
      <c r="AG104" s="43">
        <v>8.1118092000000003E-2</v>
      </c>
      <c r="AH104" s="43">
        <v>3.3623897E-2</v>
      </c>
      <c r="AI104" s="43">
        <v>0.76436810799999999</v>
      </c>
      <c r="AJ104" s="43">
        <v>2.067700479</v>
      </c>
      <c r="AK104" s="43">
        <v>7.6128095990000002</v>
      </c>
      <c r="AL104" s="43">
        <v>3.1420007999999999E-2</v>
      </c>
      <c r="AM104" s="230">
        <v>0.15977755997784124</v>
      </c>
      <c r="AN104" s="43">
        <v>0.73553642699999999</v>
      </c>
    </row>
    <row r="105" spans="1:40" x14ac:dyDescent="0.25">
      <c r="A105" s="134">
        <v>95</v>
      </c>
      <c r="B105" s="134" t="s">
        <v>213</v>
      </c>
      <c r="C105" s="134" t="s">
        <v>210</v>
      </c>
      <c r="D105" s="134" t="s">
        <v>211</v>
      </c>
      <c r="E105" s="134">
        <v>216</v>
      </c>
      <c r="F105" s="134">
        <v>484</v>
      </c>
      <c r="G105" s="134">
        <v>24</v>
      </c>
      <c r="H105" s="134">
        <v>409</v>
      </c>
      <c r="I105" s="200">
        <v>3.7674157697599998E-2</v>
      </c>
      <c r="J105" s="134">
        <v>893</v>
      </c>
      <c r="K105" s="134">
        <v>23703.250572199999</v>
      </c>
      <c r="L105" s="42">
        <v>0.75102399063799996</v>
      </c>
      <c r="M105" s="42">
        <v>0.65439999999999998</v>
      </c>
      <c r="N105" s="134">
        <v>0</v>
      </c>
      <c r="O105" s="43" t="s">
        <v>627</v>
      </c>
      <c r="P105" s="43">
        <f t="shared" si="19"/>
        <v>12.694731701644523</v>
      </c>
      <c r="Q105" s="43">
        <f t="shared" si="20"/>
        <v>8.0748976E-2</v>
      </c>
      <c r="R105" s="43">
        <f t="shared" si="21"/>
        <v>3.4379697000000001E-2</v>
      </c>
      <c r="S105" s="43">
        <f t="shared" si="22"/>
        <v>0.75102399099999995</v>
      </c>
      <c r="T105" s="43">
        <f t="shared" si="23"/>
        <v>1.926411627</v>
      </c>
      <c r="U105" s="43">
        <f t="shared" si="24"/>
        <v>6.9549707730000003</v>
      </c>
      <c r="V105" s="43">
        <f t="shared" si="25"/>
        <v>3.4058931000000001E-2</v>
      </c>
      <c r="W105" s="230">
        <f t="shared" si="26"/>
        <v>0.16001075980797883</v>
      </c>
      <c r="X105" s="43">
        <f t="shared" si="27"/>
        <v>0.71581691800000002</v>
      </c>
      <c r="Y105" s="43">
        <v>124.70578449999999</v>
      </c>
      <c r="Z105" s="43">
        <f t="shared" si="16"/>
        <v>1</v>
      </c>
      <c r="AA105" s="43">
        <f t="shared" si="17"/>
        <v>127833</v>
      </c>
      <c r="AB105" s="43">
        <f t="shared" si="18"/>
        <v>52297</v>
      </c>
      <c r="AC105" s="43">
        <f t="shared" si="28"/>
        <v>6.9618232924242435E-2</v>
      </c>
      <c r="AD105" s="43">
        <f t="shared" si="29"/>
        <v>0.78767596906060611</v>
      </c>
      <c r="AF105" s="43">
        <v>12.694731701644523</v>
      </c>
      <c r="AG105" s="43">
        <v>8.0748976E-2</v>
      </c>
      <c r="AH105" s="43">
        <v>3.4379697000000001E-2</v>
      </c>
      <c r="AI105" s="43">
        <v>0.75102399099999995</v>
      </c>
      <c r="AJ105" s="43">
        <v>1.926411627</v>
      </c>
      <c r="AK105" s="43">
        <v>6.9549707730000003</v>
      </c>
      <c r="AL105" s="43">
        <v>3.4058931000000001E-2</v>
      </c>
      <c r="AM105" s="230">
        <v>0.16001075980797883</v>
      </c>
      <c r="AN105" s="43">
        <v>0.71581691800000002</v>
      </c>
    </row>
    <row r="106" spans="1:40" x14ac:dyDescent="0.25">
      <c r="A106" s="134">
        <v>96</v>
      </c>
      <c r="B106" s="134" t="s">
        <v>213</v>
      </c>
      <c r="C106" s="134" t="s">
        <v>210</v>
      </c>
      <c r="D106" s="134" t="s">
        <v>211</v>
      </c>
      <c r="E106" s="134">
        <v>310</v>
      </c>
      <c r="F106" s="134">
        <v>694</v>
      </c>
      <c r="G106" s="134">
        <v>33</v>
      </c>
      <c r="H106" s="134">
        <v>314</v>
      </c>
      <c r="I106" s="200">
        <v>5.3000119809100001E-2</v>
      </c>
      <c r="J106" s="134">
        <v>1008</v>
      </c>
      <c r="K106" s="134">
        <v>19018.8249316</v>
      </c>
      <c r="L106" s="42">
        <v>0.74904333092200004</v>
      </c>
      <c r="M106" s="42">
        <v>0.50320512820499996</v>
      </c>
      <c r="N106" s="134">
        <v>0</v>
      </c>
      <c r="O106" s="43" t="s">
        <v>627</v>
      </c>
      <c r="P106" s="43">
        <f t="shared" si="19"/>
        <v>12.699567105367272</v>
      </c>
      <c r="Q106" s="43">
        <f t="shared" si="20"/>
        <v>8.3815634E-2</v>
      </c>
      <c r="R106" s="43">
        <f t="shared" si="21"/>
        <v>3.5796557999999999E-2</v>
      </c>
      <c r="S106" s="43">
        <f t="shared" si="22"/>
        <v>0.74904333099999998</v>
      </c>
      <c r="T106" s="43">
        <f t="shared" si="23"/>
        <v>1.9325872639999999</v>
      </c>
      <c r="U106" s="43">
        <f t="shared" si="24"/>
        <v>7.2807833950000003</v>
      </c>
      <c r="V106" s="43">
        <f t="shared" si="25"/>
        <v>3.2975244000000001E-2</v>
      </c>
      <c r="W106" s="230">
        <f t="shared" si="26"/>
        <v>0.17040529994852807</v>
      </c>
      <c r="X106" s="43">
        <f t="shared" si="27"/>
        <v>0.71388247800000004</v>
      </c>
      <c r="Y106" s="43">
        <v>179.6710041</v>
      </c>
      <c r="Z106" s="43">
        <f t="shared" si="16"/>
        <v>1</v>
      </c>
      <c r="AA106" s="43">
        <f t="shared" si="17"/>
        <v>127833</v>
      </c>
      <c r="AB106" s="43">
        <f t="shared" si="18"/>
        <v>52297</v>
      </c>
      <c r="AC106" s="43">
        <f t="shared" si="28"/>
        <v>6.9618232924242435E-2</v>
      </c>
      <c r="AD106" s="43">
        <f t="shared" si="29"/>
        <v>0.78767596906060611</v>
      </c>
      <c r="AF106" s="43">
        <v>12.699567105367272</v>
      </c>
      <c r="AG106" s="43">
        <v>8.3815634E-2</v>
      </c>
      <c r="AH106" s="43">
        <v>3.5796557999999999E-2</v>
      </c>
      <c r="AI106" s="43">
        <v>0.74904333099999998</v>
      </c>
      <c r="AJ106" s="43">
        <v>1.9325872639999999</v>
      </c>
      <c r="AK106" s="43">
        <v>7.2807833950000003</v>
      </c>
      <c r="AL106" s="43">
        <v>3.2975244000000001E-2</v>
      </c>
      <c r="AM106" s="230">
        <v>0.17040529994852807</v>
      </c>
      <c r="AN106" s="43">
        <v>0.71388247800000004</v>
      </c>
    </row>
    <row r="107" spans="1:40" x14ac:dyDescent="0.25">
      <c r="A107" s="134">
        <v>97</v>
      </c>
      <c r="B107" s="134" t="s">
        <v>213</v>
      </c>
      <c r="C107" s="134" t="s">
        <v>210</v>
      </c>
      <c r="D107" s="134" t="s">
        <v>211</v>
      </c>
      <c r="E107" s="134">
        <v>1291</v>
      </c>
      <c r="F107" s="134">
        <v>2930</v>
      </c>
      <c r="G107" s="134">
        <v>45</v>
      </c>
      <c r="H107" s="134">
        <v>314</v>
      </c>
      <c r="I107" s="200">
        <v>7.0956465906099997E-2</v>
      </c>
      <c r="J107" s="134">
        <v>3244</v>
      </c>
      <c r="K107" s="134">
        <v>45718.173228799998</v>
      </c>
      <c r="L107" s="42">
        <v>0.65387656373500003</v>
      </c>
      <c r="M107" s="42">
        <v>0.19563862928299999</v>
      </c>
      <c r="N107" s="134">
        <v>0</v>
      </c>
      <c r="O107" s="43" t="s">
        <v>627</v>
      </c>
      <c r="P107" s="43">
        <f t="shared" si="19"/>
        <v>11.603819735837549</v>
      </c>
      <c r="Q107" s="43">
        <f t="shared" si="20"/>
        <v>9.7158634999999993E-2</v>
      </c>
      <c r="R107" s="43">
        <f t="shared" si="21"/>
        <v>4.3790842000000003E-2</v>
      </c>
      <c r="S107" s="43">
        <f t="shared" si="22"/>
        <v>0.65387656400000005</v>
      </c>
      <c r="T107" s="43">
        <f t="shared" si="23"/>
        <v>1.5557637740000001</v>
      </c>
      <c r="U107" s="43">
        <f t="shared" si="24"/>
        <v>6.4185432679999996</v>
      </c>
      <c r="V107" s="43">
        <f t="shared" si="25"/>
        <v>4.3506155999999997E-2</v>
      </c>
      <c r="W107" s="230">
        <f t="shared" si="26"/>
        <v>0.23996715063870194</v>
      </c>
      <c r="X107" s="43">
        <f t="shared" si="27"/>
        <v>0.56484220100000004</v>
      </c>
      <c r="Y107" s="43">
        <v>132.71286380000001</v>
      </c>
      <c r="Z107" s="43">
        <f t="shared" si="16"/>
        <v>1</v>
      </c>
      <c r="AA107" s="43">
        <f t="shared" si="17"/>
        <v>127833</v>
      </c>
      <c r="AB107" s="43">
        <f t="shared" si="18"/>
        <v>52297</v>
      </c>
      <c r="AC107" s="43">
        <f t="shared" si="28"/>
        <v>6.9618232924242435E-2</v>
      </c>
      <c r="AD107" s="43">
        <f t="shared" si="29"/>
        <v>0.78767596906060611</v>
      </c>
      <c r="AF107" s="43">
        <v>11.603819735837549</v>
      </c>
      <c r="AG107" s="43">
        <v>9.7158634999999993E-2</v>
      </c>
      <c r="AH107" s="43">
        <v>4.3790842000000003E-2</v>
      </c>
      <c r="AI107" s="43">
        <v>0.65387656400000005</v>
      </c>
      <c r="AJ107" s="43">
        <v>1.5557637740000001</v>
      </c>
      <c r="AK107" s="43">
        <v>6.4185432679999996</v>
      </c>
      <c r="AL107" s="43">
        <v>4.3506155999999997E-2</v>
      </c>
      <c r="AM107" s="230">
        <v>0.23996715063870194</v>
      </c>
      <c r="AN107" s="43">
        <v>0.56484220100000004</v>
      </c>
    </row>
    <row r="108" spans="1:40" x14ac:dyDescent="0.25">
      <c r="A108" s="134">
        <v>98</v>
      </c>
      <c r="B108" s="134" t="s">
        <v>213</v>
      </c>
      <c r="C108" s="134" t="s">
        <v>210</v>
      </c>
      <c r="D108" s="134" t="s">
        <v>211</v>
      </c>
      <c r="E108" s="134">
        <v>1304</v>
      </c>
      <c r="F108" s="134">
        <v>2960</v>
      </c>
      <c r="G108" s="134">
        <v>54</v>
      </c>
      <c r="H108" s="134">
        <v>511</v>
      </c>
      <c r="I108" s="200">
        <v>8.5628653669999999E-2</v>
      </c>
      <c r="J108" s="134">
        <v>3471</v>
      </c>
      <c r="K108" s="134">
        <v>40535.496603500003</v>
      </c>
      <c r="L108" s="42">
        <v>0.67380090634900003</v>
      </c>
      <c r="M108" s="42">
        <v>0.28154269972500001</v>
      </c>
      <c r="N108" s="134">
        <v>0</v>
      </c>
      <c r="O108" s="43" t="s">
        <v>627</v>
      </c>
      <c r="P108" s="43">
        <f t="shared" si="19"/>
        <v>12.274762103355314</v>
      </c>
      <c r="Q108" s="43">
        <f t="shared" si="20"/>
        <v>9.2300939999999998E-2</v>
      </c>
      <c r="R108" s="43">
        <f t="shared" si="21"/>
        <v>4.4465682999999999E-2</v>
      </c>
      <c r="S108" s="43">
        <f t="shared" si="22"/>
        <v>0.67380090599999998</v>
      </c>
      <c r="T108" s="43">
        <f t="shared" si="23"/>
        <v>1.6730841030000001</v>
      </c>
      <c r="U108" s="43">
        <f t="shared" si="24"/>
        <v>6.7499225420000002</v>
      </c>
      <c r="V108" s="43">
        <f t="shared" si="25"/>
        <v>4.4245300000000001E-2</v>
      </c>
      <c r="W108" s="230">
        <f t="shared" si="26"/>
        <v>0.21293964198974544</v>
      </c>
      <c r="X108" s="43">
        <f t="shared" si="27"/>
        <v>0.60756611500000002</v>
      </c>
      <c r="Y108" s="43">
        <v>157.31514139999999</v>
      </c>
      <c r="Z108" s="43">
        <f t="shared" si="16"/>
        <v>1</v>
      </c>
      <c r="AA108" s="43">
        <f t="shared" si="17"/>
        <v>127833</v>
      </c>
      <c r="AB108" s="43">
        <f t="shared" si="18"/>
        <v>52297</v>
      </c>
      <c r="AC108" s="43">
        <f t="shared" si="28"/>
        <v>6.9618232924242435E-2</v>
      </c>
      <c r="AD108" s="43">
        <f t="shared" si="29"/>
        <v>0.78767596906060611</v>
      </c>
      <c r="AF108" s="43">
        <v>12.274762103355314</v>
      </c>
      <c r="AG108" s="43">
        <v>9.2300939999999998E-2</v>
      </c>
      <c r="AH108" s="43">
        <v>4.4465682999999999E-2</v>
      </c>
      <c r="AI108" s="43">
        <v>0.67380090599999998</v>
      </c>
      <c r="AJ108" s="43">
        <v>1.6730841030000001</v>
      </c>
      <c r="AK108" s="43">
        <v>6.7499225420000002</v>
      </c>
      <c r="AL108" s="43">
        <v>4.4245300000000001E-2</v>
      </c>
      <c r="AM108" s="230">
        <v>0.21293964198974544</v>
      </c>
      <c r="AN108" s="43">
        <v>0.60756611500000002</v>
      </c>
    </row>
    <row r="109" spans="1:40" x14ac:dyDescent="0.25">
      <c r="A109" s="134">
        <v>99</v>
      </c>
      <c r="B109" s="134" t="s">
        <v>213</v>
      </c>
      <c r="C109" s="134" t="s">
        <v>210</v>
      </c>
      <c r="D109" s="134" t="s">
        <v>211</v>
      </c>
      <c r="E109" s="134">
        <v>325</v>
      </c>
      <c r="F109" s="134">
        <v>1708</v>
      </c>
      <c r="G109" s="134">
        <v>19</v>
      </c>
      <c r="H109" s="134">
        <v>727</v>
      </c>
      <c r="I109" s="200">
        <v>1.5951662188599999E-2</v>
      </c>
      <c r="J109" s="134">
        <v>2435</v>
      </c>
      <c r="K109" s="134">
        <v>152648.66891000001</v>
      </c>
      <c r="L109" s="42">
        <v>0.55770775279899998</v>
      </c>
      <c r="M109" s="42">
        <v>0.69106463878299995</v>
      </c>
      <c r="N109" s="134">
        <v>1</v>
      </c>
      <c r="O109" s="43" t="s">
        <v>627</v>
      </c>
      <c r="P109" s="43">
        <f t="shared" si="19"/>
        <v>13.682149161946002</v>
      </c>
      <c r="Q109" s="43">
        <f t="shared" si="20"/>
        <v>0.117769071</v>
      </c>
      <c r="R109" s="43">
        <f t="shared" si="21"/>
        <v>5.7257293000000001E-2</v>
      </c>
      <c r="S109" s="43">
        <f t="shared" si="22"/>
        <v>0.55770775299999997</v>
      </c>
      <c r="T109" s="43">
        <f t="shared" si="23"/>
        <v>1.646081122</v>
      </c>
      <c r="U109" s="43">
        <f t="shared" si="24"/>
        <v>6.798628442</v>
      </c>
      <c r="V109" s="43">
        <f t="shared" si="25"/>
        <v>7.0889621E-2</v>
      </c>
      <c r="W109" s="230">
        <f t="shared" si="26"/>
        <v>0.28454842876631292</v>
      </c>
      <c r="X109" s="43">
        <f t="shared" si="27"/>
        <v>0.456665822</v>
      </c>
      <c r="Y109" s="43">
        <v>65.551955730000003</v>
      </c>
      <c r="Z109" s="43">
        <f t="shared" si="16"/>
        <v>1</v>
      </c>
      <c r="AA109" s="43">
        <f t="shared" si="17"/>
        <v>127833</v>
      </c>
      <c r="AB109" s="43">
        <f t="shared" si="18"/>
        <v>52297</v>
      </c>
      <c r="AC109" s="43">
        <f t="shared" si="28"/>
        <v>6.9618232924242435E-2</v>
      </c>
      <c r="AD109" s="43">
        <f t="shared" si="29"/>
        <v>0.78767596906060611</v>
      </c>
      <c r="AF109" s="43">
        <v>13.682149161946002</v>
      </c>
      <c r="AG109" s="43">
        <v>0.117769071</v>
      </c>
      <c r="AH109" s="43">
        <v>5.7257293000000001E-2</v>
      </c>
      <c r="AI109" s="43">
        <v>0.55770775299999997</v>
      </c>
      <c r="AJ109" s="43">
        <v>1.646081122</v>
      </c>
      <c r="AK109" s="43">
        <v>6.798628442</v>
      </c>
      <c r="AL109" s="43">
        <v>7.0889621E-2</v>
      </c>
      <c r="AM109" s="230">
        <v>0.28454842876631292</v>
      </c>
      <c r="AN109" s="43">
        <v>0.456665822</v>
      </c>
    </row>
    <row r="110" spans="1:40" x14ac:dyDescent="0.25">
      <c r="A110" s="134">
        <v>100</v>
      </c>
      <c r="B110" s="134" t="s">
        <v>213</v>
      </c>
      <c r="C110" s="134" t="s">
        <v>210</v>
      </c>
      <c r="D110" s="134" t="s">
        <v>211</v>
      </c>
      <c r="E110" s="134">
        <v>464</v>
      </c>
      <c r="F110" s="134">
        <v>2438</v>
      </c>
      <c r="G110" s="134">
        <v>19</v>
      </c>
      <c r="H110" s="134">
        <v>1379</v>
      </c>
      <c r="I110" s="200">
        <v>3.17238083317E-2</v>
      </c>
      <c r="J110" s="134">
        <v>3817</v>
      </c>
      <c r="K110" s="134">
        <v>120319.728328</v>
      </c>
      <c r="L110" s="42">
        <v>0.51276820532199996</v>
      </c>
      <c r="M110" s="42">
        <v>0.74823657080799999</v>
      </c>
      <c r="N110" s="134">
        <v>1</v>
      </c>
      <c r="O110" s="43" t="s">
        <v>627</v>
      </c>
      <c r="P110" s="43">
        <f t="shared" si="19"/>
        <v>14.739795261446687</v>
      </c>
      <c r="Q110" s="43">
        <f t="shared" si="20"/>
        <v>0.16549492399999999</v>
      </c>
      <c r="R110" s="43">
        <f t="shared" si="21"/>
        <v>5.8352372999999999E-2</v>
      </c>
      <c r="S110" s="43">
        <f t="shared" si="22"/>
        <v>0.51276820499999998</v>
      </c>
      <c r="T110" s="43">
        <f t="shared" si="23"/>
        <v>1.924362017</v>
      </c>
      <c r="U110" s="43">
        <f t="shared" si="24"/>
        <v>7.1748585309999999</v>
      </c>
      <c r="V110" s="43">
        <f t="shared" si="25"/>
        <v>8.0032326000000001E-2</v>
      </c>
      <c r="W110" s="230">
        <f t="shared" si="26"/>
        <v>0.34597123483136138</v>
      </c>
      <c r="X110" s="43">
        <f t="shared" si="27"/>
        <v>0.39621557499999999</v>
      </c>
      <c r="Y110" s="43">
        <v>67.917642479999998</v>
      </c>
      <c r="Z110" s="43">
        <f t="shared" si="16"/>
        <v>1</v>
      </c>
      <c r="AA110" s="43">
        <f t="shared" si="17"/>
        <v>127833</v>
      </c>
      <c r="AB110" s="43">
        <f t="shared" si="18"/>
        <v>52297</v>
      </c>
      <c r="AC110" s="43">
        <f t="shared" si="28"/>
        <v>6.9618232924242435E-2</v>
      </c>
      <c r="AD110" s="43">
        <f t="shared" si="29"/>
        <v>0.78767596906060611</v>
      </c>
      <c r="AF110" s="43">
        <v>14.739795261446687</v>
      </c>
      <c r="AG110" s="43">
        <v>0.16549492399999999</v>
      </c>
      <c r="AH110" s="43">
        <v>5.8352372999999999E-2</v>
      </c>
      <c r="AI110" s="43">
        <v>0.51276820499999998</v>
      </c>
      <c r="AJ110" s="43">
        <v>1.924362017</v>
      </c>
      <c r="AK110" s="43">
        <v>7.1748585309999999</v>
      </c>
      <c r="AL110" s="43">
        <v>8.0032326000000001E-2</v>
      </c>
      <c r="AM110" s="230">
        <v>0.34597123483136138</v>
      </c>
      <c r="AN110" s="43">
        <v>0.39621557499999999</v>
      </c>
    </row>
    <row r="111" spans="1:40" x14ac:dyDescent="0.25">
      <c r="A111" s="134">
        <v>101</v>
      </c>
      <c r="B111" s="134" t="s">
        <v>213</v>
      </c>
      <c r="C111" s="134" t="s">
        <v>210</v>
      </c>
      <c r="D111" s="134" t="s">
        <v>211</v>
      </c>
      <c r="E111" s="134">
        <v>404</v>
      </c>
      <c r="F111" s="134">
        <v>2124</v>
      </c>
      <c r="G111" s="134">
        <v>19</v>
      </c>
      <c r="H111" s="134">
        <v>1206</v>
      </c>
      <c r="I111" s="200">
        <v>3.1591503030000002E-2</v>
      </c>
      <c r="J111" s="134">
        <v>3330</v>
      </c>
      <c r="K111" s="134">
        <v>105408.09017</v>
      </c>
      <c r="L111" s="42">
        <v>0.59489885010499999</v>
      </c>
      <c r="M111" s="42">
        <v>0.74906832298100001</v>
      </c>
      <c r="N111" s="134">
        <v>1</v>
      </c>
      <c r="O111" s="43" t="s">
        <v>627</v>
      </c>
      <c r="P111" s="43">
        <f t="shared" si="19"/>
        <v>13.910694813266216</v>
      </c>
      <c r="Q111" s="43">
        <f t="shared" si="20"/>
        <v>0.106844672</v>
      </c>
      <c r="R111" s="43">
        <f t="shared" si="21"/>
        <v>5.0028999999999997E-2</v>
      </c>
      <c r="S111" s="43">
        <f t="shared" si="22"/>
        <v>0.59489884999999998</v>
      </c>
      <c r="T111" s="43">
        <f t="shared" si="23"/>
        <v>1.778813822</v>
      </c>
      <c r="U111" s="43">
        <f t="shared" si="24"/>
        <v>6.6114634890000001</v>
      </c>
      <c r="V111" s="43">
        <f t="shared" si="25"/>
        <v>7.5188406999999999E-2</v>
      </c>
      <c r="W111" s="230">
        <f t="shared" si="26"/>
        <v>0.28146475880614857</v>
      </c>
      <c r="X111" s="43">
        <f t="shared" si="27"/>
        <v>0.474868032</v>
      </c>
      <c r="Y111" s="43">
        <v>331.61039390000002</v>
      </c>
      <c r="Z111" s="43">
        <f t="shared" si="16"/>
        <v>1</v>
      </c>
      <c r="AA111" s="43">
        <f t="shared" si="17"/>
        <v>127833</v>
      </c>
      <c r="AB111" s="43">
        <f t="shared" si="18"/>
        <v>52297</v>
      </c>
      <c r="AC111" s="43">
        <f t="shared" si="28"/>
        <v>6.9618232924242435E-2</v>
      </c>
      <c r="AD111" s="43">
        <f t="shared" si="29"/>
        <v>0.78767596906060611</v>
      </c>
      <c r="AF111" s="43">
        <v>13.910694813266216</v>
      </c>
      <c r="AG111" s="43">
        <v>0.106844672</v>
      </c>
      <c r="AH111" s="43">
        <v>5.0028999999999997E-2</v>
      </c>
      <c r="AI111" s="43">
        <v>0.59489884999999998</v>
      </c>
      <c r="AJ111" s="43">
        <v>1.778813822</v>
      </c>
      <c r="AK111" s="43">
        <v>6.6114634890000001</v>
      </c>
      <c r="AL111" s="43">
        <v>7.5188406999999999E-2</v>
      </c>
      <c r="AM111" s="230">
        <v>0.28146475880614857</v>
      </c>
      <c r="AN111" s="43">
        <v>0.474868032</v>
      </c>
    </row>
    <row r="112" spans="1:40" x14ac:dyDescent="0.25">
      <c r="A112" s="134">
        <v>102</v>
      </c>
      <c r="B112" s="134" t="s">
        <v>213</v>
      </c>
      <c r="C112" s="134" t="s">
        <v>210</v>
      </c>
      <c r="D112" s="134" t="s">
        <v>211</v>
      </c>
      <c r="E112" s="134">
        <v>91</v>
      </c>
      <c r="F112" s="134">
        <v>480</v>
      </c>
      <c r="G112" s="134">
        <v>19</v>
      </c>
      <c r="H112" s="134">
        <v>1546</v>
      </c>
      <c r="I112" s="200">
        <v>3.2053313583299999E-2</v>
      </c>
      <c r="J112" s="134">
        <v>2026</v>
      </c>
      <c r="K112" s="134">
        <v>63207.193687899999</v>
      </c>
      <c r="L112" s="42">
        <v>0.708267019316</v>
      </c>
      <c r="M112" s="42">
        <v>0.94441050702499996</v>
      </c>
      <c r="N112" s="134">
        <v>0</v>
      </c>
      <c r="O112" s="43" t="s">
        <v>627</v>
      </c>
      <c r="P112" s="43">
        <f t="shared" si="19"/>
        <v>14.255153156318574</v>
      </c>
      <c r="Q112" s="43">
        <f t="shared" si="20"/>
        <v>8.9243930999999999E-2</v>
      </c>
      <c r="R112" s="43">
        <f t="shared" si="21"/>
        <v>3.2789237999999998E-2</v>
      </c>
      <c r="S112" s="43">
        <f t="shared" si="22"/>
        <v>0.708267019</v>
      </c>
      <c r="T112" s="43">
        <f t="shared" si="23"/>
        <v>2.1129120449999998</v>
      </c>
      <c r="U112" s="43">
        <f t="shared" si="24"/>
        <v>7.0693952629999997</v>
      </c>
      <c r="V112" s="43">
        <f t="shared" si="25"/>
        <v>4.6964160999999997E-2</v>
      </c>
      <c r="W112" s="230">
        <f t="shared" si="26"/>
        <v>0.215457797470054</v>
      </c>
      <c r="X112" s="43">
        <f t="shared" si="27"/>
        <v>0.62153427100000003</v>
      </c>
      <c r="Y112" s="43">
        <v>351.03248050000002</v>
      </c>
      <c r="Z112" s="43">
        <f t="shared" si="16"/>
        <v>1</v>
      </c>
      <c r="AA112" s="43">
        <f t="shared" si="17"/>
        <v>127833</v>
      </c>
      <c r="AB112" s="43">
        <f t="shared" si="18"/>
        <v>52297</v>
      </c>
      <c r="AC112" s="43">
        <f t="shared" si="28"/>
        <v>6.9618232924242435E-2</v>
      </c>
      <c r="AD112" s="43">
        <f t="shared" si="29"/>
        <v>0.78767596906060611</v>
      </c>
      <c r="AF112" s="43">
        <v>14.255153156318574</v>
      </c>
      <c r="AG112" s="43">
        <v>8.9243930999999999E-2</v>
      </c>
      <c r="AH112" s="43">
        <v>3.2789237999999998E-2</v>
      </c>
      <c r="AI112" s="43">
        <v>0.708267019</v>
      </c>
      <c r="AJ112" s="43">
        <v>2.1129120449999998</v>
      </c>
      <c r="AK112" s="43">
        <v>7.0693952629999997</v>
      </c>
      <c r="AL112" s="43">
        <v>4.6964160999999997E-2</v>
      </c>
      <c r="AM112" s="230">
        <v>0.215457797470054</v>
      </c>
      <c r="AN112" s="43">
        <v>0.62153427100000003</v>
      </c>
    </row>
    <row r="113" spans="1:40" x14ac:dyDescent="0.25">
      <c r="A113" s="134">
        <v>103</v>
      </c>
      <c r="B113" s="134" t="s">
        <v>213</v>
      </c>
      <c r="C113" s="134" t="s">
        <v>210</v>
      </c>
      <c r="D113" s="134" t="s">
        <v>211</v>
      </c>
      <c r="E113" s="134">
        <v>197</v>
      </c>
      <c r="F113" s="134">
        <v>1038</v>
      </c>
      <c r="G113" s="134">
        <v>18</v>
      </c>
      <c r="H113" s="134">
        <v>1260</v>
      </c>
      <c r="I113" s="200">
        <v>3.14208781108E-2</v>
      </c>
      <c r="J113" s="134">
        <v>2298</v>
      </c>
      <c r="K113" s="134">
        <v>73136.084608999998</v>
      </c>
      <c r="L113" s="42">
        <v>0.65817041264099996</v>
      </c>
      <c r="M113" s="42">
        <v>0.86479066575200003</v>
      </c>
      <c r="N113" s="134">
        <v>0</v>
      </c>
      <c r="O113" s="43" t="s">
        <v>627</v>
      </c>
      <c r="P113" s="43">
        <f t="shared" si="19"/>
        <v>13.774120528163001</v>
      </c>
      <c r="Q113" s="43">
        <f t="shared" si="20"/>
        <v>9.2267362000000006E-2</v>
      </c>
      <c r="R113" s="43">
        <f t="shared" si="21"/>
        <v>4.0947342999999997E-2</v>
      </c>
      <c r="S113" s="43">
        <f t="shared" si="22"/>
        <v>0.65817041300000001</v>
      </c>
      <c r="T113" s="43">
        <f t="shared" si="23"/>
        <v>1.876340535</v>
      </c>
      <c r="U113" s="43">
        <f t="shared" si="24"/>
        <v>6.6255366870000003</v>
      </c>
      <c r="V113" s="43">
        <f t="shared" si="25"/>
        <v>6.0990180999999997E-2</v>
      </c>
      <c r="W113" s="230">
        <f t="shared" si="26"/>
        <v>0.23735258974492179</v>
      </c>
      <c r="X113" s="43">
        <f t="shared" si="27"/>
        <v>0.55440802099999997</v>
      </c>
      <c r="Y113" s="43">
        <v>357.05054699999999</v>
      </c>
      <c r="Z113" s="43">
        <f t="shared" si="16"/>
        <v>1</v>
      </c>
      <c r="AA113" s="43">
        <f t="shared" si="17"/>
        <v>127833</v>
      </c>
      <c r="AB113" s="43">
        <f t="shared" si="18"/>
        <v>52297</v>
      </c>
      <c r="AC113" s="43">
        <f t="shared" si="28"/>
        <v>6.9618232924242435E-2</v>
      </c>
      <c r="AD113" s="43">
        <f t="shared" si="29"/>
        <v>0.78767596906060611</v>
      </c>
      <c r="AF113" s="43">
        <v>13.774120528163001</v>
      </c>
      <c r="AG113" s="43">
        <v>9.2267362000000006E-2</v>
      </c>
      <c r="AH113" s="43">
        <v>4.0947342999999997E-2</v>
      </c>
      <c r="AI113" s="43">
        <v>0.65817041300000001</v>
      </c>
      <c r="AJ113" s="43">
        <v>1.876340535</v>
      </c>
      <c r="AK113" s="43">
        <v>6.6255366870000003</v>
      </c>
      <c r="AL113" s="43">
        <v>6.0990180999999997E-2</v>
      </c>
      <c r="AM113" s="230">
        <v>0.23735258974492179</v>
      </c>
      <c r="AN113" s="43">
        <v>0.55440802099999997</v>
      </c>
    </row>
    <row r="114" spans="1:40" x14ac:dyDescent="0.25">
      <c r="A114" s="134">
        <v>104</v>
      </c>
      <c r="B114" s="134" t="s">
        <v>213</v>
      </c>
      <c r="C114" s="134" t="s">
        <v>210</v>
      </c>
      <c r="D114" s="134" t="s">
        <v>211</v>
      </c>
      <c r="E114" s="134">
        <v>1178</v>
      </c>
      <c r="F114" s="134">
        <v>4656</v>
      </c>
      <c r="G114" s="134">
        <v>83</v>
      </c>
      <c r="H114" s="134">
        <v>331</v>
      </c>
      <c r="I114" s="200">
        <v>0.13165746288399999</v>
      </c>
      <c r="J114" s="134">
        <v>4987</v>
      </c>
      <c r="K114" s="134">
        <v>37878.5971623</v>
      </c>
      <c r="L114" s="42">
        <v>0.62947697826600002</v>
      </c>
      <c r="M114" s="42">
        <v>0.21935056328700001</v>
      </c>
      <c r="N114" s="134">
        <v>0</v>
      </c>
      <c r="O114" s="43" t="s">
        <v>627</v>
      </c>
      <c r="P114" s="43">
        <f t="shared" si="19"/>
        <v>12.412845808885043</v>
      </c>
      <c r="Q114" s="43">
        <f t="shared" si="20"/>
        <v>9.9498703999999993E-2</v>
      </c>
      <c r="R114" s="43">
        <f t="shared" si="21"/>
        <v>5.2374410000000003E-2</v>
      </c>
      <c r="S114" s="43">
        <f t="shared" si="22"/>
        <v>0.62947697800000002</v>
      </c>
      <c r="T114" s="43">
        <f t="shared" si="23"/>
        <v>1.581557238</v>
      </c>
      <c r="U114" s="43">
        <f t="shared" si="24"/>
        <v>7.2193329159999999</v>
      </c>
      <c r="V114" s="43">
        <f t="shared" si="25"/>
        <v>4.0031129999999998E-2</v>
      </c>
      <c r="W114" s="230">
        <f t="shared" si="26"/>
        <v>0.23075822091816653</v>
      </c>
      <c r="X114" s="43">
        <f t="shared" si="27"/>
        <v>0.56151823099999998</v>
      </c>
      <c r="Y114" s="43">
        <v>131.56039820000001</v>
      </c>
      <c r="Z114" s="43">
        <f t="shared" si="16"/>
        <v>1</v>
      </c>
      <c r="AA114" s="43">
        <f t="shared" si="17"/>
        <v>127833</v>
      </c>
      <c r="AB114" s="43">
        <f t="shared" si="18"/>
        <v>52297</v>
      </c>
      <c r="AC114" s="43">
        <f t="shared" si="28"/>
        <v>6.9618232924242435E-2</v>
      </c>
      <c r="AD114" s="43">
        <f t="shared" si="29"/>
        <v>0.78767596906060611</v>
      </c>
      <c r="AF114" s="43">
        <v>12.412845808885043</v>
      </c>
      <c r="AG114" s="43">
        <v>9.9498703999999993E-2</v>
      </c>
      <c r="AH114" s="43">
        <v>5.2374410000000003E-2</v>
      </c>
      <c r="AI114" s="43">
        <v>0.62947697800000002</v>
      </c>
      <c r="AJ114" s="43">
        <v>1.581557238</v>
      </c>
      <c r="AK114" s="43">
        <v>7.2193329159999999</v>
      </c>
      <c r="AL114" s="43">
        <v>4.0031129999999998E-2</v>
      </c>
      <c r="AM114" s="230">
        <v>0.23075822091816653</v>
      </c>
      <c r="AN114" s="43">
        <v>0.56151823099999998</v>
      </c>
    </row>
    <row r="115" spans="1:40" x14ac:dyDescent="0.25">
      <c r="A115" s="134">
        <v>105</v>
      </c>
      <c r="B115" s="134" t="s">
        <v>213</v>
      </c>
      <c r="C115" s="134" t="s">
        <v>210</v>
      </c>
      <c r="D115" s="134" t="s">
        <v>211</v>
      </c>
      <c r="E115" s="134">
        <v>681</v>
      </c>
      <c r="F115" s="134">
        <v>1811</v>
      </c>
      <c r="G115" s="134">
        <v>109</v>
      </c>
      <c r="H115" s="134">
        <v>420</v>
      </c>
      <c r="I115" s="200">
        <v>0.160798433302</v>
      </c>
      <c r="J115" s="134">
        <v>2231</v>
      </c>
      <c r="K115" s="134">
        <v>13874.5132909</v>
      </c>
      <c r="L115" s="42">
        <v>0.78089776747499995</v>
      </c>
      <c r="M115" s="42">
        <v>0.38147138964600003</v>
      </c>
      <c r="N115" s="134">
        <v>0</v>
      </c>
      <c r="O115" s="43" t="s">
        <v>664</v>
      </c>
      <c r="P115" s="43">
        <f t="shared" si="19"/>
        <v>11.547749709185544</v>
      </c>
      <c r="Q115" s="43">
        <f t="shared" si="20"/>
        <v>6.2554725000000005E-2</v>
      </c>
      <c r="R115" s="43">
        <f t="shared" si="21"/>
        <v>3.5018903999999997E-2</v>
      </c>
      <c r="S115" s="43">
        <f t="shared" si="22"/>
        <v>0.78089776700000002</v>
      </c>
      <c r="T115" s="43">
        <f t="shared" si="23"/>
        <v>1.9440450819999999</v>
      </c>
      <c r="U115" s="43">
        <f t="shared" si="24"/>
        <v>6.936375001</v>
      </c>
      <c r="V115" s="43">
        <f t="shared" si="25"/>
        <v>2.7363847E-2</v>
      </c>
      <c r="W115" s="230">
        <f t="shared" si="26"/>
        <v>0.1472571964647213</v>
      </c>
      <c r="X115" s="43">
        <f t="shared" si="27"/>
        <v>0.75330074599999997</v>
      </c>
      <c r="Y115" s="43">
        <v>172.3583161</v>
      </c>
      <c r="Z115" s="43">
        <f t="shared" si="16"/>
        <v>1</v>
      </c>
      <c r="AA115" s="43">
        <f t="shared" si="17"/>
        <v>127833</v>
      </c>
      <c r="AB115" s="43">
        <f t="shared" si="18"/>
        <v>52297</v>
      </c>
      <c r="AC115" s="43">
        <f t="shared" si="28"/>
        <v>6.9618232924242435E-2</v>
      </c>
      <c r="AD115" s="43">
        <f t="shared" si="29"/>
        <v>0.78767596906060611</v>
      </c>
      <c r="AF115" s="43">
        <v>11.547749709185544</v>
      </c>
      <c r="AG115" s="43">
        <v>6.2554725000000005E-2</v>
      </c>
      <c r="AH115" s="43">
        <v>3.5018903999999997E-2</v>
      </c>
      <c r="AI115" s="43">
        <v>0.78089776700000002</v>
      </c>
      <c r="AJ115" s="43">
        <v>1.9440450819999999</v>
      </c>
      <c r="AK115" s="43">
        <v>6.936375001</v>
      </c>
      <c r="AL115" s="43">
        <v>2.7363847E-2</v>
      </c>
      <c r="AM115" s="230">
        <v>0.1472571964647213</v>
      </c>
      <c r="AN115" s="43">
        <v>0.75330074599999997</v>
      </c>
    </row>
    <row r="116" spans="1:40" x14ac:dyDescent="0.25">
      <c r="A116" s="134">
        <v>106</v>
      </c>
      <c r="B116" s="134" t="s">
        <v>213</v>
      </c>
      <c r="C116" s="134" t="s">
        <v>210</v>
      </c>
      <c r="D116" s="134" t="s">
        <v>211</v>
      </c>
      <c r="E116" s="134">
        <v>192</v>
      </c>
      <c r="F116" s="134">
        <v>510</v>
      </c>
      <c r="G116" s="134">
        <v>53</v>
      </c>
      <c r="H116" s="134">
        <v>16</v>
      </c>
      <c r="I116" s="200">
        <v>7.76471740632E-2</v>
      </c>
      <c r="J116" s="134">
        <v>526</v>
      </c>
      <c r="K116" s="134">
        <v>6774.2323702800004</v>
      </c>
      <c r="L116" s="42">
        <v>0.77745384987699995</v>
      </c>
      <c r="M116" s="42">
        <v>7.6923076923100006E-2</v>
      </c>
      <c r="N116" s="134">
        <v>0</v>
      </c>
      <c r="O116" s="43" t="s">
        <v>664</v>
      </c>
      <c r="P116" s="43">
        <f t="shared" si="19"/>
        <v>9.6810289315206948</v>
      </c>
      <c r="Q116" s="43">
        <f t="shared" si="20"/>
        <v>5.9355627000000001E-2</v>
      </c>
      <c r="R116" s="43">
        <f t="shared" si="21"/>
        <v>3.3947131999999998E-2</v>
      </c>
      <c r="S116" s="43">
        <f t="shared" si="22"/>
        <v>0.77745385</v>
      </c>
      <c r="T116" s="43">
        <f t="shared" si="23"/>
        <v>1.827300406</v>
      </c>
      <c r="U116" s="43">
        <f t="shared" si="24"/>
        <v>6.1903157240000004</v>
      </c>
      <c r="V116" s="43">
        <f t="shared" si="25"/>
        <v>9.8024040000000007E-3</v>
      </c>
      <c r="W116" s="230">
        <f t="shared" si="26"/>
        <v>0.16442243202806581</v>
      </c>
      <c r="X116" s="43">
        <f t="shared" si="27"/>
        <v>0.72057989</v>
      </c>
      <c r="Y116" s="43">
        <v>107.7232726</v>
      </c>
      <c r="Z116" s="43">
        <f t="shared" si="16"/>
        <v>1</v>
      </c>
      <c r="AA116" s="43">
        <f t="shared" si="17"/>
        <v>127833</v>
      </c>
      <c r="AB116" s="43">
        <f t="shared" si="18"/>
        <v>52297</v>
      </c>
      <c r="AC116" s="43">
        <f t="shared" si="28"/>
        <v>6.9618232924242435E-2</v>
      </c>
      <c r="AD116" s="43">
        <f t="shared" si="29"/>
        <v>0.78767596906060611</v>
      </c>
      <c r="AF116" s="43">
        <v>9.6810289315206948</v>
      </c>
      <c r="AG116" s="43">
        <v>5.9355627000000001E-2</v>
      </c>
      <c r="AH116" s="43">
        <v>3.3947131999999998E-2</v>
      </c>
      <c r="AI116" s="43">
        <v>0.77745385</v>
      </c>
      <c r="AJ116" s="43">
        <v>1.827300406</v>
      </c>
      <c r="AK116" s="43">
        <v>6.1903157240000004</v>
      </c>
      <c r="AL116" s="43">
        <v>9.8024040000000007E-3</v>
      </c>
      <c r="AM116" s="230">
        <v>0.16442243202806581</v>
      </c>
      <c r="AN116" s="43">
        <v>0.72057989</v>
      </c>
    </row>
    <row r="117" spans="1:40" x14ac:dyDescent="0.25">
      <c r="A117" s="134">
        <v>107</v>
      </c>
      <c r="B117" s="134" t="s">
        <v>213</v>
      </c>
      <c r="C117" s="134" t="s">
        <v>210</v>
      </c>
      <c r="D117" s="134" t="s">
        <v>211</v>
      </c>
      <c r="E117" s="134">
        <v>559</v>
      </c>
      <c r="F117" s="134">
        <v>1487</v>
      </c>
      <c r="G117" s="134">
        <v>31</v>
      </c>
      <c r="H117" s="134">
        <v>68</v>
      </c>
      <c r="I117" s="200">
        <v>4.5766935689100001E-2</v>
      </c>
      <c r="J117" s="134">
        <v>1555</v>
      </c>
      <c r="K117" s="134">
        <v>33976.493653899997</v>
      </c>
      <c r="L117" s="42">
        <v>0.72763207725800005</v>
      </c>
      <c r="M117" s="42">
        <v>0.108452950558</v>
      </c>
      <c r="N117" s="134">
        <v>0</v>
      </c>
      <c r="O117" s="43" t="s">
        <v>664</v>
      </c>
      <c r="P117" s="43">
        <f t="shared" si="19"/>
        <v>10.234217390387249</v>
      </c>
      <c r="Q117" s="43">
        <f t="shared" si="20"/>
        <v>7.0318910999999998E-2</v>
      </c>
      <c r="R117" s="43">
        <f t="shared" si="21"/>
        <v>3.6711796999999997E-2</v>
      </c>
      <c r="S117" s="43">
        <f t="shared" si="22"/>
        <v>0.72763207699999999</v>
      </c>
      <c r="T117" s="43">
        <f t="shared" si="23"/>
        <v>1.649645619</v>
      </c>
      <c r="U117" s="43">
        <f t="shared" si="24"/>
        <v>6.0888010780000004</v>
      </c>
      <c r="V117" s="43">
        <f t="shared" si="25"/>
        <v>2.5143440999999999E-2</v>
      </c>
      <c r="W117" s="230">
        <f t="shared" si="26"/>
        <v>0.1897546659631999</v>
      </c>
      <c r="X117" s="43">
        <f t="shared" si="27"/>
        <v>0.65001978500000002</v>
      </c>
      <c r="Y117" s="43">
        <v>133.20047719999999</v>
      </c>
      <c r="Z117" s="43">
        <f t="shared" si="16"/>
        <v>1</v>
      </c>
      <c r="AA117" s="43">
        <f t="shared" si="17"/>
        <v>127833</v>
      </c>
      <c r="AB117" s="43">
        <f t="shared" si="18"/>
        <v>52297</v>
      </c>
      <c r="AC117" s="43">
        <f t="shared" si="28"/>
        <v>6.9618232924242435E-2</v>
      </c>
      <c r="AD117" s="43">
        <f t="shared" si="29"/>
        <v>0.78767596906060611</v>
      </c>
      <c r="AF117" s="43">
        <v>10.234217390387249</v>
      </c>
      <c r="AG117" s="43">
        <v>7.0318910999999998E-2</v>
      </c>
      <c r="AH117" s="43">
        <v>3.6711796999999997E-2</v>
      </c>
      <c r="AI117" s="43">
        <v>0.72763207699999999</v>
      </c>
      <c r="AJ117" s="43">
        <v>1.649645619</v>
      </c>
      <c r="AK117" s="43">
        <v>6.0888010780000004</v>
      </c>
      <c r="AL117" s="43">
        <v>2.5143440999999999E-2</v>
      </c>
      <c r="AM117" s="230">
        <v>0.1897546659631999</v>
      </c>
      <c r="AN117" s="43">
        <v>0.65001978500000002</v>
      </c>
    </row>
    <row r="118" spans="1:40" x14ac:dyDescent="0.25">
      <c r="A118" s="134">
        <v>108</v>
      </c>
      <c r="B118" s="134" t="s">
        <v>213</v>
      </c>
      <c r="C118" s="134" t="s">
        <v>210</v>
      </c>
      <c r="D118" s="134" t="s">
        <v>211</v>
      </c>
      <c r="E118" s="134">
        <v>686</v>
      </c>
      <c r="F118" s="134">
        <v>1618</v>
      </c>
      <c r="G118" s="134">
        <v>183</v>
      </c>
      <c r="H118" s="134">
        <v>350</v>
      </c>
      <c r="I118" s="200">
        <v>0.27618021626299999</v>
      </c>
      <c r="J118" s="134">
        <v>1968</v>
      </c>
      <c r="K118" s="134">
        <v>7125.7819500300002</v>
      </c>
      <c r="L118" s="42">
        <v>0.84809964704100005</v>
      </c>
      <c r="M118" s="42">
        <v>0.33783783783799998</v>
      </c>
      <c r="N118" s="134">
        <v>0</v>
      </c>
      <c r="O118" s="43" t="s">
        <v>664</v>
      </c>
      <c r="P118" s="43">
        <f t="shared" si="19"/>
        <v>11.70204354831376</v>
      </c>
      <c r="Q118" s="43">
        <f t="shared" si="20"/>
        <v>6.4964960000000002E-2</v>
      </c>
      <c r="R118" s="43">
        <f t="shared" si="21"/>
        <v>2.2666121000000001E-2</v>
      </c>
      <c r="S118" s="43">
        <f t="shared" si="22"/>
        <v>0.84809964699999996</v>
      </c>
      <c r="T118" s="43">
        <f t="shared" si="23"/>
        <v>2.7127102910000001</v>
      </c>
      <c r="U118" s="43">
        <f t="shared" si="24"/>
        <v>7.8291591140000003</v>
      </c>
      <c r="V118" s="43">
        <f t="shared" si="25"/>
        <v>1.5794263999999999E-2</v>
      </c>
      <c r="W118" s="230">
        <f t="shared" si="26"/>
        <v>0.13380423489235577</v>
      </c>
      <c r="X118" s="43">
        <f t="shared" si="27"/>
        <v>0.82049629899999998</v>
      </c>
      <c r="Y118" s="43">
        <v>104.3271841</v>
      </c>
      <c r="Z118" s="43">
        <f t="shared" si="16"/>
        <v>1</v>
      </c>
      <c r="AA118" s="43">
        <f t="shared" si="17"/>
        <v>127833</v>
      </c>
      <c r="AB118" s="43">
        <f t="shared" si="18"/>
        <v>52297</v>
      </c>
      <c r="AC118" s="43">
        <f t="shared" si="28"/>
        <v>6.9618232924242435E-2</v>
      </c>
      <c r="AD118" s="43">
        <f t="shared" si="29"/>
        <v>0.78767596906060611</v>
      </c>
      <c r="AF118" s="43">
        <v>11.70204354831376</v>
      </c>
      <c r="AG118" s="43">
        <v>6.4964960000000002E-2</v>
      </c>
      <c r="AH118" s="43">
        <v>2.2666121000000001E-2</v>
      </c>
      <c r="AI118" s="43">
        <v>0.84809964699999996</v>
      </c>
      <c r="AJ118" s="43">
        <v>2.7127102910000001</v>
      </c>
      <c r="AK118" s="43">
        <v>7.8291591140000003</v>
      </c>
      <c r="AL118" s="43">
        <v>1.5794263999999999E-2</v>
      </c>
      <c r="AM118" s="230">
        <v>0.13380423489235577</v>
      </c>
      <c r="AN118" s="43">
        <v>0.82049629899999998</v>
      </c>
    </row>
    <row r="119" spans="1:40" x14ac:dyDescent="0.25">
      <c r="A119" s="134">
        <v>109</v>
      </c>
      <c r="B119" s="134" t="s">
        <v>213</v>
      </c>
      <c r="C119" s="134" t="s">
        <v>210</v>
      </c>
      <c r="D119" s="134" t="s">
        <v>211</v>
      </c>
      <c r="E119" s="134">
        <v>571</v>
      </c>
      <c r="F119" s="134">
        <v>1348</v>
      </c>
      <c r="G119" s="134">
        <v>75</v>
      </c>
      <c r="H119" s="134">
        <v>396</v>
      </c>
      <c r="I119" s="200">
        <v>0.11387029086600001</v>
      </c>
      <c r="J119" s="134">
        <v>1744</v>
      </c>
      <c r="K119" s="134">
        <v>15315.671776499999</v>
      </c>
      <c r="L119" s="42">
        <v>0.81305899529600001</v>
      </c>
      <c r="M119" s="42">
        <v>0.409513960703</v>
      </c>
      <c r="N119" s="134">
        <v>0</v>
      </c>
      <c r="O119" s="43" t="s">
        <v>664</v>
      </c>
      <c r="P119" s="43">
        <f t="shared" si="19"/>
        <v>11.935435931983049</v>
      </c>
      <c r="Q119" s="43">
        <f t="shared" si="20"/>
        <v>6.5376087999999999E-2</v>
      </c>
      <c r="R119" s="43">
        <f t="shared" si="21"/>
        <v>2.5547503999999999E-2</v>
      </c>
      <c r="S119" s="43">
        <f t="shared" si="22"/>
        <v>0.81305899500000001</v>
      </c>
      <c r="T119" s="43">
        <f t="shared" si="23"/>
        <v>2.2102642870000002</v>
      </c>
      <c r="U119" s="43">
        <f t="shared" si="24"/>
        <v>7.2879759350000004</v>
      </c>
      <c r="V119" s="43">
        <f t="shared" si="25"/>
        <v>1.8632820000000001E-2</v>
      </c>
      <c r="W119" s="230">
        <f t="shared" si="26"/>
        <v>0.14389482936818415</v>
      </c>
      <c r="X119" s="43">
        <f t="shared" si="27"/>
        <v>0.78360234500000003</v>
      </c>
      <c r="Y119" s="43">
        <v>151.49937360000001</v>
      </c>
      <c r="Z119" s="43">
        <f t="shared" si="16"/>
        <v>1</v>
      </c>
      <c r="AA119" s="43">
        <f t="shared" si="17"/>
        <v>127833</v>
      </c>
      <c r="AB119" s="43">
        <f t="shared" si="18"/>
        <v>52297</v>
      </c>
      <c r="AC119" s="43">
        <f t="shared" si="28"/>
        <v>6.9618232924242435E-2</v>
      </c>
      <c r="AD119" s="43">
        <f t="shared" si="29"/>
        <v>0.78767596906060611</v>
      </c>
      <c r="AF119" s="43">
        <v>11.935435931983049</v>
      </c>
      <c r="AG119" s="43">
        <v>6.5376087999999999E-2</v>
      </c>
      <c r="AH119" s="43">
        <v>2.5547503999999999E-2</v>
      </c>
      <c r="AI119" s="43">
        <v>0.81305899500000001</v>
      </c>
      <c r="AJ119" s="43">
        <v>2.2102642870000002</v>
      </c>
      <c r="AK119" s="43">
        <v>7.2879759350000004</v>
      </c>
      <c r="AL119" s="43">
        <v>1.8632820000000001E-2</v>
      </c>
      <c r="AM119" s="230">
        <v>0.14389482936818415</v>
      </c>
      <c r="AN119" s="43">
        <v>0.78360234500000003</v>
      </c>
    </row>
    <row r="120" spans="1:40" x14ac:dyDescent="0.25">
      <c r="A120" s="134">
        <v>110</v>
      </c>
      <c r="B120" s="134" t="s">
        <v>213</v>
      </c>
      <c r="C120" s="134" t="s">
        <v>210</v>
      </c>
      <c r="D120" s="134" t="s">
        <v>211</v>
      </c>
      <c r="E120" s="134">
        <v>891</v>
      </c>
      <c r="F120" s="134">
        <v>1850</v>
      </c>
      <c r="G120" s="134">
        <v>77</v>
      </c>
      <c r="H120" s="134">
        <v>2822</v>
      </c>
      <c r="I120" s="200">
        <v>0.13521231508600001</v>
      </c>
      <c r="J120" s="134">
        <v>4672</v>
      </c>
      <c r="K120" s="134">
        <v>34553.065651199999</v>
      </c>
      <c r="L120" s="42">
        <v>0.77222908314799998</v>
      </c>
      <c r="M120" s="42">
        <v>0.76003231888</v>
      </c>
      <c r="N120" s="134">
        <v>0</v>
      </c>
      <c r="O120" s="43" t="s">
        <v>627</v>
      </c>
      <c r="P120" s="43">
        <f t="shared" si="19"/>
        <v>13.215584062909199</v>
      </c>
      <c r="Q120" s="43">
        <f t="shared" si="20"/>
        <v>8.0376695999999997E-2</v>
      </c>
      <c r="R120" s="43">
        <f t="shared" si="21"/>
        <v>3.0884299E-2</v>
      </c>
      <c r="S120" s="43">
        <f t="shared" si="22"/>
        <v>0.77222908300000004</v>
      </c>
      <c r="T120" s="43">
        <f t="shared" si="23"/>
        <v>2.1657029200000002</v>
      </c>
      <c r="U120" s="43">
        <f t="shared" si="24"/>
        <v>7.9033810080000002</v>
      </c>
      <c r="V120" s="43">
        <f t="shared" si="25"/>
        <v>3.3809631999999999E-2</v>
      </c>
      <c r="W120" s="230">
        <f t="shared" si="26"/>
        <v>0.14562874897426908</v>
      </c>
      <c r="X120" s="43">
        <f t="shared" si="27"/>
        <v>0.74952903100000001</v>
      </c>
      <c r="Y120" s="43">
        <v>279.39327400000002</v>
      </c>
      <c r="Z120" s="43">
        <f t="shared" si="16"/>
        <v>1</v>
      </c>
      <c r="AA120" s="43">
        <f t="shared" si="17"/>
        <v>127833</v>
      </c>
      <c r="AB120" s="43">
        <f t="shared" si="18"/>
        <v>52297</v>
      </c>
      <c r="AC120" s="43">
        <f t="shared" si="28"/>
        <v>6.9618232924242435E-2</v>
      </c>
      <c r="AD120" s="43">
        <f t="shared" si="29"/>
        <v>0.78767596906060611</v>
      </c>
      <c r="AF120" s="43">
        <v>13.215584062909199</v>
      </c>
      <c r="AG120" s="43">
        <v>8.0376695999999997E-2</v>
      </c>
      <c r="AH120" s="43">
        <v>3.0884299E-2</v>
      </c>
      <c r="AI120" s="43">
        <v>0.77222908300000004</v>
      </c>
      <c r="AJ120" s="43">
        <v>2.1657029200000002</v>
      </c>
      <c r="AK120" s="43">
        <v>7.9033810080000002</v>
      </c>
      <c r="AL120" s="43">
        <v>3.3809631999999999E-2</v>
      </c>
      <c r="AM120" s="230">
        <v>0.14562874897426908</v>
      </c>
      <c r="AN120" s="43">
        <v>0.74952903100000001</v>
      </c>
    </row>
    <row r="121" spans="1:40" x14ac:dyDescent="0.25">
      <c r="A121" s="134">
        <v>111</v>
      </c>
      <c r="B121" s="134" t="s">
        <v>213</v>
      </c>
      <c r="C121" s="134" t="s">
        <v>210</v>
      </c>
      <c r="D121" s="134" t="s">
        <v>211</v>
      </c>
      <c r="E121" s="134">
        <v>392</v>
      </c>
      <c r="F121" s="134">
        <v>881</v>
      </c>
      <c r="G121" s="134">
        <v>19</v>
      </c>
      <c r="H121" s="134">
        <v>114</v>
      </c>
      <c r="I121" s="200">
        <v>2.52497735929E-2</v>
      </c>
      <c r="J121" s="134">
        <v>995</v>
      </c>
      <c r="K121" s="134">
        <v>39406.293935299997</v>
      </c>
      <c r="L121" s="42">
        <v>0.68942550626700005</v>
      </c>
      <c r="M121" s="42">
        <v>0.225296442688</v>
      </c>
      <c r="N121" s="134">
        <v>1</v>
      </c>
      <c r="O121" s="43" t="s">
        <v>627</v>
      </c>
      <c r="P121" s="43">
        <f t="shared" si="19"/>
        <v>12.067196657460894</v>
      </c>
      <c r="Q121" s="43">
        <f t="shared" si="20"/>
        <v>0.13221007000000001</v>
      </c>
      <c r="R121" s="43">
        <f t="shared" si="21"/>
        <v>3.8640855000000002E-2</v>
      </c>
      <c r="S121" s="43">
        <f t="shared" si="22"/>
        <v>0.68942550599999997</v>
      </c>
      <c r="T121" s="43">
        <f t="shared" si="23"/>
        <v>1.9492794980000001</v>
      </c>
      <c r="U121" s="43">
        <f t="shared" si="24"/>
        <v>6.691941871</v>
      </c>
      <c r="V121" s="43">
        <f t="shared" si="25"/>
        <v>3.5439932E-2</v>
      </c>
      <c r="W121" s="230">
        <f t="shared" si="26"/>
        <v>0.27393484600611712</v>
      </c>
      <c r="X121" s="43">
        <f t="shared" si="27"/>
        <v>0.59193399199999996</v>
      </c>
      <c r="Y121" s="43">
        <v>212.2278748</v>
      </c>
      <c r="Z121" s="43">
        <f t="shared" si="16"/>
        <v>1</v>
      </c>
      <c r="AA121" s="43">
        <f t="shared" si="17"/>
        <v>127833</v>
      </c>
      <c r="AB121" s="43">
        <f t="shared" si="18"/>
        <v>52297</v>
      </c>
      <c r="AC121" s="43">
        <f t="shared" si="28"/>
        <v>6.9618232924242435E-2</v>
      </c>
      <c r="AD121" s="43">
        <f t="shared" si="29"/>
        <v>0.78767596906060611</v>
      </c>
      <c r="AF121" s="43">
        <v>12.067196657460894</v>
      </c>
      <c r="AG121" s="43">
        <v>0.13221007000000001</v>
      </c>
      <c r="AH121" s="43">
        <v>3.8640855000000002E-2</v>
      </c>
      <c r="AI121" s="43">
        <v>0.68942550599999997</v>
      </c>
      <c r="AJ121" s="43">
        <v>1.9492794980000001</v>
      </c>
      <c r="AK121" s="43">
        <v>6.691941871</v>
      </c>
      <c r="AL121" s="43">
        <v>3.5439932E-2</v>
      </c>
      <c r="AM121" s="230">
        <v>0.27393484600611712</v>
      </c>
      <c r="AN121" s="43">
        <v>0.59193399199999996</v>
      </c>
    </row>
    <row r="122" spans="1:40" x14ac:dyDescent="0.25">
      <c r="A122" s="134">
        <v>112</v>
      </c>
      <c r="B122" s="134" t="s">
        <v>213</v>
      </c>
      <c r="C122" s="134" t="s">
        <v>210</v>
      </c>
      <c r="D122" s="134" t="s">
        <v>211</v>
      </c>
      <c r="E122" s="134">
        <v>163</v>
      </c>
      <c r="F122" s="134">
        <v>366</v>
      </c>
      <c r="G122" s="134">
        <v>35</v>
      </c>
      <c r="H122" s="134">
        <v>79</v>
      </c>
      <c r="I122" s="200">
        <v>1.7082320973100001E-2</v>
      </c>
      <c r="J122" s="134">
        <v>445</v>
      </c>
      <c r="K122" s="134">
        <v>26050.324232999999</v>
      </c>
      <c r="L122" s="42">
        <v>0.77169309328699998</v>
      </c>
      <c r="M122" s="42">
        <v>0.32644628099200002</v>
      </c>
      <c r="N122" s="134">
        <v>1</v>
      </c>
      <c r="O122" s="43" t="s">
        <v>664</v>
      </c>
      <c r="P122" s="43">
        <f t="shared" si="19"/>
        <v>11.566945183255299</v>
      </c>
      <c r="Q122" s="43">
        <f t="shared" si="20"/>
        <v>9.2069628000000001E-2</v>
      </c>
      <c r="R122" s="43">
        <f t="shared" si="21"/>
        <v>3.0972237E-2</v>
      </c>
      <c r="S122" s="43">
        <f t="shared" si="22"/>
        <v>0.771693093</v>
      </c>
      <c r="T122" s="43">
        <f t="shared" si="23"/>
        <v>2.2661508700000002</v>
      </c>
      <c r="U122" s="43">
        <f t="shared" si="24"/>
        <v>6.8204353380000002</v>
      </c>
      <c r="V122" s="43">
        <f t="shared" si="25"/>
        <v>2.3665546999999999E-2</v>
      </c>
      <c r="W122" s="230">
        <f t="shared" si="26"/>
        <v>0.18521836506159017</v>
      </c>
      <c r="X122" s="43">
        <f t="shared" si="27"/>
        <v>0.70690556199999999</v>
      </c>
      <c r="Y122" s="43">
        <v>218.2065594</v>
      </c>
      <c r="Z122" s="43">
        <f t="shared" si="16"/>
        <v>1</v>
      </c>
      <c r="AA122" s="43">
        <f t="shared" si="17"/>
        <v>127833</v>
      </c>
      <c r="AB122" s="43">
        <f t="shared" si="18"/>
        <v>52297</v>
      </c>
      <c r="AC122" s="43">
        <f t="shared" si="28"/>
        <v>6.9618232924242435E-2</v>
      </c>
      <c r="AD122" s="43">
        <f t="shared" si="29"/>
        <v>0.78767596906060611</v>
      </c>
      <c r="AF122" s="43">
        <v>11.566945183255299</v>
      </c>
      <c r="AG122" s="43">
        <v>9.2069628000000001E-2</v>
      </c>
      <c r="AH122" s="43">
        <v>3.0972237E-2</v>
      </c>
      <c r="AI122" s="43">
        <v>0.771693093</v>
      </c>
      <c r="AJ122" s="43">
        <v>2.2661508700000002</v>
      </c>
      <c r="AK122" s="43">
        <v>6.8204353380000002</v>
      </c>
      <c r="AL122" s="43">
        <v>2.3665546999999999E-2</v>
      </c>
      <c r="AM122" s="230">
        <v>0.18521836506159017</v>
      </c>
      <c r="AN122" s="43">
        <v>0.70690556199999999</v>
      </c>
    </row>
    <row r="123" spans="1:40" x14ac:dyDescent="0.25">
      <c r="A123" s="134">
        <v>113</v>
      </c>
      <c r="B123" s="134" t="s">
        <v>213</v>
      </c>
      <c r="C123" s="134" t="s">
        <v>210</v>
      </c>
      <c r="D123" s="134" t="s">
        <v>211</v>
      </c>
      <c r="E123" s="134">
        <v>507</v>
      </c>
      <c r="F123" s="134">
        <v>1336</v>
      </c>
      <c r="G123" s="134">
        <v>60</v>
      </c>
      <c r="H123" s="134">
        <v>219</v>
      </c>
      <c r="I123" s="200">
        <v>1.11754791491E-2</v>
      </c>
      <c r="J123" s="134">
        <v>1555</v>
      </c>
      <c r="K123" s="134">
        <v>139143.92208700001</v>
      </c>
      <c r="L123" s="42">
        <v>0.76385004898499997</v>
      </c>
      <c r="M123" s="42">
        <v>0.30165289256200001</v>
      </c>
      <c r="N123" s="134">
        <v>1</v>
      </c>
      <c r="O123" s="43" t="s">
        <v>627</v>
      </c>
      <c r="P123" s="43">
        <f t="shared" si="19"/>
        <v>10.96772111877168</v>
      </c>
      <c r="Q123" s="43">
        <f t="shared" si="20"/>
        <v>8.9291947999999996E-2</v>
      </c>
      <c r="R123" s="43">
        <f t="shared" si="21"/>
        <v>3.3238615999999999E-2</v>
      </c>
      <c r="S123" s="43">
        <f t="shared" si="22"/>
        <v>0.76385004899999998</v>
      </c>
      <c r="T123" s="43">
        <f t="shared" si="23"/>
        <v>2.175170933</v>
      </c>
      <c r="U123" s="43">
        <f t="shared" si="24"/>
        <v>6.5009405950000003</v>
      </c>
      <c r="V123" s="43">
        <f t="shared" si="25"/>
        <v>2.5467562999999999E-2</v>
      </c>
      <c r="W123" s="230">
        <f t="shared" si="26"/>
        <v>0.19225049026704746</v>
      </c>
      <c r="X123" s="43">
        <f t="shared" si="27"/>
        <v>0.71484225899999998</v>
      </c>
      <c r="Y123" s="43">
        <v>220.23474630000001</v>
      </c>
      <c r="Z123" s="43">
        <f t="shared" si="16"/>
        <v>1</v>
      </c>
      <c r="AA123" s="43">
        <f t="shared" si="17"/>
        <v>127833</v>
      </c>
      <c r="AB123" s="43">
        <f t="shared" si="18"/>
        <v>52297</v>
      </c>
      <c r="AC123" s="43">
        <f t="shared" si="28"/>
        <v>6.9618232924242435E-2</v>
      </c>
      <c r="AD123" s="43">
        <f t="shared" si="29"/>
        <v>0.78767596906060611</v>
      </c>
      <c r="AF123" s="43">
        <v>10.96772111877168</v>
      </c>
      <c r="AG123" s="43">
        <v>8.9291947999999996E-2</v>
      </c>
      <c r="AH123" s="43">
        <v>3.3238615999999999E-2</v>
      </c>
      <c r="AI123" s="43">
        <v>0.76385004899999998</v>
      </c>
      <c r="AJ123" s="43">
        <v>2.175170933</v>
      </c>
      <c r="AK123" s="43">
        <v>6.5009405950000003</v>
      </c>
      <c r="AL123" s="43">
        <v>2.5467562999999999E-2</v>
      </c>
      <c r="AM123" s="230">
        <v>0.19225049026704746</v>
      </c>
      <c r="AN123" s="43">
        <v>0.71484225899999998</v>
      </c>
    </row>
    <row r="124" spans="1:40" x14ac:dyDescent="0.25">
      <c r="A124" s="134">
        <v>114</v>
      </c>
      <c r="B124" s="134" t="s">
        <v>213</v>
      </c>
      <c r="C124" s="134" t="s">
        <v>210</v>
      </c>
      <c r="D124" s="134" t="s">
        <v>211</v>
      </c>
      <c r="E124" s="134">
        <v>1174</v>
      </c>
      <c r="F124" s="134">
        <v>2830</v>
      </c>
      <c r="G124" s="134">
        <v>75</v>
      </c>
      <c r="H124" s="134">
        <v>210</v>
      </c>
      <c r="I124" s="200">
        <v>0.12211428264599999</v>
      </c>
      <c r="J124" s="134">
        <v>3040</v>
      </c>
      <c r="K124" s="134">
        <v>24894.712838899999</v>
      </c>
      <c r="L124" s="42">
        <v>0.75958891783100002</v>
      </c>
      <c r="M124" s="42">
        <v>0.15173410404599999</v>
      </c>
      <c r="N124" s="134">
        <v>0</v>
      </c>
      <c r="O124" s="43" t="s">
        <v>664</v>
      </c>
      <c r="P124" s="43">
        <f t="shared" si="19"/>
        <v>10.166058556162328</v>
      </c>
      <c r="Q124" s="43">
        <f t="shared" si="20"/>
        <v>8.7886336999999995E-2</v>
      </c>
      <c r="R124" s="43">
        <f t="shared" si="21"/>
        <v>3.6258584000000003E-2</v>
      </c>
      <c r="S124" s="43">
        <f t="shared" si="22"/>
        <v>0.75958891799999995</v>
      </c>
      <c r="T124" s="43">
        <f t="shared" si="23"/>
        <v>2.224360313</v>
      </c>
      <c r="U124" s="43">
        <f t="shared" si="24"/>
        <v>6.1904071160000003</v>
      </c>
      <c r="V124" s="43">
        <f t="shared" si="25"/>
        <v>2.5115205000000002E-2</v>
      </c>
      <c r="W124" s="230">
        <f t="shared" si="26"/>
        <v>0.20148076003931858</v>
      </c>
      <c r="X124" s="43">
        <f t="shared" si="27"/>
        <v>0.71109848600000003</v>
      </c>
      <c r="Y124" s="43">
        <v>184.6088464</v>
      </c>
      <c r="Z124" s="43">
        <f t="shared" si="16"/>
        <v>1</v>
      </c>
      <c r="AA124" s="43">
        <f t="shared" si="17"/>
        <v>127833</v>
      </c>
      <c r="AB124" s="43">
        <f t="shared" si="18"/>
        <v>52297</v>
      </c>
      <c r="AC124" s="43">
        <f t="shared" si="28"/>
        <v>6.9618232924242435E-2</v>
      </c>
      <c r="AD124" s="43">
        <f t="shared" si="29"/>
        <v>0.78767596906060611</v>
      </c>
      <c r="AF124" s="43">
        <v>10.166058556162328</v>
      </c>
      <c r="AG124" s="43">
        <v>8.7886336999999995E-2</v>
      </c>
      <c r="AH124" s="43">
        <v>3.6258584000000003E-2</v>
      </c>
      <c r="AI124" s="43">
        <v>0.75958891799999995</v>
      </c>
      <c r="AJ124" s="43">
        <v>2.224360313</v>
      </c>
      <c r="AK124" s="43">
        <v>6.1904071160000003</v>
      </c>
      <c r="AL124" s="43">
        <v>2.5115205000000002E-2</v>
      </c>
      <c r="AM124" s="230">
        <v>0.20148076003931858</v>
      </c>
      <c r="AN124" s="43">
        <v>0.71109848600000003</v>
      </c>
    </row>
    <row r="125" spans="1:40" x14ac:dyDescent="0.25">
      <c r="A125" s="134">
        <v>115</v>
      </c>
      <c r="B125" s="134" t="s">
        <v>215</v>
      </c>
      <c r="C125" s="134" t="s">
        <v>210</v>
      </c>
      <c r="D125" s="134" t="s">
        <v>211</v>
      </c>
      <c r="E125" s="134">
        <v>304</v>
      </c>
      <c r="F125" s="134">
        <v>541</v>
      </c>
      <c r="G125" s="134">
        <v>68</v>
      </c>
      <c r="H125" s="134">
        <v>958</v>
      </c>
      <c r="I125" s="200">
        <v>7.6137893704600001E-2</v>
      </c>
      <c r="J125" s="134">
        <v>1499</v>
      </c>
      <c r="K125" s="134">
        <v>19687.9625514</v>
      </c>
      <c r="L125" s="42">
        <v>0.78280666740600002</v>
      </c>
      <c r="M125" s="42">
        <v>0.75911251981000005</v>
      </c>
      <c r="N125" s="134">
        <v>0</v>
      </c>
      <c r="O125" s="43" t="s">
        <v>627</v>
      </c>
      <c r="P125" s="43">
        <f t="shared" si="19"/>
        <v>13.970602262875204</v>
      </c>
      <c r="Q125" s="43">
        <f t="shared" si="20"/>
        <v>0.10756551</v>
      </c>
      <c r="R125" s="43">
        <f t="shared" si="21"/>
        <v>1.5326902E-2</v>
      </c>
      <c r="S125" s="43">
        <f t="shared" si="22"/>
        <v>0.78280666700000001</v>
      </c>
      <c r="T125" s="43">
        <f t="shared" si="23"/>
        <v>2.9134626969999999</v>
      </c>
      <c r="U125" s="43">
        <f t="shared" si="24"/>
        <v>7.9421816219999997</v>
      </c>
      <c r="V125" s="43">
        <f t="shared" si="25"/>
        <v>1.5736999000000002E-2</v>
      </c>
      <c r="W125" s="230">
        <f t="shared" si="26"/>
        <v>0.10295350204530956</v>
      </c>
      <c r="X125" s="43">
        <f t="shared" si="27"/>
        <v>0.83542451100000004</v>
      </c>
      <c r="Y125" s="43">
        <v>228.21496959999999</v>
      </c>
      <c r="Z125" s="43">
        <f t="shared" si="16"/>
        <v>0</v>
      </c>
      <c r="AA125" s="43">
        <f t="shared" si="17"/>
        <v>12594</v>
      </c>
      <c r="AB125" s="43">
        <f t="shared" si="18"/>
        <v>7074</v>
      </c>
      <c r="AC125" s="43">
        <f t="shared" si="28"/>
        <v>0.13292227829411765</v>
      </c>
      <c r="AD125" s="43">
        <f t="shared" si="29"/>
        <v>0.76089565670588233</v>
      </c>
      <c r="AF125" s="43">
        <v>13.970602262875204</v>
      </c>
      <c r="AG125" s="43">
        <v>0.10756551</v>
      </c>
      <c r="AH125" s="43">
        <v>1.5326902E-2</v>
      </c>
      <c r="AI125" s="43">
        <v>0.78280666700000001</v>
      </c>
      <c r="AJ125" s="43">
        <v>2.9134626969999999</v>
      </c>
      <c r="AK125" s="43">
        <v>7.9421816219999997</v>
      </c>
      <c r="AL125" s="43">
        <v>1.5736999000000002E-2</v>
      </c>
      <c r="AM125" s="230">
        <v>0.10295350204530956</v>
      </c>
      <c r="AN125" s="43">
        <v>0.83542451100000004</v>
      </c>
    </row>
    <row r="126" spans="1:40" x14ac:dyDescent="0.25">
      <c r="A126" s="134">
        <v>116</v>
      </c>
      <c r="B126" s="134" t="s">
        <v>215</v>
      </c>
      <c r="C126" s="134" t="s">
        <v>210</v>
      </c>
      <c r="D126" s="134" t="s">
        <v>211</v>
      </c>
      <c r="E126" s="134">
        <v>1486</v>
      </c>
      <c r="F126" s="134">
        <v>2645</v>
      </c>
      <c r="G126" s="134">
        <v>109</v>
      </c>
      <c r="H126" s="134">
        <v>2960</v>
      </c>
      <c r="I126" s="200">
        <v>0.23342447618600001</v>
      </c>
      <c r="J126" s="134">
        <v>5605</v>
      </c>
      <c r="K126" s="134">
        <v>24012.049171400002</v>
      </c>
      <c r="L126" s="42">
        <v>0.83650201462499996</v>
      </c>
      <c r="M126" s="42">
        <v>0.665766981556</v>
      </c>
      <c r="N126" s="134">
        <v>0</v>
      </c>
      <c r="O126" s="43" t="s">
        <v>627</v>
      </c>
      <c r="P126" s="43">
        <f t="shared" si="19"/>
        <v>15.906861577144554</v>
      </c>
      <c r="Q126" s="43">
        <f t="shared" si="20"/>
        <v>7.7364476000000001E-2</v>
      </c>
      <c r="R126" s="43">
        <f t="shared" si="21"/>
        <v>1.3776471E-2</v>
      </c>
      <c r="S126" s="43">
        <f t="shared" si="22"/>
        <v>0.83650201499999999</v>
      </c>
      <c r="T126" s="43">
        <f t="shared" si="23"/>
        <v>3.9068824499999999</v>
      </c>
      <c r="U126" s="43">
        <f t="shared" si="24"/>
        <v>10.207430929999999</v>
      </c>
      <c r="V126" s="43">
        <f t="shared" si="25"/>
        <v>1.5088409000000001E-2</v>
      </c>
      <c r="W126" s="230">
        <f t="shared" si="26"/>
        <v>0.1110084158145557</v>
      </c>
      <c r="X126" s="43">
        <f t="shared" si="27"/>
        <v>0.85820639399999998</v>
      </c>
      <c r="Y126" s="43">
        <v>32.852461429999998</v>
      </c>
      <c r="Z126" s="43">
        <f t="shared" si="16"/>
        <v>0</v>
      </c>
      <c r="AA126" s="43">
        <f t="shared" si="17"/>
        <v>12594</v>
      </c>
      <c r="AB126" s="43">
        <f t="shared" si="18"/>
        <v>7074</v>
      </c>
      <c r="AC126" s="43">
        <f t="shared" si="28"/>
        <v>0.13292227829411765</v>
      </c>
      <c r="AD126" s="43">
        <f t="shared" si="29"/>
        <v>0.76089565670588233</v>
      </c>
      <c r="AF126" s="43">
        <v>15.906861577144554</v>
      </c>
      <c r="AG126" s="43">
        <v>7.7364476000000001E-2</v>
      </c>
      <c r="AH126" s="43">
        <v>1.3776471E-2</v>
      </c>
      <c r="AI126" s="43">
        <v>0.83650201499999999</v>
      </c>
      <c r="AJ126" s="43">
        <v>3.9068824499999999</v>
      </c>
      <c r="AK126" s="43">
        <v>10.207430929999999</v>
      </c>
      <c r="AL126" s="43">
        <v>1.5088409000000001E-2</v>
      </c>
      <c r="AM126" s="230">
        <v>0.1110084158145557</v>
      </c>
      <c r="AN126" s="43">
        <v>0.85820639399999998</v>
      </c>
    </row>
    <row r="127" spans="1:40" x14ac:dyDescent="0.25">
      <c r="A127" s="134">
        <v>117</v>
      </c>
      <c r="B127" s="134" t="s">
        <v>215</v>
      </c>
      <c r="C127" s="134" t="s">
        <v>210</v>
      </c>
      <c r="D127" s="134" t="s">
        <v>211</v>
      </c>
      <c r="E127" s="134">
        <v>295</v>
      </c>
      <c r="F127" s="134">
        <v>525</v>
      </c>
      <c r="G127" s="134">
        <v>58</v>
      </c>
      <c r="H127" s="134">
        <v>1908</v>
      </c>
      <c r="I127" s="200">
        <v>6.2944673531799999E-2</v>
      </c>
      <c r="J127" s="134">
        <v>2433</v>
      </c>
      <c r="K127" s="134">
        <v>38652.992596299999</v>
      </c>
      <c r="L127" s="42">
        <v>0.76887325243000004</v>
      </c>
      <c r="M127" s="42">
        <v>0.86609169314599999</v>
      </c>
      <c r="N127" s="134">
        <v>0</v>
      </c>
      <c r="O127" s="43" t="s">
        <v>627</v>
      </c>
      <c r="P127" s="43">
        <f t="shared" si="19"/>
        <v>14.708049651921092</v>
      </c>
      <c r="Q127" s="43">
        <f t="shared" si="20"/>
        <v>0.134432263</v>
      </c>
      <c r="R127" s="43">
        <f t="shared" si="21"/>
        <v>1.3476887E-2</v>
      </c>
      <c r="S127" s="43">
        <f t="shared" si="22"/>
        <v>0.76887325200000001</v>
      </c>
      <c r="T127" s="43">
        <f t="shared" si="23"/>
        <v>3.209267841</v>
      </c>
      <c r="U127" s="43">
        <f t="shared" si="24"/>
        <v>8.7272444829999998</v>
      </c>
      <c r="V127" s="43">
        <f t="shared" si="25"/>
        <v>1.4870855000000001E-2</v>
      </c>
      <c r="W127" s="230">
        <f t="shared" si="26"/>
        <v>0.1218976942956557</v>
      </c>
      <c r="X127" s="43">
        <f t="shared" si="27"/>
        <v>0.82326061500000003</v>
      </c>
      <c r="Y127" s="43">
        <v>69.646092350000004</v>
      </c>
      <c r="Z127" s="43">
        <f t="shared" si="16"/>
        <v>0</v>
      </c>
      <c r="AA127" s="43">
        <f t="shared" si="17"/>
        <v>12594</v>
      </c>
      <c r="AB127" s="43">
        <f t="shared" si="18"/>
        <v>7074</v>
      </c>
      <c r="AC127" s="43">
        <f t="shared" si="28"/>
        <v>0.13292227829411765</v>
      </c>
      <c r="AD127" s="43">
        <f t="shared" si="29"/>
        <v>0.76089565670588233</v>
      </c>
      <c r="AF127" s="43">
        <v>14.708049651921092</v>
      </c>
      <c r="AG127" s="43">
        <v>0.134432263</v>
      </c>
      <c r="AH127" s="43">
        <v>1.3476887E-2</v>
      </c>
      <c r="AI127" s="43">
        <v>0.76887325200000001</v>
      </c>
      <c r="AJ127" s="43">
        <v>3.209267841</v>
      </c>
      <c r="AK127" s="43">
        <v>8.7272444829999998</v>
      </c>
      <c r="AL127" s="43">
        <v>1.4870855000000001E-2</v>
      </c>
      <c r="AM127" s="230">
        <v>0.1218976942956557</v>
      </c>
      <c r="AN127" s="43">
        <v>0.82326061500000003</v>
      </c>
    </row>
    <row r="128" spans="1:40" x14ac:dyDescent="0.25">
      <c r="A128" s="134">
        <v>118</v>
      </c>
      <c r="B128" s="134" t="s">
        <v>215</v>
      </c>
      <c r="C128" s="134" t="s">
        <v>210</v>
      </c>
      <c r="D128" s="134" t="s">
        <v>211</v>
      </c>
      <c r="E128" s="134">
        <v>1164</v>
      </c>
      <c r="F128" s="134">
        <v>2072</v>
      </c>
      <c r="G128" s="134">
        <v>62</v>
      </c>
      <c r="H128" s="134">
        <v>1392</v>
      </c>
      <c r="I128" s="200">
        <v>7.9172616307600002E-2</v>
      </c>
      <c r="J128" s="134">
        <v>3464</v>
      </c>
      <c r="K128" s="134">
        <v>43752.5013263</v>
      </c>
      <c r="L128" s="42">
        <v>0.74653843805200004</v>
      </c>
      <c r="M128" s="42">
        <v>0.54460093896700001</v>
      </c>
      <c r="N128" s="134">
        <v>0</v>
      </c>
      <c r="O128" s="43" t="s">
        <v>627</v>
      </c>
      <c r="P128" s="43">
        <f t="shared" si="19"/>
        <v>13.825590408503775</v>
      </c>
      <c r="Q128" s="43">
        <f t="shared" si="20"/>
        <v>0.12662359200000001</v>
      </c>
      <c r="R128" s="43">
        <f t="shared" si="21"/>
        <v>1.5435246999999999E-2</v>
      </c>
      <c r="S128" s="43">
        <f t="shared" si="22"/>
        <v>0.74653843799999997</v>
      </c>
      <c r="T128" s="43">
        <f t="shared" si="23"/>
        <v>2.9777637659999998</v>
      </c>
      <c r="U128" s="43">
        <f t="shared" si="24"/>
        <v>7.8387602139999997</v>
      </c>
      <c r="V128" s="43">
        <f t="shared" si="25"/>
        <v>1.9023300999999999E-2</v>
      </c>
      <c r="W128" s="230">
        <f t="shared" si="26"/>
        <v>0.17226453663895011</v>
      </c>
      <c r="X128" s="43">
        <f t="shared" si="27"/>
        <v>0.76206688300000003</v>
      </c>
      <c r="Y128" s="43">
        <v>131.06477849999999</v>
      </c>
      <c r="Z128" s="43">
        <f t="shared" si="16"/>
        <v>0</v>
      </c>
      <c r="AA128" s="43">
        <f t="shared" si="17"/>
        <v>12594</v>
      </c>
      <c r="AB128" s="43">
        <f t="shared" si="18"/>
        <v>7074</v>
      </c>
      <c r="AC128" s="43">
        <f t="shared" si="28"/>
        <v>0.13292227829411765</v>
      </c>
      <c r="AD128" s="43">
        <f t="shared" si="29"/>
        <v>0.76089565670588233</v>
      </c>
      <c r="AF128" s="43">
        <v>13.825590408503775</v>
      </c>
      <c r="AG128" s="43">
        <v>0.12662359200000001</v>
      </c>
      <c r="AH128" s="43">
        <v>1.5435246999999999E-2</v>
      </c>
      <c r="AI128" s="43">
        <v>0.74653843799999997</v>
      </c>
      <c r="AJ128" s="43">
        <v>2.9777637659999998</v>
      </c>
      <c r="AK128" s="43">
        <v>7.8387602139999997</v>
      </c>
      <c r="AL128" s="43">
        <v>1.9023300999999999E-2</v>
      </c>
      <c r="AM128" s="230">
        <v>0.17226453663895011</v>
      </c>
      <c r="AN128" s="43">
        <v>0.76206688300000003</v>
      </c>
    </row>
    <row r="129" spans="1:40" x14ac:dyDescent="0.25">
      <c r="A129" s="134">
        <v>119</v>
      </c>
      <c r="B129" s="134" t="s">
        <v>215</v>
      </c>
      <c r="C129" s="134" t="s">
        <v>210</v>
      </c>
      <c r="D129" s="134" t="s">
        <v>211</v>
      </c>
      <c r="E129" s="134">
        <v>96</v>
      </c>
      <c r="F129" s="134">
        <v>171</v>
      </c>
      <c r="G129" s="134">
        <v>82</v>
      </c>
      <c r="H129" s="134">
        <v>892</v>
      </c>
      <c r="I129" s="200">
        <v>4.85469527528E-2</v>
      </c>
      <c r="J129" s="134">
        <v>1063</v>
      </c>
      <c r="K129" s="134">
        <v>21896.327981999999</v>
      </c>
      <c r="L129" s="42">
        <v>0.78482073083100001</v>
      </c>
      <c r="M129" s="42">
        <v>0.90283400809699998</v>
      </c>
      <c r="N129" s="134">
        <v>0</v>
      </c>
      <c r="O129" s="43" t="s">
        <v>627</v>
      </c>
      <c r="P129" s="43">
        <f t="shared" si="19"/>
        <v>14.47223628173586</v>
      </c>
      <c r="Q129" s="43">
        <f t="shared" si="20"/>
        <v>0.124278703</v>
      </c>
      <c r="R129" s="43">
        <f t="shared" si="21"/>
        <v>1.3410022000000001E-2</v>
      </c>
      <c r="S129" s="43">
        <f t="shared" si="22"/>
        <v>0.78482073100000005</v>
      </c>
      <c r="T129" s="43">
        <f t="shared" si="23"/>
        <v>3.1988808579999999</v>
      </c>
      <c r="U129" s="43">
        <f t="shared" si="24"/>
        <v>8.6479879030000006</v>
      </c>
      <c r="V129" s="43">
        <f t="shared" si="25"/>
        <v>1.4560909E-2</v>
      </c>
      <c r="W129" s="230">
        <f t="shared" si="26"/>
        <v>9.6551824860159771E-2</v>
      </c>
      <c r="X129" s="43">
        <f t="shared" si="27"/>
        <v>0.84854902099999996</v>
      </c>
      <c r="Y129" s="43">
        <v>63.50214596</v>
      </c>
      <c r="Z129" s="43">
        <f t="shared" si="16"/>
        <v>0</v>
      </c>
      <c r="AA129" s="43">
        <f t="shared" si="17"/>
        <v>12594</v>
      </c>
      <c r="AB129" s="43">
        <f t="shared" si="18"/>
        <v>7074</v>
      </c>
      <c r="AC129" s="43">
        <f t="shared" si="28"/>
        <v>0.13292227829411765</v>
      </c>
      <c r="AD129" s="43">
        <f t="shared" si="29"/>
        <v>0.76089565670588233</v>
      </c>
      <c r="AF129" s="43">
        <v>14.47223628173586</v>
      </c>
      <c r="AG129" s="43">
        <v>0.124278703</v>
      </c>
      <c r="AH129" s="43">
        <v>1.3410022000000001E-2</v>
      </c>
      <c r="AI129" s="43">
        <v>0.78482073100000005</v>
      </c>
      <c r="AJ129" s="43">
        <v>3.1988808579999999</v>
      </c>
      <c r="AK129" s="43">
        <v>8.6479879030000006</v>
      </c>
      <c r="AL129" s="43">
        <v>1.4560909E-2</v>
      </c>
      <c r="AM129" s="230">
        <v>9.6551824860159771E-2</v>
      </c>
      <c r="AN129" s="43">
        <v>0.84854902099999996</v>
      </c>
    </row>
    <row r="130" spans="1:40" x14ac:dyDescent="0.25">
      <c r="A130" s="134">
        <v>120</v>
      </c>
      <c r="B130" s="134" t="s">
        <v>215</v>
      </c>
      <c r="C130" s="134" t="s">
        <v>210</v>
      </c>
      <c r="D130" s="134" t="s">
        <v>211</v>
      </c>
      <c r="E130" s="134">
        <v>579</v>
      </c>
      <c r="F130" s="134">
        <v>1031</v>
      </c>
      <c r="G130" s="134">
        <v>35</v>
      </c>
      <c r="H130" s="134">
        <v>877</v>
      </c>
      <c r="I130" s="200">
        <v>7.4637731663299997E-2</v>
      </c>
      <c r="J130" s="134">
        <v>1908</v>
      </c>
      <c r="K130" s="134">
        <v>25563.477847999999</v>
      </c>
      <c r="L130" s="42">
        <v>0.73150699459000001</v>
      </c>
      <c r="M130" s="42">
        <v>0.60233516483500005</v>
      </c>
      <c r="N130" s="134">
        <v>0</v>
      </c>
      <c r="O130" s="43" t="s">
        <v>627</v>
      </c>
      <c r="P130" s="43">
        <f t="shared" si="19"/>
        <v>13.176195967146869</v>
      </c>
      <c r="Q130" s="43">
        <f t="shared" si="20"/>
        <v>0.14180259100000001</v>
      </c>
      <c r="R130" s="43">
        <f t="shared" si="21"/>
        <v>1.4083867E-2</v>
      </c>
      <c r="S130" s="43">
        <f t="shared" si="22"/>
        <v>0.73150699500000005</v>
      </c>
      <c r="T130" s="43">
        <f t="shared" si="23"/>
        <v>2.7401384320000002</v>
      </c>
      <c r="U130" s="43">
        <f t="shared" si="24"/>
        <v>6.9390362080000001</v>
      </c>
      <c r="V130" s="43">
        <f t="shared" si="25"/>
        <v>1.9198653999999999E-2</v>
      </c>
      <c r="W130" s="230">
        <f t="shared" si="26"/>
        <v>0.17710726886904987</v>
      </c>
      <c r="X130" s="43">
        <f t="shared" si="27"/>
        <v>0.74563352999999999</v>
      </c>
      <c r="Y130" s="43">
        <v>104.67398919999999</v>
      </c>
      <c r="Z130" s="43">
        <f t="shared" si="16"/>
        <v>0</v>
      </c>
      <c r="AA130" s="43">
        <f t="shared" si="17"/>
        <v>12594</v>
      </c>
      <c r="AB130" s="43">
        <f t="shared" si="18"/>
        <v>7074</v>
      </c>
      <c r="AC130" s="43">
        <f t="shared" si="28"/>
        <v>0.13292227829411765</v>
      </c>
      <c r="AD130" s="43">
        <f t="shared" si="29"/>
        <v>0.76089565670588233</v>
      </c>
      <c r="AF130" s="43">
        <v>13.176195967146869</v>
      </c>
      <c r="AG130" s="43">
        <v>0.14180259100000001</v>
      </c>
      <c r="AH130" s="43">
        <v>1.4083867E-2</v>
      </c>
      <c r="AI130" s="43">
        <v>0.73150699500000005</v>
      </c>
      <c r="AJ130" s="43">
        <v>2.7401384320000002</v>
      </c>
      <c r="AK130" s="43">
        <v>6.9390362080000001</v>
      </c>
      <c r="AL130" s="43">
        <v>1.9198653999999999E-2</v>
      </c>
      <c r="AM130" s="230">
        <v>0.17710726886904987</v>
      </c>
      <c r="AN130" s="43">
        <v>0.74563352999999999</v>
      </c>
    </row>
    <row r="131" spans="1:40" x14ac:dyDescent="0.25">
      <c r="A131" s="134">
        <v>121</v>
      </c>
      <c r="B131" s="134" t="s">
        <v>215</v>
      </c>
      <c r="C131" s="134" t="s">
        <v>210</v>
      </c>
      <c r="D131" s="134" t="s">
        <v>211</v>
      </c>
      <c r="E131" s="134">
        <v>1063</v>
      </c>
      <c r="F131" s="134">
        <v>1893</v>
      </c>
      <c r="G131" s="134">
        <v>35</v>
      </c>
      <c r="H131" s="134">
        <v>666</v>
      </c>
      <c r="I131" s="200">
        <v>7.6010800540099996E-2</v>
      </c>
      <c r="J131" s="134">
        <v>2559</v>
      </c>
      <c r="K131" s="134">
        <v>33666.2682384</v>
      </c>
      <c r="L131" s="42">
        <v>0.69925600951900002</v>
      </c>
      <c r="M131" s="42">
        <v>0.38519375361500002</v>
      </c>
      <c r="N131" s="134">
        <v>0</v>
      </c>
      <c r="O131" s="43" t="s">
        <v>627</v>
      </c>
      <c r="P131" s="43">
        <f t="shared" si="19"/>
        <v>12.293911902172002</v>
      </c>
      <c r="Q131" s="43">
        <f t="shared" si="20"/>
        <v>0.157823305</v>
      </c>
      <c r="R131" s="43">
        <f t="shared" si="21"/>
        <v>2.6505374000000002E-2</v>
      </c>
      <c r="S131" s="43">
        <f t="shared" si="22"/>
        <v>0.69925601000000004</v>
      </c>
      <c r="T131" s="43">
        <f t="shared" si="23"/>
        <v>2.6633212660000001</v>
      </c>
      <c r="U131" s="43">
        <f t="shared" si="24"/>
        <v>6.761210009</v>
      </c>
      <c r="V131" s="43">
        <f t="shared" si="25"/>
        <v>2.2951771999999999E-2</v>
      </c>
      <c r="W131" s="230">
        <f t="shared" si="26"/>
        <v>0.20254158865431382</v>
      </c>
      <c r="X131" s="43">
        <f t="shared" si="27"/>
        <v>0.71252716999999999</v>
      </c>
      <c r="Y131" s="43">
        <v>167.45395260000001</v>
      </c>
      <c r="Z131" s="43">
        <f t="shared" si="16"/>
        <v>0</v>
      </c>
      <c r="AA131" s="43">
        <f t="shared" si="17"/>
        <v>12594</v>
      </c>
      <c r="AB131" s="43">
        <f t="shared" si="18"/>
        <v>7074</v>
      </c>
      <c r="AC131" s="43">
        <f t="shared" si="28"/>
        <v>0.13292227829411765</v>
      </c>
      <c r="AD131" s="43">
        <f t="shared" si="29"/>
        <v>0.76089565670588233</v>
      </c>
      <c r="AF131" s="43">
        <v>12.293911902172002</v>
      </c>
      <c r="AG131" s="43">
        <v>0.157823305</v>
      </c>
      <c r="AH131" s="43">
        <v>2.6505374000000002E-2</v>
      </c>
      <c r="AI131" s="43">
        <v>0.69925601000000004</v>
      </c>
      <c r="AJ131" s="43">
        <v>2.6633212660000001</v>
      </c>
      <c r="AK131" s="43">
        <v>6.761210009</v>
      </c>
      <c r="AL131" s="43">
        <v>2.2951771999999999E-2</v>
      </c>
      <c r="AM131" s="230">
        <v>0.20254158865431382</v>
      </c>
      <c r="AN131" s="43">
        <v>0.71252716999999999</v>
      </c>
    </row>
    <row r="132" spans="1:40" x14ac:dyDescent="0.25">
      <c r="A132" s="134">
        <v>122</v>
      </c>
      <c r="B132" s="134" t="s">
        <v>215</v>
      </c>
      <c r="C132" s="134" t="s">
        <v>210</v>
      </c>
      <c r="D132" s="134" t="s">
        <v>211</v>
      </c>
      <c r="E132" s="134">
        <v>60</v>
      </c>
      <c r="F132" s="134">
        <v>106</v>
      </c>
      <c r="G132" s="134">
        <v>34</v>
      </c>
      <c r="H132" s="134">
        <v>1022</v>
      </c>
      <c r="I132" s="200">
        <v>7.3083060251500007E-2</v>
      </c>
      <c r="J132" s="134">
        <v>1128</v>
      </c>
      <c r="K132" s="134">
        <v>15434.4932481</v>
      </c>
      <c r="L132" s="42">
        <v>0.76979022285900001</v>
      </c>
      <c r="M132" s="42">
        <v>0.94454713493499998</v>
      </c>
      <c r="N132" s="134">
        <v>0</v>
      </c>
      <c r="O132" s="43" t="s">
        <v>664</v>
      </c>
      <c r="P132" s="43">
        <f t="shared" si="19"/>
        <v>14.257532421140915</v>
      </c>
      <c r="Q132" s="43">
        <f t="shared" si="20"/>
        <v>0.13760882099999999</v>
      </c>
      <c r="R132" s="43">
        <f t="shared" si="21"/>
        <v>1.2069583E-2</v>
      </c>
      <c r="S132" s="43">
        <f t="shared" si="22"/>
        <v>0.769790223</v>
      </c>
      <c r="T132" s="43">
        <f t="shared" si="23"/>
        <v>3.109803082</v>
      </c>
      <c r="U132" s="43">
        <f t="shared" si="24"/>
        <v>8.139441691</v>
      </c>
      <c r="V132" s="43">
        <f t="shared" si="25"/>
        <v>1.407601E-2</v>
      </c>
      <c r="W132" s="230">
        <f t="shared" si="26"/>
        <v>0.12332750699933487</v>
      </c>
      <c r="X132" s="43">
        <f t="shared" si="27"/>
        <v>0.80994292300000004</v>
      </c>
      <c r="Y132" s="43">
        <v>106.27506099999999</v>
      </c>
      <c r="Z132" s="43">
        <f t="shared" si="16"/>
        <v>0</v>
      </c>
      <c r="AA132" s="43">
        <f t="shared" si="17"/>
        <v>12594</v>
      </c>
      <c r="AB132" s="43">
        <f t="shared" si="18"/>
        <v>7074</v>
      </c>
      <c r="AC132" s="43">
        <f t="shared" si="28"/>
        <v>0.13292227829411765</v>
      </c>
      <c r="AD132" s="43">
        <f t="shared" si="29"/>
        <v>0.76089565670588233</v>
      </c>
      <c r="AF132" s="43">
        <v>14.257532421140915</v>
      </c>
      <c r="AG132" s="43">
        <v>0.13760882099999999</v>
      </c>
      <c r="AH132" s="43">
        <v>1.2069583E-2</v>
      </c>
      <c r="AI132" s="43">
        <v>0.769790223</v>
      </c>
      <c r="AJ132" s="43">
        <v>3.109803082</v>
      </c>
      <c r="AK132" s="43">
        <v>8.139441691</v>
      </c>
      <c r="AL132" s="43">
        <v>1.407601E-2</v>
      </c>
      <c r="AM132" s="230">
        <v>0.12332750699933487</v>
      </c>
      <c r="AN132" s="43">
        <v>0.80994292300000004</v>
      </c>
    </row>
    <row r="133" spans="1:40" x14ac:dyDescent="0.25">
      <c r="A133" s="134">
        <v>123</v>
      </c>
      <c r="B133" s="134" t="s">
        <v>215</v>
      </c>
      <c r="C133" s="134" t="s">
        <v>210</v>
      </c>
      <c r="D133" s="134" t="s">
        <v>211</v>
      </c>
      <c r="E133" s="134">
        <v>393</v>
      </c>
      <c r="F133" s="134">
        <v>700</v>
      </c>
      <c r="G133" s="134">
        <v>21</v>
      </c>
      <c r="H133" s="134">
        <v>694</v>
      </c>
      <c r="I133" s="200">
        <v>4.5965373230800001E-2</v>
      </c>
      <c r="J133" s="134">
        <v>1394</v>
      </c>
      <c r="K133" s="134">
        <v>30327.176785899999</v>
      </c>
      <c r="L133" s="42">
        <v>0.72168688053999996</v>
      </c>
      <c r="M133" s="42">
        <v>0.63845446182200005</v>
      </c>
      <c r="N133" s="134">
        <v>0</v>
      </c>
      <c r="O133" s="43" t="s">
        <v>627</v>
      </c>
      <c r="P133" s="43">
        <f t="shared" si="19"/>
        <v>13.401305315891022</v>
      </c>
      <c r="Q133" s="43">
        <f t="shared" si="20"/>
        <v>0.148154377</v>
      </c>
      <c r="R133" s="43">
        <f t="shared" si="21"/>
        <v>1.6501095E-2</v>
      </c>
      <c r="S133" s="43">
        <f t="shared" si="22"/>
        <v>0.721686881</v>
      </c>
      <c r="T133" s="43">
        <f t="shared" si="23"/>
        <v>2.7311914939999999</v>
      </c>
      <c r="U133" s="43">
        <f t="shared" si="24"/>
        <v>7.3290311170000004</v>
      </c>
      <c r="V133" s="43">
        <f t="shared" si="25"/>
        <v>1.9230769000000002E-2</v>
      </c>
      <c r="W133" s="230">
        <f t="shared" si="26"/>
        <v>0.17177954411088484</v>
      </c>
      <c r="X133" s="43">
        <f t="shared" si="27"/>
        <v>0.75027918299999996</v>
      </c>
      <c r="Y133" s="43">
        <v>180.8565634</v>
      </c>
      <c r="Z133" s="43">
        <f t="shared" si="16"/>
        <v>0</v>
      </c>
      <c r="AA133" s="43">
        <f t="shared" si="17"/>
        <v>12594</v>
      </c>
      <c r="AB133" s="43">
        <f t="shared" si="18"/>
        <v>7074</v>
      </c>
      <c r="AC133" s="43">
        <f t="shared" si="28"/>
        <v>0.13292227829411765</v>
      </c>
      <c r="AD133" s="43">
        <f t="shared" si="29"/>
        <v>0.76089565670588233</v>
      </c>
      <c r="AF133" s="43">
        <v>13.401305315891022</v>
      </c>
      <c r="AG133" s="43">
        <v>0.148154377</v>
      </c>
      <c r="AH133" s="43">
        <v>1.6501095E-2</v>
      </c>
      <c r="AI133" s="43">
        <v>0.721686881</v>
      </c>
      <c r="AJ133" s="43">
        <v>2.7311914939999999</v>
      </c>
      <c r="AK133" s="43">
        <v>7.3290311170000004</v>
      </c>
      <c r="AL133" s="43">
        <v>1.9230769000000002E-2</v>
      </c>
      <c r="AM133" s="230">
        <v>0.17177954411088484</v>
      </c>
      <c r="AN133" s="43">
        <v>0.75027918299999996</v>
      </c>
    </row>
    <row r="134" spans="1:40" x14ac:dyDescent="0.25">
      <c r="A134" s="134">
        <v>124</v>
      </c>
      <c r="B134" s="134" t="s">
        <v>215</v>
      </c>
      <c r="C134" s="134" t="s">
        <v>210</v>
      </c>
      <c r="D134" s="134" t="s">
        <v>211</v>
      </c>
      <c r="E134" s="134">
        <v>150</v>
      </c>
      <c r="F134" s="134">
        <v>268</v>
      </c>
      <c r="G134" s="134">
        <v>32</v>
      </c>
      <c r="H134" s="134">
        <v>587</v>
      </c>
      <c r="I134" s="200">
        <v>6.9415756526999994E-2</v>
      </c>
      <c r="J134" s="134">
        <v>855</v>
      </c>
      <c r="K134" s="134">
        <v>12317.088263199999</v>
      </c>
      <c r="L134" s="42">
        <v>0.76846543861000005</v>
      </c>
      <c r="M134" s="42">
        <v>0.79647218453199997</v>
      </c>
      <c r="N134" s="134">
        <v>0</v>
      </c>
      <c r="O134" s="43" t="s">
        <v>664</v>
      </c>
      <c r="P134" s="43">
        <f t="shared" si="19"/>
        <v>13.70112400336037</v>
      </c>
      <c r="Q134" s="43">
        <f t="shared" si="20"/>
        <v>0.12515605499999999</v>
      </c>
      <c r="R134" s="43">
        <f t="shared" si="21"/>
        <v>1.4592727999999999E-2</v>
      </c>
      <c r="S134" s="43">
        <f t="shared" si="22"/>
        <v>0.76846543899999997</v>
      </c>
      <c r="T134" s="43">
        <f t="shared" si="23"/>
        <v>2.9610903500000001</v>
      </c>
      <c r="U134" s="43">
        <f t="shared" si="24"/>
        <v>7.7443342069999996</v>
      </c>
      <c r="V134" s="43">
        <f t="shared" si="25"/>
        <v>1.5844499000000001E-2</v>
      </c>
      <c r="W134" s="230">
        <f t="shared" si="26"/>
        <v>0.10866036061386611</v>
      </c>
      <c r="X134" s="43">
        <f t="shared" si="27"/>
        <v>0.819779649</v>
      </c>
      <c r="Y134" s="43">
        <v>106.0035903</v>
      </c>
      <c r="Z134" s="43">
        <f t="shared" si="16"/>
        <v>0</v>
      </c>
      <c r="AA134" s="43">
        <f t="shared" si="17"/>
        <v>12594</v>
      </c>
      <c r="AB134" s="43">
        <f t="shared" si="18"/>
        <v>7074</v>
      </c>
      <c r="AC134" s="43">
        <f t="shared" si="28"/>
        <v>0.13292227829411765</v>
      </c>
      <c r="AD134" s="43">
        <f t="shared" si="29"/>
        <v>0.76089565670588233</v>
      </c>
      <c r="AF134" s="43">
        <v>13.70112400336037</v>
      </c>
      <c r="AG134" s="43">
        <v>0.12515605499999999</v>
      </c>
      <c r="AH134" s="43">
        <v>1.4592727999999999E-2</v>
      </c>
      <c r="AI134" s="43">
        <v>0.76846543899999997</v>
      </c>
      <c r="AJ134" s="43">
        <v>2.9610903500000001</v>
      </c>
      <c r="AK134" s="43">
        <v>7.7443342069999996</v>
      </c>
      <c r="AL134" s="43">
        <v>1.5844499000000001E-2</v>
      </c>
      <c r="AM134" s="230">
        <v>0.10866036061386611</v>
      </c>
      <c r="AN134" s="43">
        <v>0.819779649</v>
      </c>
    </row>
    <row r="135" spans="1:40" x14ac:dyDescent="0.25">
      <c r="A135" s="134">
        <v>125</v>
      </c>
      <c r="B135" s="134" t="s">
        <v>215</v>
      </c>
      <c r="C135" s="134" t="s">
        <v>210</v>
      </c>
      <c r="D135" s="134" t="s">
        <v>211</v>
      </c>
      <c r="E135" s="134">
        <v>0</v>
      </c>
      <c r="F135" s="134">
        <v>0</v>
      </c>
      <c r="G135" s="134">
        <v>18</v>
      </c>
      <c r="H135" s="134">
        <v>642</v>
      </c>
      <c r="I135" s="200">
        <v>3.24973824292E-2</v>
      </c>
      <c r="J135" s="134">
        <v>642</v>
      </c>
      <c r="K135" s="134">
        <v>19755.437269400001</v>
      </c>
      <c r="L135" s="42">
        <v>0.77826629775800005</v>
      </c>
      <c r="M135" s="42">
        <v>1</v>
      </c>
      <c r="N135" s="134">
        <v>0</v>
      </c>
      <c r="O135" s="43" t="s">
        <v>627</v>
      </c>
      <c r="P135" s="43">
        <f t="shared" si="19"/>
        <v>15.476593876529339</v>
      </c>
      <c r="Q135" s="43">
        <f t="shared" si="20"/>
        <v>0.13114123</v>
      </c>
      <c r="R135" s="43">
        <f t="shared" si="21"/>
        <v>1.0297298E-2</v>
      </c>
      <c r="S135" s="43">
        <f t="shared" si="22"/>
        <v>0.77826629800000002</v>
      </c>
      <c r="T135" s="43">
        <f t="shared" si="23"/>
        <v>3.2117812059999999</v>
      </c>
      <c r="U135" s="43">
        <f t="shared" si="24"/>
        <v>8.0231969569999997</v>
      </c>
      <c r="V135" s="43">
        <f t="shared" si="25"/>
        <v>1.1206307E-2</v>
      </c>
      <c r="W135" s="230">
        <f t="shared" si="26"/>
        <v>0.12962178714532363</v>
      </c>
      <c r="X135" s="43">
        <f t="shared" si="27"/>
        <v>0.81477017299999999</v>
      </c>
      <c r="Y135" s="43">
        <v>54.212312850000004</v>
      </c>
      <c r="Z135" s="43">
        <f t="shared" si="16"/>
        <v>0</v>
      </c>
      <c r="AA135" s="43">
        <f t="shared" si="17"/>
        <v>12594</v>
      </c>
      <c r="AB135" s="43">
        <f t="shared" si="18"/>
        <v>7074</v>
      </c>
      <c r="AC135" s="43">
        <f t="shared" si="28"/>
        <v>0.13292227829411765</v>
      </c>
      <c r="AD135" s="43">
        <f t="shared" si="29"/>
        <v>0.76089565670588233</v>
      </c>
      <c r="AF135" s="43">
        <v>15.476593876529339</v>
      </c>
      <c r="AG135" s="43">
        <v>0.13114123</v>
      </c>
      <c r="AH135" s="43">
        <v>1.0297298E-2</v>
      </c>
      <c r="AI135" s="43">
        <v>0.77826629800000002</v>
      </c>
      <c r="AJ135" s="43">
        <v>3.2117812059999999</v>
      </c>
      <c r="AK135" s="43">
        <v>8.0231969569999997</v>
      </c>
      <c r="AL135" s="43">
        <v>1.1206307E-2</v>
      </c>
      <c r="AM135" s="230">
        <v>0.12962178714532363</v>
      </c>
      <c r="AN135" s="43">
        <v>0.81477017299999999</v>
      </c>
    </row>
    <row r="136" spans="1:40" x14ac:dyDescent="0.25">
      <c r="A136" s="134">
        <v>126</v>
      </c>
      <c r="B136" s="134" t="s">
        <v>215</v>
      </c>
      <c r="C136" s="134" t="s">
        <v>210</v>
      </c>
      <c r="D136" s="134" t="s">
        <v>211</v>
      </c>
      <c r="E136" s="134">
        <v>5</v>
      </c>
      <c r="F136" s="134">
        <v>9</v>
      </c>
      <c r="G136" s="134">
        <v>17</v>
      </c>
      <c r="H136" s="134">
        <v>885</v>
      </c>
      <c r="I136" s="200">
        <v>3.6687710272800003E-2</v>
      </c>
      <c r="J136" s="134">
        <v>894</v>
      </c>
      <c r="K136" s="134">
        <v>24367.833079600001</v>
      </c>
      <c r="L136" s="42">
        <v>0.77449037372600005</v>
      </c>
      <c r="M136" s="42">
        <v>0.99438202247200003</v>
      </c>
      <c r="N136" s="134">
        <v>0</v>
      </c>
      <c r="O136" s="43" t="s">
        <v>627</v>
      </c>
      <c r="P136" s="43">
        <f t="shared" si="19"/>
        <v>15.402357826161166</v>
      </c>
      <c r="Q136" s="43">
        <f t="shared" si="20"/>
        <v>0.13114165</v>
      </c>
      <c r="R136" s="43">
        <f t="shared" si="21"/>
        <v>1.0189803000000001E-2</v>
      </c>
      <c r="S136" s="43">
        <f t="shared" si="22"/>
        <v>0.77449037399999998</v>
      </c>
      <c r="T136" s="43">
        <f t="shared" si="23"/>
        <v>3.1538358909999999</v>
      </c>
      <c r="U136" s="43">
        <f t="shared" si="24"/>
        <v>7.8977081470000003</v>
      </c>
      <c r="V136" s="43">
        <f t="shared" si="25"/>
        <v>1.1598242999999999E-2</v>
      </c>
      <c r="W136" s="230">
        <f t="shared" si="26"/>
        <v>0.1478716870600463</v>
      </c>
      <c r="X136" s="43">
        <f t="shared" si="27"/>
        <v>0.80157792800000005</v>
      </c>
      <c r="Y136" s="43">
        <v>54.268018560000002</v>
      </c>
      <c r="Z136" s="43">
        <f t="shared" si="16"/>
        <v>0</v>
      </c>
      <c r="AA136" s="43">
        <f t="shared" si="17"/>
        <v>12594</v>
      </c>
      <c r="AB136" s="43">
        <f t="shared" si="18"/>
        <v>7074</v>
      </c>
      <c r="AC136" s="43">
        <f t="shared" si="28"/>
        <v>0.13292227829411765</v>
      </c>
      <c r="AD136" s="43">
        <f t="shared" si="29"/>
        <v>0.76089565670588233</v>
      </c>
      <c r="AF136" s="43">
        <v>15.402357826161166</v>
      </c>
      <c r="AG136" s="43">
        <v>0.13114165</v>
      </c>
      <c r="AH136" s="43">
        <v>1.0189803000000001E-2</v>
      </c>
      <c r="AI136" s="43">
        <v>0.77449037399999998</v>
      </c>
      <c r="AJ136" s="43">
        <v>3.1538358909999999</v>
      </c>
      <c r="AK136" s="43">
        <v>7.8977081470000003</v>
      </c>
      <c r="AL136" s="43">
        <v>1.1598242999999999E-2</v>
      </c>
      <c r="AM136" s="230">
        <v>0.1478716870600463</v>
      </c>
      <c r="AN136" s="43">
        <v>0.80157792800000005</v>
      </c>
    </row>
    <row r="137" spans="1:40" x14ac:dyDescent="0.25">
      <c r="A137" s="134">
        <v>127</v>
      </c>
      <c r="B137" s="134" t="s">
        <v>209</v>
      </c>
      <c r="C137" s="134" t="s">
        <v>210</v>
      </c>
      <c r="D137" s="134" t="s">
        <v>211</v>
      </c>
      <c r="E137" s="134">
        <v>1355</v>
      </c>
      <c r="F137" s="134">
        <v>3048</v>
      </c>
      <c r="G137" s="134">
        <v>1667</v>
      </c>
      <c r="H137" s="134">
        <v>2946</v>
      </c>
      <c r="I137" s="200">
        <v>2.60380748057</v>
      </c>
      <c r="J137" s="134">
        <v>5994</v>
      </c>
      <c r="K137" s="134">
        <v>2302.01351088</v>
      </c>
      <c r="L137" s="42">
        <v>0.91113546274900004</v>
      </c>
      <c r="M137" s="42">
        <v>0.68495698674700001</v>
      </c>
      <c r="N137" s="134">
        <v>0</v>
      </c>
      <c r="O137" s="43" t="s">
        <v>666</v>
      </c>
      <c r="P137" s="43">
        <f t="shared" si="19"/>
        <v>14.516693895537458</v>
      </c>
      <c r="Q137" s="43">
        <f t="shared" si="20"/>
        <v>4.0686174999999998E-2</v>
      </c>
      <c r="R137" s="43">
        <f t="shared" si="21"/>
        <v>1.1344254999999999E-2</v>
      </c>
      <c r="S137" s="43">
        <f t="shared" si="22"/>
        <v>0.91113546300000003</v>
      </c>
      <c r="T137" s="43">
        <f t="shared" si="23"/>
        <v>3.674533174</v>
      </c>
      <c r="U137" s="43">
        <f t="shared" si="24"/>
        <v>11.00489761</v>
      </c>
      <c r="V137" s="43">
        <f t="shared" si="25"/>
        <v>9.6700889999999998E-3</v>
      </c>
      <c r="W137" s="230">
        <f t="shared" si="26"/>
        <v>7.9300100461478118E-2</v>
      </c>
      <c r="X137" s="43">
        <f t="shared" si="27"/>
        <v>0.89899860899999995</v>
      </c>
      <c r="Y137" s="43">
        <v>24.204607750000001</v>
      </c>
      <c r="Z137" s="43">
        <f t="shared" si="16"/>
        <v>0</v>
      </c>
      <c r="AA137" s="43">
        <f t="shared" si="17"/>
        <v>478718</v>
      </c>
      <c r="AB137" s="43">
        <f t="shared" si="18"/>
        <v>186107</v>
      </c>
      <c r="AC137" s="43">
        <f t="shared" si="28"/>
        <v>7.5967312731255288E-2</v>
      </c>
      <c r="AD137" s="43">
        <f t="shared" si="29"/>
        <v>0.80847972010000058</v>
      </c>
      <c r="AF137" s="43">
        <v>14.516693895537458</v>
      </c>
      <c r="AG137" s="43">
        <v>4.0686174999999998E-2</v>
      </c>
      <c r="AH137" s="43">
        <v>1.1344254999999999E-2</v>
      </c>
      <c r="AI137" s="43">
        <v>0.91113546300000003</v>
      </c>
      <c r="AJ137" s="43">
        <v>3.674533174</v>
      </c>
      <c r="AK137" s="43">
        <v>11.00489761</v>
      </c>
      <c r="AL137" s="43">
        <v>9.6700889999999998E-3</v>
      </c>
      <c r="AM137" s="230">
        <v>7.9300100461478118E-2</v>
      </c>
      <c r="AN137" s="43">
        <v>0.89899860899999995</v>
      </c>
    </row>
    <row r="138" spans="1:40" x14ac:dyDescent="0.25">
      <c r="A138" s="134">
        <v>128</v>
      </c>
      <c r="B138" s="134" t="s">
        <v>209</v>
      </c>
      <c r="C138" s="134" t="s">
        <v>210</v>
      </c>
      <c r="D138" s="134" t="s">
        <v>211</v>
      </c>
      <c r="E138" s="134">
        <v>214</v>
      </c>
      <c r="F138" s="134">
        <v>482</v>
      </c>
      <c r="G138" s="134">
        <v>41</v>
      </c>
      <c r="H138" s="134">
        <v>43</v>
      </c>
      <c r="I138" s="200">
        <v>2.9622789262100001E-2</v>
      </c>
      <c r="J138" s="134">
        <v>525</v>
      </c>
      <c r="K138" s="134">
        <v>17722.841537799999</v>
      </c>
      <c r="L138" s="42">
        <v>0.79111891924599997</v>
      </c>
      <c r="M138" s="42">
        <v>0.167315175097</v>
      </c>
      <c r="N138" s="134">
        <v>1</v>
      </c>
      <c r="O138" s="43" t="s">
        <v>664</v>
      </c>
      <c r="P138" s="43">
        <f t="shared" si="19"/>
        <v>10.074020513815782</v>
      </c>
      <c r="Q138" s="43">
        <f t="shared" si="20"/>
        <v>8.2187355000000004E-2</v>
      </c>
      <c r="R138" s="43">
        <f t="shared" si="21"/>
        <v>2.0405485000000001E-2</v>
      </c>
      <c r="S138" s="43">
        <f t="shared" si="22"/>
        <v>0.79111891899999998</v>
      </c>
      <c r="T138" s="43">
        <f t="shared" si="23"/>
        <v>2.1984676219999999</v>
      </c>
      <c r="U138" s="43">
        <f t="shared" si="24"/>
        <v>6.0609487700000004</v>
      </c>
      <c r="V138" s="43">
        <f t="shared" si="25"/>
        <v>1.0119114E-2</v>
      </c>
      <c r="W138" s="230">
        <f t="shared" si="26"/>
        <v>0.1959224823568948</v>
      </c>
      <c r="X138" s="43">
        <f t="shared" si="27"/>
        <v>0.72260184500000002</v>
      </c>
      <c r="Y138" s="43">
        <v>92.332794250000006</v>
      </c>
      <c r="Z138" s="43">
        <f t="shared" si="16"/>
        <v>0</v>
      </c>
      <c r="AA138" s="43">
        <f t="shared" si="17"/>
        <v>478718</v>
      </c>
      <c r="AB138" s="43">
        <f t="shared" si="18"/>
        <v>186107</v>
      </c>
      <c r="AC138" s="43">
        <f t="shared" si="28"/>
        <v>7.5967312731255288E-2</v>
      </c>
      <c r="AD138" s="43">
        <f t="shared" si="29"/>
        <v>0.80847972010000058</v>
      </c>
      <c r="AF138" s="43">
        <v>10.074020513815782</v>
      </c>
      <c r="AG138" s="43">
        <v>8.2187355000000004E-2</v>
      </c>
      <c r="AH138" s="43">
        <v>2.0405485000000001E-2</v>
      </c>
      <c r="AI138" s="43">
        <v>0.79111891899999998</v>
      </c>
      <c r="AJ138" s="43">
        <v>2.1984676219999999</v>
      </c>
      <c r="AK138" s="43">
        <v>6.0609487700000004</v>
      </c>
      <c r="AL138" s="43">
        <v>1.0119114E-2</v>
      </c>
      <c r="AM138" s="230">
        <v>0.1959224823568948</v>
      </c>
      <c r="AN138" s="43">
        <v>0.72260184500000002</v>
      </c>
    </row>
    <row r="139" spans="1:40" x14ac:dyDescent="0.25">
      <c r="A139" s="134">
        <v>129</v>
      </c>
      <c r="B139" s="134" t="s">
        <v>209</v>
      </c>
      <c r="C139" s="134" t="s">
        <v>210</v>
      </c>
      <c r="D139" s="134" t="s">
        <v>211</v>
      </c>
      <c r="E139" s="134">
        <v>275</v>
      </c>
      <c r="F139" s="134">
        <v>619</v>
      </c>
      <c r="G139" s="134">
        <v>28</v>
      </c>
      <c r="H139" s="134">
        <v>257</v>
      </c>
      <c r="I139" s="200">
        <v>6.3557160681200001E-2</v>
      </c>
      <c r="J139" s="134">
        <v>876</v>
      </c>
      <c r="K139" s="134">
        <v>13782.8686903</v>
      </c>
      <c r="L139" s="42">
        <v>0.77422525363100003</v>
      </c>
      <c r="M139" s="42">
        <v>0.48308270676699999</v>
      </c>
      <c r="N139" s="134">
        <v>1</v>
      </c>
      <c r="O139" s="43" t="s">
        <v>664</v>
      </c>
      <c r="P139" s="43">
        <f t="shared" si="19"/>
        <v>10.938921344126683</v>
      </c>
      <c r="Q139" s="43">
        <f t="shared" si="20"/>
        <v>9.3266401999999998E-2</v>
      </c>
      <c r="R139" s="43">
        <f t="shared" si="21"/>
        <v>2.2909273000000001E-2</v>
      </c>
      <c r="S139" s="43">
        <f t="shared" si="22"/>
        <v>0.77422525399999997</v>
      </c>
      <c r="T139" s="43">
        <f t="shared" si="23"/>
        <v>2.3266475639999999</v>
      </c>
      <c r="U139" s="43">
        <f t="shared" si="24"/>
        <v>6.8824089190000004</v>
      </c>
      <c r="V139" s="43">
        <f t="shared" si="25"/>
        <v>2.0155071E-2</v>
      </c>
      <c r="W139" s="230">
        <f t="shared" si="26"/>
        <v>0.18028505028484459</v>
      </c>
      <c r="X139" s="43">
        <f t="shared" si="27"/>
        <v>0.72428685999999998</v>
      </c>
      <c r="Y139" s="43">
        <v>124.8065909</v>
      </c>
      <c r="Z139" s="43">
        <f t="shared" ref="Z139:Z202" si="30">IF(B139="Berkeley",1,0)</f>
        <v>0</v>
      </c>
      <c r="AA139" s="43">
        <f t="shared" ref="AA139:AA202" si="31">SUMIFS(F:F,B:B,B139)</f>
        <v>478718</v>
      </c>
      <c r="AB139" s="43">
        <f t="shared" ref="AB139:AB202" si="32">SUMIFS(E:E,B:B,B139)</f>
        <v>186107</v>
      </c>
      <c r="AC139" s="43">
        <f t="shared" si="28"/>
        <v>7.5967312731255288E-2</v>
      </c>
      <c r="AD139" s="43">
        <f t="shared" si="29"/>
        <v>0.80847972010000058</v>
      </c>
      <c r="AF139" s="43">
        <v>10.938921344126683</v>
      </c>
      <c r="AG139" s="43">
        <v>9.3266401999999998E-2</v>
      </c>
      <c r="AH139" s="43">
        <v>2.2909273000000001E-2</v>
      </c>
      <c r="AI139" s="43">
        <v>0.77422525399999997</v>
      </c>
      <c r="AJ139" s="43">
        <v>2.3266475639999999</v>
      </c>
      <c r="AK139" s="43">
        <v>6.8824089190000004</v>
      </c>
      <c r="AL139" s="43">
        <v>2.0155071E-2</v>
      </c>
      <c r="AM139" s="230">
        <v>0.18028505028484459</v>
      </c>
      <c r="AN139" s="43">
        <v>0.72428685999999998</v>
      </c>
    </row>
    <row r="140" spans="1:40" x14ac:dyDescent="0.25">
      <c r="A140" s="134">
        <v>130</v>
      </c>
      <c r="B140" s="134" t="s">
        <v>209</v>
      </c>
      <c r="C140" s="134" t="s">
        <v>210</v>
      </c>
      <c r="D140" s="134" t="s">
        <v>211</v>
      </c>
      <c r="E140" s="134">
        <v>659</v>
      </c>
      <c r="F140" s="134">
        <v>1483</v>
      </c>
      <c r="G140" s="134">
        <v>33</v>
      </c>
      <c r="H140" s="134">
        <v>388</v>
      </c>
      <c r="I140" s="200">
        <v>7.4292032327300001E-2</v>
      </c>
      <c r="J140" s="134">
        <v>1871</v>
      </c>
      <c r="K140" s="134">
        <v>25184.3965145</v>
      </c>
      <c r="L140" s="42">
        <v>0.74693975297000004</v>
      </c>
      <c r="M140" s="42">
        <v>0.37058261700099998</v>
      </c>
      <c r="N140" s="134">
        <v>1</v>
      </c>
      <c r="O140" s="43" t="s">
        <v>664</v>
      </c>
      <c r="P140" s="43">
        <f t="shared" ref="P140:P203" si="33">IF(OR(IFERROR(AF140=0,TRUE),ISERROR(AF140)),AVERAGEIFS(AF:AF,$B:$B,$B140,AF:AF,"&gt;0"),AF140)</f>
        <v>10.857129746428081</v>
      </c>
      <c r="Q140" s="43">
        <f t="shared" ref="Q140:Q203" si="34">IF(OR(IFERROR(AG140=0,TRUE),ISERROR(AG140)),AVERAGEIFS(AG:AG,$B:$B,$B140,AG:AG,"&gt;0"),AG140)</f>
        <v>9.8452913000000003E-2</v>
      </c>
      <c r="R140" s="43">
        <f t="shared" ref="R140:R203" si="35">IF(OR(IFERROR(AH140=0,TRUE),ISERROR(AH140)),AVERAGEIFS(AH:AH,$B:$B,$B140,AH:AH,"&gt;0"),AH140)</f>
        <v>2.6677187000000002E-2</v>
      </c>
      <c r="S140" s="43">
        <f t="shared" ref="S140:S203" si="36">IF(OR(IFERROR(AI140=0,TRUE),ISERROR(AI140)),AVERAGEIFS(AI:AI,$B:$B,$B140,AI:AI,"&gt;0"),AI140)</f>
        <v>0.74693975300000004</v>
      </c>
      <c r="T140" s="43">
        <f t="shared" ref="T140:T203" si="37">IF(OR(IFERROR(AJ140=0,TRUE),ISERROR(AJ140)),AVERAGEIFS(AJ:AJ,$B:$B,$B140,AJ:AJ,"&gt;0"),AJ140)</f>
        <v>2.0962003450000002</v>
      </c>
      <c r="U140" s="43">
        <f t="shared" ref="U140:U203" si="38">IF(OR(IFERROR(AK140=0,TRUE),ISERROR(AK140)),AVERAGEIFS(AK:AK,$B:$B,$B140,AK:AK,"&gt;0"),AK140)</f>
        <v>6.5679516180000004</v>
      </c>
      <c r="V140" s="43">
        <f t="shared" ref="V140:V203" si="39">IF(OR(IFERROR(AL140=0,TRUE),ISERROR(AL140)),AVERAGEIFS(AL:AL,$B:$B,$B140,AL:AL,"&gt;0"),AL140)</f>
        <v>2.6265887000000002E-2</v>
      </c>
      <c r="W140" s="230">
        <f t="shared" ref="W140:W203" si="40">IF(OR(IFERROR(AM140=0,TRUE),ISERROR(AM140)),AVERAGEIFS(AM:AM,$B:$B,$B140,AM:AM,"&gt;0"),AM140)</f>
        <v>0.20622352229170868</v>
      </c>
      <c r="X140" s="43">
        <f t="shared" ref="X140:X203" si="41">IF(OR(IFERROR(AN140=0,TRUE),ISERROR(AN140)),AVERAGEIFS(AN:AN,$B:$B,$B140,AN:AN,"&gt;0"),AN140)</f>
        <v>0.68652410699999999</v>
      </c>
      <c r="Y140" s="43">
        <v>125.9690851</v>
      </c>
      <c r="Z140" s="43">
        <f t="shared" si="30"/>
        <v>0</v>
      </c>
      <c r="AA140" s="43">
        <f t="shared" si="31"/>
        <v>478718</v>
      </c>
      <c r="AB140" s="43">
        <f t="shared" si="32"/>
        <v>186107</v>
      </c>
      <c r="AC140" s="43">
        <f t="shared" ref="AC140:AC203" si="42">AVERAGEIFS(Q:Q,B:B,B140,N:N,0,Q:Q,"&gt;0")</f>
        <v>7.5967312731255288E-2</v>
      </c>
      <c r="AD140" s="43">
        <f t="shared" ref="AD140:AD203" si="43">AVERAGEIFS(S:S,B:B,B140,N:N,0,S:S,"&gt;0")</f>
        <v>0.80847972010000058</v>
      </c>
      <c r="AF140" s="43">
        <v>10.857129746428081</v>
      </c>
      <c r="AG140" s="43">
        <v>9.8452913000000003E-2</v>
      </c>
      <c r="AH140" s="43">
        <v>2.6677187000000002E-2</v>
      </c>
      <c r="AI140" s="43">
        <v>0.74693975300000004</v>
      </c>
      <c r="AJ140" s="43">
        <v>2.0962003450000002</v>
      </c>
      <c r="AK140" s="43">
        <v>6.5679516180000004</v>
      </c>
      <c r="AL140" s="43">
        <v>2.6265887000000002E-2</v>
      </c>
      <c r="AM140" s="230">
        <v>0.20622352229170868</v>
      </c>
      <c r="AN140" s="43">
        <v>0.68652410699999999</v>
      </c>
    </row>
    <row r="141" spans="1:40" x14ac:dyDescent="0.25">
      <c r="A141" s="134">
        <v>131</v>
      </c>
      <c r="B141" s="134" t="s">
        <v>209</v>
      </c>
      <c r="C141" s="134" t="s">
        <v>210</v>
      </c>
      <c r="D141" s="134" t="s">
        <v>211</v>
      </c>
      <c r="E141" s="134">
        <v>67</v>
      </c>
      <c r="F141" s="134">
        <v>141</v>
      </c>
      <c r="G141" s="134">
        <v>46</v>
      </c>
      <c r="H141" s="134">
        <v>40</v>
      </c>
      <c r="I141" s="200">
        <v>8.6551271721600001E-3</v>
      </c>
      <c r="J141" s="134">
        <v>181</v>
      </c>
      <c r="K141" s="134">
        <v>20912.459909599998</v>
      </c>
      <c r="L141" s="42">
        <v>0.80894288322999996</v>
      </c>
      <c r="M141" s="42">
        <v>0.37383177570100001</v>
      </c>
      <c r="N141" s="134">
        <v>1</v>
      </c>
      <c r="O141" s="43" t="s">
        <v>664</v>
      </c>
      <c r="P141" s="43">
        <f t="shared" si="33"/>
        <v>10.612450813837349</v>
      </c>
      <c r="Q141" s="43">
        <f t="shared" si="34"/>
        <v>7.2537282999999994E-2</v>
      </c>
      <c r="R141" s="43">
        <f t="shared" si="35"/>
        <v>1.3061784E-2</v>
      </c>
      <c r="S141" s="43">
        <f t="shared" si="36"/>
        <v>0.80894288299999995</v>
      </c>
      <c r="T141" s="43">
        <f t="shared" si="37"/>
        <v>2.640267176</v>
      </c>
      <c r="U141" s="43">
        <f t="shared" si="38"/>
        <v>6.3780251689999998</v>
      </c>
      <c r="V141" s="43">
        <f t="shared" si="39"/>
        <v>6.9039280000000001E-3</v>
      </c>
      <c r="W141" s="230">
        <f t="shared" si="40"/>
        <v>0.15655387008945937</v>
      </c>
      <c r="X141" s="43">
        <f t="shared" si="41"/>
        <v>0.72423181599999997</v>
      </c>
      <c r="Y141" s="43">
        <v>123.3453567</v>
      </c>
      <c r="Z141" s="43">
        <f t="shared" si="30"/>
        <v>0</v>
      </c>
      <c r="AA141" s="43">
        <f t="shared" si="31"/>
        <v>478718</v>
      </c>
      <c r="AB141" s="43">
        <f t="shared" si="32"/>
        <v>186107</v>
      </c>
      <c r="AC141" s="43">
        <f t="shared" si="42"/>
        <v>7.5967312731255288E-2</v>
      </c>
      <c r="AD141" s="43">
        <f t="shared" si="43"/>
        <v>0.80847972010000058</v>
      </c>
      <c r="AF141" s="43">
        <v>10.612450813837349</v>
      </c>
      <c r="AG141" s="43">
        <v>7.2537282999999994E-2</v>
      </c>
      <c r="AH141" s="43">
        <v>1.3061784E-2</v>
      </c>
      <c r="AI141" s="43">
        <v>0.80894288299999995</v>
      </c>
      <c r="AJ141" s="43">
        <v>2.640267176</v>
      </c>
      <c r="AK141" s="43">
        <v>6.3780251689999998</v>
      </c>
      <c r="AL141" s="43">
        <v>6.9039280000000001E-3</v>
      </c>
      <c r="AM141" s="230">
        <v>0.15655387008945937</v>
      </c>
      <c r="AN141" s="43">
        <v>0.72423181599999997</v>
      </c>
    </row>
    <row r="142" spans="1:40" x14ac:dyDescent="0.25">
      <c r="A142" s="134">
        <v>132</v>
      </c>
      <c r="B142" s="134" t="s">
        <v>209</v>
      </c>
      <c r="C142" s="134" t="s">
        <v>210</v>
      </c>
      <c r="D142" s="134" t="s">
        <v>211</v>
      </c>
      <c r="E142" s="134">
        <v>482</v>
      </c>
      <c r="F142" s="134">
        <v>1010</v>
      </c>
      <c r="G142" s="134">
        <v>40</v>
      </c>
      <c r="H142" s="134">
        <v>518</v>
      </c>
      <c r="I142" s="200">
        <v>8.1478526051199998E-2</v>
      </c>
      <c r="J142" s="134">
        <v>1528</v>
      </c>
      <c r="K142" s="134">
        <v>18753.407481099999</v>
      </c>
      <c r="L142" s="42">
        <v>0.77620946234300003</v>
      </c>
      <c r="M142" s="42">
        <v>0.51800000000000002</v>
      </c>
      <c r="N142" s="134">
        <v>1</v>
      </c>
      <c r="O142" s="43" t="s">
        <v>664</v>
      </c>
      <c r="P142" s="43">
        <f t="shared" si="33"/>
        <v>11.739565465143347</v>
      </c>
      <c r="Q142" s="43">
        <f t="shared" si="34"/>
        <v>8.8909483999999997E-2</v>
      </c>
      <c r="R142" s="43">
        <f t="shared" si="35"/>
        <v>1.8935352999999999E-2</v>
      </c>
      <c r="S142" s="43">
        <f t="shared" si="36"/>
        <v>0.77620946199999996</v>
      </c>
      <c r="T142" s="43">
        <f t="shared" si="37"/>
        <v>2.3867369350000001</v>
      </c>
      <c r="U142" s="43">
        <f t="shared" si="38"/>
        <v>7.1712226120000002</v>
      </c>
      <c r="V142" s="43">
        <f t="shared" si="39"/>
        <v>1.9636919999999999E-2</v>
      </c>
      <c r="W142" s="230">
        <f t="shared" si="40"/>
        <v>0.18095386160874455</v>
      </c>
      <c r="X142" s="43">
        <f t="shared" si="41"/>
        <v>0.73414815</v>
      </c>
      <c r="Y142" s="43">
        <v>243.40590979999999</v>
      </c>
      <c r="Z142" s="43">
        <f t="shared" si="30"/>
        <v>0</v>
      </c>
      <c r="AA142" s="43">
        <f t="shared" si="31"/>
        <v>478718</v>
      </c>
      <c r="AB142" s="43">
        <f t="shared" si="32"/>
        <v>186107</v>
      </c>
      <c r="AC142" s="43">
        <f t="shared" si="42"/>
        <v>7.5967312731255288E-2</v>
      </c>
      <c r="AD142" s="43">
        <f t="shared" si="43"/>
        <v>0.80847972010000058</v>
      </c>
      <c r="AF142" s="43">
        <v>11.739565465143347</v>
      </c>
      <c r="AG142" s="43">
        <v>8.8909483999999997E-2</v>
      </c>
      <c r="AH142" s="43">
        <v>1.8935352999999999E-2</v>
      </c>
      <c r="AI142" s="43">
        <v>0.77620946199999996</v>
      </c>
      <c r="AJ142" s="43">
        <v>2.3867369350000001</v>
      </c>
      <c r="AK142" s="43">
        <v>7.1712226120000002</v>
      </c>
      <c r="AL142" s="43">
        <v>1.9636919999999999E-2</v>
      </c>
      <c r="AM142" s="230">
        <v>0.18095386160874455</v>
      </c>
      <c r="AN142" s="43">
        <v>0.73414815</v>
      </c>
    </row>
    <row r="143" spans="1:40" x14ac:dyDescent="0.25">
      <c r="A143" s="134">
        <v>133</v>
      </c>
      <c r="B143" s="134" t="s">
        <v>209</v>
      </c>
      <c r="C143" s="134" t="s">
        <v>210</v>
      </c>
      <c r="D143" s="134" t="s">
        <v>211</v>
      </c>
      <c r="E143" s="134">
        <v>587</v>
      </c>
      <c r="F143" s="134">
        <v>1231</v>
      </c>
      <c r="G143" s="134">
        <v>45</v>
      </c>
      <c r="H143" s="134">
        <v>333</v>
      </c>
      <c r="I143" s="200">
        <v>8.9616215205699998E-2</v>
      </c>
      <c r="J143" s="134">
        <v>1564</v>
      </c>
      <c r="K143" s="134">
        <v>17452.198761200001</v>
      </c>
      <c r="L143" s="42">
        <v>0.78351192622700006</v>
      </c>
      <c r="M143" s="42">
        <v>0.361956521739</v>
      </c>
      <c r="N143" s="134">
        <v>1</v>
      </c>
      <c r="O143" s="43" t="s">
        <v>664</v>
      </c>
      <c r="P143" s="43">
        <f t="shared" si="33"/>
        <v>11.503645244313589</v>
      </c>
      <c r="Q143" s="43">
        <f t="shared" si="34"/>
        <v>8.7746639000000001E-2</v>
      </c>
      <c r="R143" s="43">
        <f t="shared" si="35"/>
        <v>2.1015789999999999E-2</v>
      </c>
      <c r="S143" s="43">
        <f t="shared" si="36"/>
        <v>0.78351192599999997</v>
      </c>
      <c r="T143" s="43">
        <f t="shared" si="37"/>
        <v>2.2726092269999998</v>
      </c>
      <c r="U143" s="43">
        <f t="shared" si="38"/>
        <v>6.9947005390000001</v>
      </c>
      <c r="V143" s="43">
        <f t="shared" si="39"/>
        <v>1.8678727999999999E-2</v>
      </c>
      <c r="W143" s="230">
        <f t="shared" si="40"/>
        <v>0.18364032168920671</v>
      </c>
      <c r="X143" s="43">
        <f t="shared" si="41"/>
        <v>0.738103026</v>
      </c>
      <c r="Y143" s="43">
        <v>171.30831330000001</v>
      </c>
      <c r="Z143" s="43">
        <f t="shared" si="30"/>
        <v>0</v>
      </c>
      <c r="AA143" s="43">
        <f t="shared" si="31"/>
        <v>478718</v>
      </c>
      <c r="AB143" s="43">
        <f t="shared" si="32"/>
        <v>186107</v>
      </c>
      <c r="AC143" s="43">
        <f t="shared" si="42"/>
        <v>7.5967312731255288E-2</v>
      </c>
      <c r="AD143" s="43">
        <f t="shared" si="43"/>
        <v>0.80847972010000058</v>
      </c>
      <c r="AF143" s="43">
        <v>11.503645244313589</v>
      </c>
      <c r="AG143" s="43">
        <v>8.7746639000000001E-2</v>
      </c>
      <c r="AH143" s="43">
        <v>2.1015789999999999E-2</v>
      </c>
      <c r="AI143" s="43">
        <v>0.78351192599999997</v>
      </c>
      <c r="AJ143" s="43">
        <v>2.2726092269999998</v>
      </c>
      <c r="AK143" s="43">
        <v>6.9947005390000001</v>
      </c>
      <c r="AL143" s="43">
        <v>1.8678727999999999E-2</v>
      </c>
      <c r="AM143" s="230">
        <v>0.18364032168920671</v>
      </c>
      <c r="AN143" s="43">
        <v>0.738103026</v>
      </c>
    </row>
    <row r="144" spans="1:40" x14ac:dyDescent="0.25">
      <c r="A144" s="134">
        <v>134</v>
      </c>
      <c r="B144" s="134" t="s">
        <v>209</v>
      </c>
      <c r="C144" s="134" t="s">
        <v>210</v>
      </c>
      <c r="D144" s="134" t="s">
        <v>211</v>
      </c>
      <c r="E144" s="134">
        <v>210</v>
      </c>
      <c r="F144" s="134">
        <v>488</v>
      </c>
      <c r="G144" s="134">
        <v>58</v>
      </c>
      <c r="H144" s="134">
        <v>1861</v>
      </c>
      <c r="I144" s="200">
        <v>5.3223666152300002E-2</v>
      </c>
      <c r="J144" s="134">
        <v>2349</v>
      </c>
      <c r="K144" s="134">
        <v>44134.501995300001</v>
      </c>
      <c r="L144" s="42">
        <v>0.81841599292800005</v>
      </c>
      <c r="M144" s="42">
        <v>0.89859971028499996</v>
      </c>
      <c r="N144" s="134">
        <v>1</v>
      </c>
      <c r="O144" s="43" t="s">
        <v>627</v>
      </c>
      <c r="P144" s="43">
        <f t="shared" si="33"/>
        <v>13.699820682157563</v>
      </c>
      <c r="Q144" s="43">
        <f t="shared" si="34"/>
        <v>7.8266227999999993E-2</v>
      </c>
      <c r="R144" s="43">
        <f t="shared" si="35"/>
        <v>1.2853481999999999E-2</v>
      </c>
      <c r="S144" s="43">
        <f t="shared" si="36"/>
        <v>0.81841599300000001</v>
      </c>
      <c r="T144" s="43">
        <f t="shared" si="37"/>
        <v>2.7831877170000001</v>
      </c>
      <c r="U144" s="43">
        <f t="shared" si="38"/>
        <v>8.3698708110000002</v>
      </c>
      <c r="V144" s="43">
        <f t="shared" si="39"/>
        <v>1.4135010999999999E-2</v>
      </c>
      <c r="W144" s="230">
        <f t="shared" si="40"/>
        <v>0.13055118219460263</v>
      </c>
      <c r="X144" s="43">
        <f t="shared" si="41"/>
        <v>0.802574542</v>
      </c>
      <c r="Y144" s="43">
        <v>129.8399886</v>
      </c>
      <c r="Z144" s="43">
        <f t="shared" si="30"/>
        <v>0</v>
      </c>
      <c r="AA144" s="43">
        <f t="shared" si="31"/>
        <v>478718</v>
      </c>
      <c r="AB144" s="43">
        <f t="shared" si="32"/>
        <v>186107</v>
      </c>
      <c r="AC144" s="43">
        <f t="shared" si="42"/>
        <v>7.5967312731255288E-2</v>
      </c>
      <c r="AD144" s="43">
        <f t="shared" si="43"/>
        <v>0.80847972010000058</v>
      </c>
      <c r="AF144" s="43">
        <v>13.699820682157563</v>
      </c>
      <c r="AG144" s="43">
        <v>7.8266227999999993E-2</v>
      </c>
      <c r="AH144" s="43">
        <v>1.2853481999999999E-2</v>
      </c>
      <c r="AI144" s="43">
        <v>0.81841599300000001</v>
      </c>
      <c r="AJ144" s="43">
        <v>2.7831877170000001</v>
      </c>
      <c r="AK144" s="43">
        <v>8.3698708110000002</v>
      </c>
      <c r="AL144" s="43">
        <v>1.4135010999999999E-2</v>
      </c>
      <c r="AM144" s="230">
        <v>0.13055118219460263</v>
      </c>
      <c r="AN144" s="43">
        <v>0.802574542</v>
      </c>
    </row>
    <row r="145" spans="1:40" x14ac:dyDescent="0.25">
      <c r="A145" s="134">
        <v>135</v>
      </c>
      <c r="B145" s="134" t="s">
        <v>209</v>
      </c>
      <c r="C145" s="134" t="s">
        <v>210</v>
      </c>
      <c r="D145" s="134" t="s">
        <v>211</v>
      </c>
      <c r="E145" s="134">
        <v>202</v>
      </c>
      <c r="F145" s="134">
        <v>470</v>
      </c>
      <c r="G145" s="134">
        <v>21</v>
      </c>
      <c r="H145" s="134">
        <v>722</v>
      </c>
      <c r="I145" s="200">
        <v>4.3083328474299999E-2</v>
      </c>
      <c r="J145" s="134">
        <v>1192</v>
      </c>
      <c r="K145" s="134">
        <v>27667.314532299999</v>
      </c>
      <c r="L145" s="42">
        <v>0.78682817705100006</v>
      </c>
      <c r="M145" s="42">
        <v>0.78138528138499996</v>
      </c>
      <c r="N145" s="134">
        <v>1</v>
      </c>
      <c r="O145" s="43" t="s">
        <v>627</v>
      </c>
      <c r="P145" s="43">
        <f t="shared" si="33"/>
        <v>13.161582701493012</v>
      </c>
      <c r="Q145" s="43">
        <f t="shared" si="34"/>
        <v>9.5532392999999993E-2</v>
      </c>
      <c r="R145" s="43">
        <f t="shared" si="35"/>
        <v>1.4877164999999999E-2</v>
      </c>
      <c r="S145" s="43">
        <f t="shared" si="36"/>
        <v>0.78682817699999996</v>
      </c>
      <c r="T145" s="43">
        <f t="shared" si="37"/>
        <v>2.5997280759999999</v>
      </c>
      <c r="U145" s="43">
        <f t="shared" si="38"/>
        <v>7.8622587670000001</v>
      </c>
      <c r="V145" s="43">
        <f t="shared" si="39"/>
        <v>1.7563532999999999E-2</v>
      </c>
      <c r="W145" s="230">
        <f t="shared" si="40"/>
        <v>0.18312142932913061</v>
      </c>
      <c r="X145" s="43">
        <f t="shared" si="41"/>
        <v>0.733970813</v>
      </c>
      <c r="Y145" s="43">
        <v>125.15878720000001</v>
      </c>
      <c r="Z145" s="43">
        <f t="shared" si="30"/>
        <v>0</v>
      </c>
      <c r="AA145" s="43">
        <f t="shared" si="31"/>
        <v>478718</v>
      </c>
      <c r="AB145" s="43">
        <f t="shared" si="32"/>
        <v>186107</v>
      </c>
      <c r="AC145" s="43">
        <f t="shared" si="42"/>
        <v>7.5967312731255288E-2</v>
      </c>
      <c r="AD145" s="43">
        <f t="shared" si="43"/>
        <v>0.80847972010000058</v>
      </c>
      <c r="AF145" s="43">
        <v>13.161582701493012</v>
      </c>
      <c r="AG145" s="43">
        <v>9.5532392999999993E-2</v>
      </c>
      <c r="AH145" s="43">
        <v>1.4877164999999999E-2</v>
      </c>
      <c r="AI145" s="43">
        <v>0.78682817699999996</v>
      </c>
      <c r="AJ145" s="43">
        <v>2.5997280759999999</v>
      </c>
      <c r="AK145" s="43">
        <v>7.8622587670000001</v>
      </c>
      <c r="AL145" s="43">
        <v>1.7563532999999999E-2</v>
      </c>
      <c r="AM145" s="230">
        <v>0.18312142932913061</v>
      </c>
      <c r="AN145" s="43">
        <v>0.733970813</v>
      </c>
    </row>
    <row r="146" spans="1:40" x14ac:dyDescent="0.25">
      <c r="A146" s="134">
        <v>136</v>
      </c>
      <c r="B146" s="134" t="s">
        <v>209</v>
      </c>
      <c r="C146" s="134" t="s">
        <v>210</v>
      </c>
      <c r="D146" s="134" t="s">
        <v>211</v>
      </c>
      <c r="E146" s="134">
        <v>108</v>
      </c>
      <c r="F146" s="134">
        <v>251</v>
      </c>
      <c r="G146" s="134">
        <v>36</v>
      </c>
      <c r="H146" s="134">
        <v>186</v>
      </c>
      <c r="I146" s="200">
        <v>3.4488212265799997E-2</v>
      </c>
      <c r="J146" s="134">
        <v>437</v>
      </c>
      <c r="K146" s="134">
        <v>12670.9960096</v>
      </c>
      <c r="L146" s="42">
        <v>0.82547045663899998</v>
      </c>
      <c r="M146" s="42">
        <v>0.632653061224</v>
      </c>
      <c r="N146" s="134">
        <v>1</v>
      </c>
      <c r="O146" s="43" t="s">
        <v>664</v>
      </c>
      <c r="P146" s="43">
        <f t="shared" si="33"/>
        <v>12.323019508786663</v>
      </c>
      <c r="Q146" s="43">
        <f t="shared" si="34"/>
        <v>7.2805631999999995E-2</v>
      </c>
      <c r="R146" s="43">
        <f t="shared" si="35"/>
        <v>1.4124665999999999E-2</v>
      </c>
      <c r="S146" s="43">
        <f t="shared" si="36"/>
        <v>0.82547045699999999</v>
      </c>
      <c r="T146" s="43">
        <f t="shared" si="37"/>
        <v>2.82046332</v>
      </c>
      <c r="U146" s="43">
        <f t="shared" si="38"/>
        <v>7.7839903079999999</v>
      </c>
      <c r="V146" s="43">
        <f t="shared" si="39"/>
        <v>1.1540612E-2</v>
      </c>
      <c r="W146" s="230">
        <f t="shared" si="40"/>
        <v>0.13253733727338071</v>
      </c>
      <c r="X146" s="43">
        <f t="shared" si="41"/>
        <v>0.78468173500000005</v>
      </c>
      <c r="Y146" s="43">
        <v>124.50089370000001</v>
      </c>
      <c r="Z146" s="43">
        <f t="shared" si="30"/>
        <v>0</v>
      </c>
      <c r="AA146" s="43">
        <f t="shared" si="31"/>
        <v>478718</v>
      </c>
      <c r="AB146" s="43">
        <f t="shared" si="32"/>
        <v>186107</v>
      </c>
      <c r="AC146" s="43">
        <f t="shared" si="42"/>
        <v>7.5967312731255288E-2</v>
      </c>
      <c r="AD146" s="43">
        <f t="shared" si="43"/>
        <v>0.80847972010000058</v>
      </c>
      <c r="AF146" s="43">
        <v>12.323019508786663</v>
      </c>
      <c r="AG146" s="43">
        <v>7.2805631999999995E-2</v>
      </c>
      <c r="AH146" s="43">
        <v>1.4124665999999999E-2</v>
      </c>
      <c r="AI146" s="43">
        <v>0.82547045699999999</v>
      </c>
      <c r="AJ146" s="43">
        <v>2.82046332</v>
      </c>
      <c r="AK146" s="43">
        <v>7.7839903079999999</v>
      </c>
      <c r="AL146" s="43">
        <v>1.1540612E-2</v>
      </c>
      <c r="AM146" s="230">
        <v>0.13253733727338071</v>
      </c>
      <c r="AN146" s="43">
        <v>0.78468173500000005</v>
      </c>
    </row>
    <row r="147" spans="1:40" x14ac:dyDescent="0.25">
      <c r="A147" s="134">
        <v>137</v>
      </c>
      <c r="B147" s="134" t="s">
        <v>209</v>
      </c>
      <c r="C147" s="134" t="s">
        <v>210</v>
      </c>
      <c r="D147" s="134" t="s">
        <v>211</v>
      </c>
      <c r="E147" s="134">
        <v>133</v>
      </c>
      <c r="F147" s="134">
        <v>269</v>
      </c>
      <c r="G147" s="134">
        <v>46</v>
      </c>
      <c r="H147" s="134">
        <v>96</v>
      </c>
      <c r="I147" s="200">
        <v>2.2404982585699999E-2</v>
      </c>
      <c r="J147" s="134">
        <v>365</v>
      </c>
      <c r="K147" s="134">
        <v>16291.019133899999</v>
      </c>
      <c r="L147" s="42">
        <v>0.80752232228599996</v>
      </c>
      <c r="M147" s="42">
        <v>0.41921397379899999</v>
      </c>
      <c r="N147" s="134">
        <v>1</v>
      </c>
      <c r="O147" s="43" t="s">
        <v>664</v>
      </c>
      <c r="P147" s="43">
        <f t="shared" si="33"/>
        <v>11.391788872367467</v>
      </c>
      <c r="Q147" s="43">
        <f t="shared" si="34"/>
        <v>7.8707677000000004E-2</v>
      </c>
      <c r="R147" s="43">
        <f t="shared" si="35"/>
        <v>1.3835333999999999E-2</v>
      </c>
      <c r="S147" s="43">
        <f t="shared" si="36"/>
        <v>0.80752232199999996</v>
      </c>
      <c r="T147" s="43">
        <f t="shared" si="37"/>
        <v>2.7424872859999998</v>
      </c>
      <c r="U147" s="43">
        <f t="shared" si="38"/>
        <v>7.1178105010000001</v>
      </c>
      <c r="V147" s="43">
        <f t="shared" si="39"/>
        <v>1.0669694E-2</v>
      </c>
      <c r="W147" s="230">
        <f t="shared" si="40"/>
        <v>0.15518728717366628</v>
      </c>
      <c r="X147" s="43">
        <f t="shared" si="41"/>
        <v>0.75173666299999997</v>
      </c>
      <c r="Y147" s="43">
        <v>191.91619349999999</v>
      </c>
      <c r="Z147" s="43">
        <f t="shared" si="30"/>
        <v>0</v>
      </c>
      <c r="AA147" s="43">
        <f t="shared" si="31"/>
        <v>478718</v>
      </c>
      <c r="AB147" s="43">
        <f t="shared" si="32"/>
        <v>186107</v>
      </c>
      <c r="AC147" s="43">
        <f t="shared" si="42"/>
        <v>7.5967312731255288E-2</v>
      </c>
      <c r="AD147" s="43">
        <f t="shared" si="43"/>
        <v>0.80847972010000058</v>
      </c>
      <c r="AF147" s="43">
        <v>11.391788872367467</v>
      </c>
      <c r="AG147" s="43">
        <v>7.8707677000000004E-2</v>
      </c>
      <c r="AH147" s="43">
        <v>1.3835333999999999E-2</v>
      </c>
      <c r="AI147" s="43">
        <v>0.80752232199999996</v>
      </c>
      <c r="AJ147" s="43">
        <v>2.7424872859999998</v>
      </c>
      <c r="AK147" s="43">
        <v>7.1178105010000001</v>
      </c>
      <c r="AL147" s="43">
        <v>1.0669694E-2</v>
      </c>
      <c r="AM147" s="230">
        <v>0.15518728717366628</v>
      </c>
      <c r="AN147" s="43">
        <v>0.75173666299999997</v>
      </c>
    </row>
    <row r="148" spans="1:40" x14ac:dyDescent="0.25">
      <c r="A148" s="134">
        <v>138</v>
      </c>
      <c r="B148" s="134" t="s">
        <v>209</v>
      </c>
      <c r="C148" s="134" t="s">
        <v>210</v>
      </c>
      <c r="D148" s="134" t="s">
        <v>211</v>
      </c>
      <c r="E148" s="134">
        <v>168</v>
      </c>
      <c r="F148" s="134">
        <v>339</v>
      </c>
      <c r="G148" s="134">
        <v>49</v>
      </c>
      <c r="H148" s="134">
        <v>131</v>
      </c>
      <c r="I148" s="200">
        <v>2.4909370420899999E-2</v>
      </c>
      <c r="J148" s="134">
        <v>470</v>
      </c>
      <c r="K148" s="134">
        <v>18868.4014111</v>
      </c>
      <c r="L148" s="42">
        <v>0.81260617760599996</v>
      </c>
      <c r="M148" s="42">
        <v>0.438127090301</v>
      </c>
      <c r="N148" s="134">
        <v>1</v>
      </c>
      <c r="O148" s="43" t="s">
        <v>664</v>
      </c>
      <c r="P148" s="43">
        <f t="shared" si="33"/>
        <v>11.748712159046621</v>
      </c>
      <c r="Q148" s="43">
        <f t="shared" si="34"/>
        <v>8.0086873000000003E-2</v>
      </c>
      <c r="R148" s="43">
        <f t="shared" si="35"/>
        <v>1.4198842E-2</v>
      </c>
      <c r="S148" s="43">
        <f t="shared" si="36"/>
        <v>0.81260617800000001</v>
      </c>
      <c r="T148" s="43">
        <f t="shared" si="37"/>
        <v>2.7886702849999998</v>
      </c>
      <c r="U148" s="43">
        <f t="shared" si="38"/>
        <v>7.5854456360000002</v>
      </c>
      <c r="V148" s="43">
        <f t="shared" si="39"/>
        <v>1.1881734999999999E-2</v>
      </c>
      <c r="W148" s="230">
        <f t="shared" si="40"/>
        <v>0.15625863498203924</v>
      </c>
      <c r="X148" s="43">
        <f t="shared" si="41"/>
        <v>0.76081099799999996</v>
      </c>
      <c r="Y148" s="43">
        <v>142.3289517</v>
      </c>
      <c r="Z148" s="43">
        <f t="shared" si="30"/>
        <v>0</v>
      </c>
      <c r="AA148" s="43">
        <f t="shared" si="31"/>
        <v>478718</v>
      </c>
      <c r="AB148" s="43">
        <f t="shared" si="32"/>
        <v>186107</v>
      </c>
      <c r="AC148" s="43">
        <f t="shared" si="42"/>
        <v>7.5967312731255288E-2</v>
      </c>
      <c r="AD148" s="43">
        <f t="shared" si="43"/>
        <v>0.80847972010000058</v>
      </c>
      <c r="AF148" s="43">
        <v>11.748712159046621</v>
      </c>
      <c r="AG148" s="43">
        <v>8.0086873000000003E-2</v>
      </c>
      <c r="AH148" s="43">
        <v>1.4198842E-2</v>
      </c>
      <c r="AI148" s="43">
        <v>0.81260617800000001</v>
      </c>
      <c r="AJ148" s="43">
        <v>2.7886702849999998</v>
      </c>
      <c r="AK148" s="43">
        <v>7.5854456360000002</v>
      </c>
      <c r="AL148" s="43">
        <v>1.1881734999999999E-2</v>
      </c>
      <c r="AM148" s="230">
        <v>0.15625863498203924</v>
      </c>
      <c r="AN148" s="43">
        <v>0.76081099799999996</v>
      </c>
    </row>
    <row r="149" spans="1:40" x14ac:dyDescent="0.25">
      <c r="A149" s="134">
        <v>139</v>
      </c>
      <c r="B149" s="134" t="s">
        <v>209</v>
      </c>
      <c r="C149" s="134" t="s">
        <v>210</v>
      </c>
      <c r="D149" s="134" t="s">
        <v>211</v>
      </c>
      <c r="E149" s="134">
        <v>232</v>
      </c>
      <c r="F149" s="134">
        <v>470</v>
      </c>
      <c r="G149" s="134">
        <v>40</v>
      </c>
      <c r="H149" s="134">
        <v>102</v>
      </c>
      <c r="I149" s="200">
        <v>2.35763920276E-2</v>
      </c>
      <c r="J149" s="134">
        <v>572</v>
      </c>
      <c r="K149" s="134">
        <v>24261.557889399999</v>
      </c>
      <c r="L149" s="42">
        <v>0.79452018200800001</v>
      </c>
      <c r="M149" s="42">
        <v>0.30538922155699999</v>
      </c>
      <c r="N149" s="134">
        <v>1</v>
      </c>
      <c r="O149" s="43" t="s">
        <v>664</v>
      </c>
      <c r="P149" s="43">
        <f t="shared" si="33"/>
        <v>11.465316332370151</v>
      </c>
      <c r="Q149" s="43">
        <f t="shared" si="34"/>
        <v>9.7138989999999995E-2</v>
      </c>
      <c r="R149" s="43">
        <f t="shared" si="35"/>
        <v>1.5885594999999999E-2</v>
      </c>
      <c r="S149" s="43">
        <f t="shared" si="36"/>
        <v>0.79452018199999996</v>
      </c>
      <c r="T149" s="43">
        <f t="shared" si="37"/>
        <v>2.7568474009999999</v>
      </c>
      <c r="U149" s="43">
        <f t="shared" si="38"/>
        <v>7.6223649269999996</v>
      </c>
      <c r="V149" s="43">
        <f t="shared" si="39"/>
        <v>1.2935489999999999E-2</v>
      </c>
      <c r="W149" s="230">
        <f t="shared" si="40"/>
        <v>0.18472885759785435</v>
      </c>
      <c r="X149" s="43">
        <f t="shared" si="41"/>
        <v>0.73776995499999998</v>
      </c>
      <c r="Y149" s="43">
        <v>147.45990929999999</v>
      </c>
      <c r="Z149" s="43">
        <f t="shared" si="30"/>
        <v>0</v>
      </c>
      <c r="AA149" s="43">
        <f t="shared" si="31"/>
        <v>478718</v>
      </c>
      <c r="AB149" s="43">
        <f t="shared" si="32"/>
        <v>186107</v>
      </c>
      <c r="AC149" s="43">
        <f t="shared" si="42"/>
        <v>7.5967312731255288E-2</v>
      </c>
      <c r="AD149" s="43">
        <f t="shared" si="43"/>
        <v>0.80847972010000058</v>
      </c>
      <c r="AF149" s="43">
        <v>11.465316332370151</v>
      </c>
      <c r="AG149" s="43">
        <v>9.7138989999999995E-2</v>
      </c>
      <c r="AH149" s="43">
        <v>1.5885594999999999E-2</v>
      </c>
      <c r="AI149" s="43">
        <v>0.79452018199999996</v>
      </c>
      <c r="AJ149" s="43">
        <v>2.7568474009999999</v>
      </c>
      <c r="AK149" s="43">
        <v>7.6223649269999996</v>
      </c>
      <c r="AL149" s="43">
        <v>1.2935489999999999E-2</v>
      </c>
      <c r="AM149" s="230">
        <v>0.18472885759785435</v>
      </c>
      <c r="AN149" s="43">
        <v>0.73776995499999998</v>
      </c>
    </row>
    <row r="150" spans="1:40" x14ac:dyDescent="0.25">
      <c r="A150" s="134">
        <v>140</v>
      </c>
      <c r="B150" s="134" t="s">
        <v>209</v>
      </c>
      <c r="C150" s="134" t="s">
        <v>210</v>
      </c>
      <c r="D150" s="134" t="s">
        <v>211</v>
      </c>
      <c r="E150" s="134">
        <v>357</v>
      </c>
      <c r="F150" s="134">
        <v>723</v>
      </c>
      <c r="G150" s="134">
        <v>21</v>
      </c>
      <c r="H150" s="134">
        <v>289</v>
      </c>
      <c r="I150" s="200">
        <v>5.7701867999100001E-2</v>
      </c>
      <c r="J150" s="134">
        <v>1012</v>
      </c>
      <c r="K150" s="134">
        <v>17538.4270058</v>
      </c>
      <c r="L150" s="42">
        <v>0.76086102447899995</v>
      </c>
      <c r="M150" s="42">
        <v>0.44736842105300001</v>
      </c>
      <c r="N150" s="134">
        <v>1</v>
      </c>
      <c r="O150" s="43" t="s">
        <v>664</v>
      </c>
      <c r="P150" s="43">
        <f t="shared" si="33"/>
        <v>11.383037932739397</v>
      </c>
      <c r="Q150" s="43">
        <f t="shared" si="34"/>
        <v>0.105527882</v>
      </c>
      <c r="R150" s="43">
        <f t="shared" si="35"/>
        <v>1.8906452000000001E-2</v>
      </c>
      <c r="S150" s="43">
        <f t="shared" si="36"/>
        <v>0.760861024</v>
      </c>
      <c r="T150" s="43">
        <f t="shared" si="37"/>
        <v>2.529615385</v>
      </c>
      <c r="U150" s="43">
        <f t="shared" si="38"/>
        <v>7.1733344490000004</v>
      </c>
      <c r="V150" s="43">
        <f t="shared" si="39"/>
        <v>2.2143388E-2</v>
      </c>
      <c r="W150" s="230">
        <f t="shared" si="40"/>
        <v>0.21400874515304016</v>
      </c>
      <c r="X150" s="43">
        <f t="shared" si="41"/>
        <v>0.68910155900000003</v>
      </c>
      <c r="Y150" s="43">
        <v>152.56662829999999</v>
      </c>
      <c r="Z150" s="43">
        <f t="shared" si="30"/>
        <v>0</v>
      </c>
      <c r="AA150" s="43">
        <f t="shared" si="31"/>
        <v>478718</v>
      </c>
      <c r="AB150" s="43">
        <f t="shared" si="32"/>
        <v>186107</v>
      </c>
      <c r="AC150" s="43">
        <f t="shared" si="42"/>
        <v>7.5967312731255288E-2</v>
      </c>
      <c r="AD150" s="43">
        <f t="shared" si="43"/>
        <v>0.80847972010000058</v>
      </c>
      <c r="AF150" s="43">
        <v>11.383037932739397</v>
      </c>
      <c r="AG150" s="43">
        <v>0.105527882</v>
      </c>
      <c r="AH150" s="43">
        <v>1.8906452000000001E-2</v>
      </c>
      <c r="AI150" s="43">
        <v>0.760861024</v>
      </c>
      <c r="AJ150" s="43">
        <v>2.529615385</v>
      </c>
      <c r="AK150" s="43">
        <v>7.1733344490000004</v>
      </c>
      <c r="AL150" s="43">
        <v>2.2143388E-2</v>
      </c>
      <c r="AM150" s="230">
        <v>0.21400874515304016</v>
      </c>
      <c r="AN150" s="43">
        <v>0.68910155900000003</v>
      </c>
    </row>
    <row r="151" spans="1:40" x14ac:dyDescent="0.25">
      <c r="A151" s="134">
        <v>141</v>
      </c>
      <c r="B151" s="134" t="s">
        <v>209</v>
      </c>
      <c r="C151" s="134" t="s">
        <v>210</v>
      </c>
      <c r="D151" s="134" t="s">
        <v>211</v>
      </c>
      <c r="E151" s="134">
        <v>340</v>
      </c>
      <c r="F151" s="134">
        <v>779</v>
      </c>
      <c r="G151" s="134">
        <v>34</v>
      </c>
      <c r="H151" s="134">
        <v>111</v>
      </c>
      <c r="I151" s="200">
        <v>5.0850292702700001E-2</v>
      </c>
      <c r="J151" s="134">
        <v>890</v>
      </c>
      <c r="K151" s="134">
        <v>17502.3574634</v>
      </c>
      <c r="L151" s="42">
        <v>0.76216225927000003</v>
      </c>
      <c r="M151" s="42">
        <v>0.246119733925</v>
      </c>
      <c r="N151" s="134">
        <v>0</v>
      </c>
      <c r="O151" s="43" t="s">
        <v>664</v>
      </c>
      <c r="P151" s="43">
        <f t="shared" si="33"/>
        <v>10.787369529477765</v>
      </c>
      <c r="Q151" s="43">
        <f t="shared" si="34"/>
        <v>0.102729472</v>
      </c>
      <c r="R151" s="43">
        <f t="shared" si="35"/>
        <v>2.2114832000000001E-2</v>
      </c>
      <c r="S151" s="43">
        <f t="shared" si="36"/>
        <v>0.76216225900000001</v>
      </c>
      <c r="T151" s="43">
        <f t="shared" si="37"/>
        <v>2.3842197860000001</v>
      </c>
      <c r="U151" s="43">
        <f t="shared" si="38"/>
        <v>6.6349162799999997</v>
      </c>
      <c r="V151" s="43">
        <f t="shared" si="39"/>
        <v>1.7926681999999999E-2</v>
      </c>
      <c r="W151" s="230">
        <f t="shared" si="40"/>
        <v>0.22530325410679916</v>
      </c>
      <c r="X151" s="43">
        <f t="shared" si="41"/>
        <v>0.68338480800000001</v>
      </c>
      <c r="Y151" s="43">
        <v>183.96199369999999</v>
      </c>
      <c r="Z151" s="43">
        <f t="shared" si="30"/>
        <v>0</v>
      </c>
      <c r="AA151" s="43">
        <f t="shared" si="31"/>
        <v>478718</v>
      </c>
      <c r="AB151" s="43">
        <f t="shared" si="32"/>
        <v>186107</v>
      </c>
      <c r="AC151" s="43">
        <f t="shared" si="42"/>
        <v>7.5967312731255288E-2</v>
      </c>
      <c r="AD151" s="43">
        <f t="shared" si="43"/>
        <v>0.80847972010000058</v>
      </c>
      <c r="AF151" s="43">
        <v>10.787369529477765</v>
      </c>
      <c r="AG151" s="43">
        <v>0.102729472</v>
      </c>
      <c r="AH151" s="43">
        <v>2.2114832000000001E-2</v>
      </c>
      <c r="AI151" s="43">
        <v>0.76216225900000001</v>
      </c>
      <c r="AJ151" s="43">
        <v>2.3842197860000001</v>
      </c>
      <c r="AK151" s="43">
        <v>6.6349162799999997</v>
      </c>
      <c r="AL151" s="43">
        <v>1.7926681999999999E-2</v>
      </c>
      <c r="AM151" s="230">
        <v>0.22530325410679916</v>
      </c>
      <c r="AN151" s="43">
        <v>0.68338480800000001</v>
      </c>
    </row>
    <row r="152" spans="1:40" x14ac:dyDescent="0.25">
      <c r="A152" s="134">
        <v>142</v>
      </c>
      <c r="B152" s="134" t="s">
        <v>209</v>
      </c>
      <c r="C152" s="134" t="s">
        <v>210</v>
      </c>
      <c r="D152" s="134" t="s">
        <v>211</v>
      </c>
      <c r="E152" s="134">
        <v>414</v>
      </c>
      <c r="F152" s="134">
        <v>949</v>
      </c>
      <c r="G152" s="134">
        <v>44</v>
      </c>
      <c r="H152" s="134">
        <v>97</v>
      </c>
      <c r="I152" s="200">
        <v>6.4828303317200006E-2</v>
      </c>
      <c r="J152" s="134">
        <v>1046</v>
      </c>
      <c r="K152" s="134">
        <v>16134.927901499999</v>
      </c>
      <c r="L152" s="42">
        <v>0.76736784787199996</v>
      </c>
      <c r="M152" s="42">
        <v>0.18982387475500001</v>
      </c>
      <c r="N152" s="134">
        <v>0</v>
      </c>
      <c r="O152" s="43" t="s">
        <v>664</v>
      </c>
      <c r="P152" s="43">
        <f t="shared" si="33"/>
        <v>10.437698671560362</v>
      </c>
      <c r="Q152" s="43">
        <f t="shared" si="34"/>
        <v>9.8373309000000006E-2</v>
      </c>
      <c r="R152" s="43">
        <f t="shared" si="35"/>
        <v>2.2235497E-2</v>
      </c>
      <c r="S152" s="43">
        <f t="shared" si="36"/>
        <v>0.76736784800000002</v>
      </c>
      <c r="T152" s="43">
        <f t="shared" si="37"/>
        <v>2.4067776460000001</v>
      </c>
      <c r="U152" s="43">
        <f t="shared" si="38"/>
        <v>6.5100600579999996</v>
      </c>
      <c r="V152" s="43">
        <f t="shared" si="39"/>
        <v>1.6290255999999999E-2</v>
      </c>
      <c r="W152" s="230">
        <f t="shared" si="40"/>
        <v>0.22655925258803272</v>
      </c>
      <c r="X152" s="43">
        <f t="shared" si="41"/>
        <v>0.68943607600000001</v>
      </c>
      <c r="Y152" s="43">
        <v>186.34121500000001</v>
      </c>
      <c r="Z152" s="43">
        <f t="shared" si="30"/>
        <v>0</v>
      </c>
      <c r="AA152" s="43">
        <f t="shared" si="31"/>
        <v>478718</v>
      </c>
      <c r="AB152" s="43">
        <f t="shared" si="32"/>
        <v>186107</v>
      </c>
      <c r="AC152" s="43">
        <f t="shared" si="42"/>
        <v>7.5967312731255288E-2</v>
      </c>
      <c r="AD152" s="43">
        <f t="shared" si="43"/>
        <v>0.80847972010000058</v>
      </c>
      <c r="AF152" s="43">
        <v>10.437698671560362</v>
      </c>
      <c r="AG152" s="43">
        <v>9.8373309000000006E-2</v>
      </c>
      <c r="AH152" s="43">
        <v>2.2235497E-2</v>
      </c>
      <c r="AI152" s="43">
        <v>0.76736784800000002</v>
      </c>
      <c r="AJ152" s="43">
        <v>2.4067776460000001</v>
      </c>
      <c r="AK152" s="43">
        <v>6.5100600579999996</v>
      </c>
      <c r="AL152" s="43">
        <v>1.6290255999999999E-2</v>
      </c>
      <c r="AM152" s="230">
        <v>0.22655925258803272</v>
      </c>
      <c r="AN152" s="43">
        <v>0.68943607600000001</v>
      </c>
    </row>
    <row r="153" spans="1:40" x14ac:dyDescent="0.25">
      <c r="A153" s="134">
        <v>143</v>
      </c>
      <c r="B153" s="134" t="s">
        <v>209</v>
      </c>
      <c r="C153" s="134" t="s">
        <v>210</v>
      </c>
      <c r="D153" s="134" t="s">
        <v>211</v>
      </c>
      <c r="E153" s="134">
        <v>702</v>
      </c>
      <c r="F153" s="134">
        <v>1697</v>
      </c>
      <c r="G153" s="134">
        <v>62</v>
      </c>
      <c r="H153" s="134">
        <v>411</v>
      </c>
      <c r="I153" s="200">
        <v>0.13155056710599999</v>
      </c>
      <c r="J153" s="134">
        <v>2108</v>
      </c>
      <c r="K153" s="134">
        <v>16024.2562717</v>
      </c>
      <c r="L153" s="42">
        <v>0.75653967282300005</v>
      </c>
      <c r="M153" s="42">
        <v>0.36927223719699998</v>
      </c>
      <c r="N153" s="134">
        <v>0</v>
      </c>
      <c r="O153" s="43" t="s">
        <v>664</v>
      </c>
      <c r="P153" s="43">
        <f t="shared" si="33"/>
        <v>11.308988844018492</v>
      </c>
      <c r="Q153" s="43">
        <f t="shared" si="34"/>
        <v>0.110901981</v>
      </c>
      <c r="R153" s="43">
        <f t="shared" si="35"/>
        <v>2.1908082999999998E-2</v>
      </c>
      <c r="S153" s="43">
        <f t="shared" si="36"/>
        <v>0.75653967300000002</v>
      </c>
      <c r="T153" s="43">
        <f t="shared" si="37"/>
        <v>2.5023480299999998</v>
      </c>
      <c r="U153" s="43">
        <f t="shared" si="38"/>
        <v>6.7260300849999997</v>
      </c>
      <c r="V153" s="43">
        <f t="shared" si="39"/>
        <v>1.9609841999999999E-2</v>
      </c>
      <c r="W153" s="230">
        <f t="shared" si="40"/>
        <v>0.19445746784352899</v>
      </c>
      <c r="X153" s="43">
        <f t="shared" si="41"/>
        <v>0.72327088900000003</v>
      </c>
      <c r="Y153" s="43">
        <v>171.91172990000001</v>
      </c>
      <c r="Z153" s="43">
        <f t="shared" si="30"/>
        <v>0</v>
      </c>
      <c r="AA153" s="43">
        <f t="shared" si="31"/>
        <v>478718</v>
      </c>
      <c r="AB153" s="43">
        <f t="shared" si="32"/>
        <v>186107</v>
      </c>
      <c r="AC153" s="43">
        <f t="shared" si="42"/>
        <v>7.5967312731255288E-2</v>
      </c>
      <c r="AD153" s="43">
        <f t="shared" si="43"/>
        <v>0.80847972010000058</v>
      </c>
      <c r="AF153" s="43">
        <v>11.308988844018492</v>
      </c>
      <c r="AG153" s="43">
        <v>0.110901981</v>
      </c>
      <c r="AH153" s="43">
        <v>2.1908082999999998E-2</v>
      </c>
      <c r="AI153" s="43">
        <v>0.75653967300000002</v>
      </c>
      <c r="AJ153" s="43">
        <v>2.5023480299999998</v>
      </c>
      <c r="AK153" s="43">
        <v>6.7260300849999997</v>
      </c>
      <c r="AL153" s="43">
        <v>1.9609841999999999E-2</v>
      </c>
      <c r="AM153" s="230">
        <v>0.19445746784352899</v>
      </c>
      <c r="AN153" s="43">
        <v>0.72327088900000003</v>
      </c>
    </row>
    <row r="154" spans="1:40" x14ac:dyDescent="0.25">
      <c r="A154" s="134">
        <v>144</v>
      </c>
      <c r="B154" s="134" t="s">
        <v>209</v>
      </c>
      <c r="C154" s="134" t="s">
        <v>210</v>
      </c>
      <c r="D154" s="134" t="s">
        <v>211</v>
      </c>
      <c r="E154" s="134">
        <v>318</v>
      </c>
      <c r="F154" s="134">
        <v>768</v>
      </c>
      <c r="G154" s="134">
        <v>66</v>
      </c>
      <c r="H154" s="134">
        <v>123</v>
      </c>
      <c r="I154" s="200">
        <v>3.82488913882E-2</v>
      </c>
      <c r="J154" s="134">
        <v>891</v>
      </c>
      <c r="K154" s="134">
        <v>23294.7928073</v>
      </c>
      <c r="L154" s="42">
        <v>0.79351880042599998</v>
      </c>
      <c r="M154" s="42">
        <v>0.27891156462599997</v>
      </c>
      <c r="N154" s="134">
        <v>0</v>
      </c>
      <c r="O154" s="43" t="s">
        <v>664</v>
      </c>
      <c r="P154" s="43">
        <f t="shared" si="33"/>
        <v>10.860833349036049</v>
      </c>
      <c r="Q154" s="43">
        <f t="shared" si="34"/>
        <v>7.8201908000000001E-2</v>
      </c>
      <c r="R154" s="43">
        <f t="shared" si="35"/>
        <v>2.1134621999999999E-2</v>
      </c>
      <c r="S154" s="43">
        <f t="shared" si="36"/>
        <v>0.79351879999999997</v>
      </c>
      <c r="T154" s="43">
        <f t="shared" si="37"/>
        <v>2.3536366360000001</v>
      </c>
      <c r="U154" s="43">
        <f t="shared" si="38"/>
        <v>6.3616977400000003</v>
      </c>
      <c r="V154" s="43">
        <f t="shared" si="39"/>
        <v>1.2384189E-2</v>
      </c>
      <c r="W154" s="230">
        <f t="shared" si="40"/>
        <v>0.16970063783230133</v>
      </c>
      <c r="X154" s="43">
        <f t="shared" si="41"/>
        <v>0.75618045499999997</v>
      </c>
      <c r="Y154" s="43">
        <v>197.64487629999999</v>
      </c>
      <c r="Z154" s="43">
        <f t="shared" si="30"/>
        <v>0</v>
      </c>
      <c r="AA154" s="43">
        <f t="shared" si="31"/>
        <v>478718</v>
      </c>
      <c r="AB154" s="43">
        <f t="shared" si="32"/>
        <v>186107</v>
      </c>
      <c r="AC154" s="43">
        <f t="shared" si="42"/>
        <v>7.5967312731255288E-2</v>
      </c>
      <c r="AD154" s="43">
        <f t="shared" si="43"/>
        <v>0.80847972010000058</v>
      </c>
      <c r="AF154" s="43">
        <v>10.860833349036049</v>
      </c>
      <c r="AG154" s="43">
        <v>7.8201908000000001E-2</v>
      </c>
      <c r="AH154" s="43">
        <v>2.1134621999999999E-2</v>
      </c>
      <c r="AI154" s="43">
        <v>0.79351879999999997</v>
      </c>
      <c r="AJ154" s="43">
        <v>2.3536366360000001</v>
      </c>
      <c r="AK154" s="43">
        <v>6.3616977400000003</v>
      </c>
      <c r="AL154" s="43">
        <v>1.2384189E-2</v>
      </c>
      <c r="AM154" s="230">
        <v>0.16970063783230133</v>
      </c>
      <c r="AN154" s="43">
        <v>0.75618045499999997</v>
      </c>
    </row>
    <row r="155" spans="1:40" x14ac:dyDescent="0.25">
      <c r="A155" s="134">
        <v>145</v>
      </c>
      <c r="B155" s="134" t="s">
        <v>209</v>
      </c>
      <c r="C155" s="134" t="s">
        <v>210</v>
      </c>
      <c r="D155" s="134" t="s">
        <v>211</v>
      </c>
      <c r="E155" s="134">
        <v>502</v>
      </c>
      <c r="F155" s="134">
        <v>1162</v>
      </c>
      <c r="G155" s="134">
        <v>56</v>
      </c>
      <c r="H155" s="134">
        <v>123</v>
      </c>
      <c r="I155" s="200">
        <v>8.8435967687699998E-2</v>
      </c>
      <c r="J155" s="134">
        <v>1285</v>
      </c>
      <c r="K155" s="134">
        <v>14530.287094699999</v>
      </c>
      <c r="L155" s="42">
        <v>0.78532319160099995</v>
      </c>
      <c r="M155" s="42">
        <v>0.1968</v>
      </c>
      <c r="N155" s="134">
        <v>0</v>
      </c>
      <c r="O155" s="43" t="s">
        <v>664</v>
      </c>
      <c r="P155" s="43">
        <f t="shared" si="33"/>
        <v>11.085086645866875</v>
      </c>
      <c r="Q155" s="43">
        <f t="shared" si="34"/>
        <v>9.3545736000000004E-2</v>
      </c>
      <c r="R155" s="43">
        <f t="shared" si="35"/>
        <v>2.1405490999999999E-2</v>
      </c>
      <c r="S155" s="43">
        <f t="shared" si="36"/>
        <v>0.785323192</v>
      </c>
      <c r="T155" s="43">
        <f t="shared" si="37"/>
        <v>2.5632137030000002</v>
      </c>
      <c r="U155" s="43">
        <f t="shared" si="38"/>
        <v>6.723992322</v>
      </c>
      <c r="V155" s="43">
        <f t="shared" si="39"/>
        <v>1.3255522E-2</v>
      </c>
      <c r="W155" s="230">
        <f t="shared" si="40"/>
        <v>0.1960095715195648</v>
      </c>
      <c r="X155" s="43">
        <f t="shared" si="41"/>
        <v>0.73974418600000003</v>
      </c>
      <c r="Y155" s="43">
        <v>182.5847771</v>
      </c>
      <c r="Z155" s="43">
        <f t="shared" si="30"/>
        <v>0</v>
      </c>
      <c r="AA155" s="43">
        <f t="shared" si="31"/>
        <v>478718</v>
      </c>
      <c r="AB155" s="43">
        <f t="shared" si="32"/>
        <v>186107</v>
      </c>
      <c r="AC155" s="43">
        <f t="shared" si="42"/>
        <v>7.5967312731255288E-2</v>
      </c>
      <c r="AD155" s="43">
        <f t="shared" si="43"/>
        <v>0.80847972010000058</v>
      </c>
      <c r="AF155" s="43">
        <v>11.085086645866875</v>
      </c>
      <c r="AG155" s="43">
        <v>9.3545736000000004E-2</v>
      </c>
      <c r="AH155" s="43">
        <v>2.1405490999999999E-2</v>
      </c>
      <c r="AI155" s="43">
        <v>0.785323192</v>
      </c>
      <c r="AJ155" s="43">
        <v>2.5632137030000002</v>
      </c>
      <c r="AK155" s="43">
        <v>6.723992322</v>
      </c>
      <c r="AL155" s="43">
        <v>1.3255522E-2</v>
      </c>
      <c r="AM155" s="230">
        <v>0.1960095715195648</v>
      </c>
      <c r="AN155" s="43">
        <v>0.73974418600000003</v>
      </c>
    </row>
    <row r="156" spans="1:40" x14ac:dyDescent="0.25">
      <c r="A156" s="134">
        <v>146</v>
      </c>
      <c r="B156" s="134" t="s">
        <v>209</v>
      </c>
      <c r="C156" s="134" t="s">
        <v>210</v>
      </c>
      <c r="D156" s="134" t="s">
        <v>211</v>
      </c>
      <c r="E156" s="134">
        <v>675</v>
      </c>
      <c r="F156" s="134">
        <v>1562</v>
      </c>
      <c r="G156" s="134">
        <v>46</v>
      </c>
      <c r="H156" s="134">
        <v>90</v>
      </c>
      <c r="I156" s="200">
        <v>7.2687205150599996E-2</v>
      </c>
      <c r="J156" s="134">
        <v>1652</v>
      </c>
      <c r="K156" s="134">
        <v>22727.5212546</v>
      </c>
      <c r="L156" s="42">
        <v>0.74468535599999996</v>
      </c>
      <c r="M156" s="42">
        <v>0.11764705882400001</v>
      </c>
      <c r="N156" s="134">
        <v>0</v>
      </c>
      <c r="O156" s="43" t="s">
        <v>664</v>
      </c>
      <c r="P156" s="43">
        <f t="shared" si="33"/>
        <v>10.473866848611463</v>
      </c>
      <c r="Q156" s="43">
        <f t="shared" si="34"/>
        <v>0.10834189900000001</v>
      </c>
      <c r="R156" s="43">
        <f t="shared" si="35"/>
        <v>2.3529571999999999E-2</v>
      </c>
      <c r="S156" s="43">
        <f t="shared" si="36"/>
        <v>0.74468535599999996</v>
      </c>
      <c r="T156" s="43">
        <f t="shared" si="37"/>
        <v>2.3783999420000002</v>
      </c>
      <c r="U156" s="43">
        <f t="shared" si="38"/>
        <v>6.1720864129999997</v>
      </c>
      <c r="V156" s="43">
        <f t="shared" si="39"/>
        <v>1.5334586000000001E-2</v>
      </c>
      <c r="W156" s="230">
        <f t="shared" si="40"/>
        <v>0.24249168955051309</v>
      </c>
      <c r="X156" s="43">
        <f t="shared" si="41"/>
        <v>0.66772655000000003</v>
      </c>
      <c r="Y156" s="43">
        <v>209.7436265</v>
      </c>
      <c r="Z156" s="43">
        <f t="shared" si="30"/>
        <v>0</v>
      </c>
      <c r="AA156" s="43">
        <f t="shared" si="31"/>
        <v>478718</v>
      </c>
      <c r="AB156" s="43">
        <f t="shared" si="32"/>
        <v>186107</v>
      </c>
      <c r="AC156" s="43">
        <f t="shared" si="42"/>
        <v>7.5967312731255288E-2</v>
      </c>
      <c r="AD156" s="43">
        <f t="shared" si="43"/>
        <v>0.80847972010000058</v>
      </c>
      <c r="AF156" s="43">
        <v>10.473866848611463</v>
      </c>
      <c r="AG156" s="43">
        <v>0.10834189900000001</v>
      </c>
      <c r="AH156" s="43">
        <v>2.3529571999999999E-2</v>
      </c>
      <c r="AI156" s="43">
        <v>0.74468535599999996</v>
      </c>
      <c r="AJ156" s="43">
        <v>2.3783999420000002</v>
      </c>
      <c r="AK156" s="43">
        <v>6.1720864129999997</v>
      </c>
      <c r="AL156" s="43">
        <v>1.5334586000000001E-2</v>
      </c>
      <c r="AM156" s="230">
        <v>0.24249168955051309</v>
      </c>
      <c r="AN156" s="43">
        <v>0.66772655000000003</v>
      </c>
    </row>
    <row r="157" spans="1:40" x14ac:dyDescent="0.25">
      <c r="A157" s="134">
        <v>147</v>
      </c>
      <c r="B157" s="134" t="s">
        <v>209</v>
      </c>
      <c r="C157" s="134" t="s">
        <v>210</v>
      </c>
      <c r="D157" s="134" t="s">
        <v>211</v>
      </c>
      <c r="E157" s="134">
        <v>236</v>
      </c>
      <c r="F157" s="134">
        <v>546</v>
      </c>
      <c r="G157" s="134">
        <v>22</v>
      </c>
      <c r="H157" s="134">
        <v>117</v>
      </c>
      <c r="I157" s="200">
        <v>3.4884806833599999E-2</v>
      </c>
      <c r="J157" s="134">
        <v>663</v>
      </c>
      <c r="K157" s="134">
        <v>19005.408376300002</v>
      </c>
      <c r="L157" s="42">
        <v>0.75352839632500002</v>
      </c>
      <c r="M157" s="42">
        <v>0.33144475920700001</v>
      </c>
      <c r="N157" s="134">
        <v>0</v>
      </c>
      <c r="O157" s="43" t="s">
        <v>664</v>
      </c>
      <c r="P157" s="43">
        <f t="shared" si="33"/>
        <v>11.267333558311231</v>
      </c>
      <c r="Q157" s="43">
        <f t="shared" si="34"/>
        <v>0.109933292</v>
      </c>
      <c r="R157" s="43">
        <f t="shared" si="35"/>
        <v>2.0775683E-2</v>
      </c>
      <c r="S157" s="43">
        <f t="shared" si="36"/>
        <v>0.75352839599999999</v>
      </c>
      <c r="T157" s="43">
        <f t="shared" si="37"/>
        <v>2.5642211480000001</v>
      </c>
      <c r="U157" s="43">
        <f t="shared" si="38"/>
        <v>6.5252035509999997</v>
      </c>
      <c r="V157" s="43">
        <f t="shared" si="39"/>
        <v>1.6151571E-2</v>
      </c>
      <c r="W157" s="230">
        <f t="shared" si="40"/>
        <v>0.20015599103051573</v>
      </c>
      <c r="X157" s="43">
        <f t="shared" si="41"/>
        <v>0.70660687</v>
      </c>
      <c r="Y157" s="43">
        <v>174.64053050000001</v>
      </c>
      <c r="Z157" s="43">
        <f t="shared" si="30"/>
        <v>0</v>
      </c>
      <c r="AA157" s="43">
        <f t="shared" si="31"/>
        <v>478718</v>
      </c>
      <c r="AB157" s="43">
        <f t="shared" si="32"/>
        <v>186107</v>
      </c>
      <c r="AC157" s="43">
        <f t="shared" si="42"/>
        <v>7.5967312731255288E-2</v>
      </c>
      <c r="AD157" s="43">
        <f t="shared" si="43"/>
        <v>0.80847972010000058</v>
      </c>
      <c r="AF157" s="43">
        <v>11.267333558311231</v>
      </c>
      <c r="AG157" s="43">
        <v>0.109933292</v>
      </c>
      <c r="AH157" s="43">
        <v>2.0775683E-2</v>
      </c>
      <c r="AI157" s="43">
        <v>0.75352839599999999</v>
      </c>
      <c r="AJ157" s="43">
        <v>2.5642211480000001</v>
      </c>
      <c r="AK157" s="43">
        <v>6.5252035509999997</v>
      </c>
      <c r="AL157" s="43">
        <v>1.6151571E-2</v>
      </c>
      <c r="AM157" s="230">
        <v>0.20015599103051573</v>
      </c>
      <c r="AN157" s="43">
        <v>0.70660687</v>
      </c>
    </row>
    <row r="158" spans="1:40" x14ac:dyDescent="0.25">
      <c r="A158" s="134">
        <v>148</v>
      </c>
      <c r="B158" s="134" t="s">
        <v>209</v>
      </c>
      <c r="C158" s="134" t="s">
        <v>210</v>
      </c>
      <c r="D158" s="134" t="s">
        <v>211</v>
      </c>
      <c r="E158" s="134">
        <v>248</v>
      </c>
      <c r="F158" s="134">
        <v>574</v>
      </c>
      <c r="G158" s="134">
        <v>40</v>
      </c>
      <c r="H158" s="134">
        <v>498</v>
      </c>
      <c r="I158" s="200">
        <v>6.9182988794499994E-2</v>
      </c>
      <c r="J158" s="134">
        <v>1072</v>
      </c>
      <c r="K158" s="134">
        <v>15495.1385981</v>
      </c>
      <c r="L158" s="42">
        <v>0.792371680814</v>
      </c>
      <c r="M158" s="42">
        <v>0.66756032171599999</v>
      </c>
      <c r="N158" s="134">
        <v>0</v>
      </c>
      <c r="O158" s="43" t="s">
        <v>627</v>
      </c>
      <c r="P158" s="43">
        <f t="shared" si="33"/>
        <v>12.450708822040264</v>
      </c>
      <c r="Q158" s="43">
        <f t="shared" si="34"/>
        <v>8.1241429000000004E-2</v>
      </c>
      <c r="R158" s="43">
        <f t="shared" si="35"/>
        <v>1.9419291000000002E-2</v>
      </c>
      <c r="S158" s="43">
        <f t="shared" si="36"/>
        <v>0.79237168099999999</v>
      </c>
      <c r="T158" s="43">
        <f t="shared" si="37"/>
        <v>2.4834282380000001</v>
      </c>
      <c r="U158" s="43">
        <f t="shared" si="38"/>
        <v>7.1198270729999997</v>
      </c>
      <c r="V158" s="43">
        <f t="shared" si="39"/>
        <v>1.6645953000000002E-2</v>
      </c>
      <c r="W158" s="230">
        <f t="shared" si="40"/>
        <v>0.14135879185026173</v>
      </c>
      <c r="X158" s="43">
        <f t="shared" si="41"/>
        <v>0.78096636900000005</v>
      </c>
      <c r="Y158" s="43">
        <v>207.940708</v>
      </c>
      <c r="Z158" s="43">
        <f t="shared" si="30"/>
        <v>0</v>
      </c>
      <c r="AA158" s="43">
        <f t="shared" si="31"/>
        <v>478718</v>
      </c>
      <c r="AB158" s="43">
        <f t="shared" si="32"/>
        <v>186107</v>
      </c>
      <c r="AC158" s="43">
        <f t="shared" si="42"/>
        <v>7.5967312731255288E-2</v>
      </c>
      <c r="AD158" s="43">
        <f t="shared" si="43"/>
        <v>0.80847972010000058</v>
      </c>
      <c r="AF158" s="43">
        <v>12.450708822040264</v>
      </c>
      <c r="AG158" s="43">
        <v>8.1241429000000004E-2</v>
      </c>
      <c r="AH158" s="43">
        <v>1.9419291000000002E-2</v>
      </c>
      <c r="AI158" s="43">
        <v>0.79237168099999999</v>
      </c>
      <c r="AJ158" s="43">
        <v>2.4834282380000001</v>
      </c>
      <c r="AK158" s="43">
        <v>7.1198270729999997</v>
      </c>
      <c r="AL158" s="43">
        <v>1.6645953000000002E-2</v>
      </c>
      <c r="AM158" s="230">
        <v>0.14135879185026173</v>
      </c>
      <c r="AN158" s="43">
        <v>0.78096636900000005</v>
      </c>
    </row>
    <row r="159" spans="1:40" x14ac:dyDescent="0.25">
      <c r="A159" s="134">
        <v>149</v>
      </c>
      <c r="B159" s="134" t="s">
        <v>209</v>
      </c>
      <c r="C159" s="134" t="s">
        <v>210</v>
      </c>
      <c r="D159" s="134" t="s">
        <v>211</v>
      </c>
      <c r="E159" s="134">
        <v>889</v>
      </c>
      <c r="F159" s="134">
        <v>2022</v>
      </c>
      <c r="G159" s="134">
        <v>78</v>
      </c>
      <c r="H159" s="134">
        <v>255</v>
      </c>
      <c r="I159" s="200">
        <v>0.125635327884</v>
      </c>
      <c r="J159" s="134">
        <v>2277</v>
      </c>
      <c r="K159" s="134">
        <v>18123.883133399999</v>
      </c>
      <c r="L159" s="42">
        <v>0.77642211176300002</v>
      </c>
      <c r="M159" s="42">
        <v>0.222902097902</v>
      </c>
      <c r="N159" s="134">
        <v>0</v>
      </c>
      <c r="O159" s="43" t="s">
        <v>664</v>
      </c>
      <c r="P159" s="43">
        <f t="shared" si="33"/>
        <v>10.472629803010664</v>
      </c>
      <c r="Q159" s="43">
        <f t="shared" si="34"/>
        <v>9.5982825999999993E-2</v>
      </c>
      <c r="R159" s="43">
        <f t="shared" si="35"/>
        <v>2.1981852999999999E-2</v>
      </c>
      <c r="S159" s="43">
        <f t="shared" si="36"/>
        <v>0.776422112</v>
      </c>
      <c r="T159" s="43">
        <f t="shared" si="37"/>
        <v>2.5618227440000001</v>
      </c>
      <c r="U159" s="43">
        <f t="shared" si="38"/>
        <v>6.4339728589999998</v>
      </c>
      <c r="V159" s="43">
        <f t="shared" si="39"/>
        <v>1.6847619000000001E-2</v>
      </c>
      <c r="W159" s="230">
        <f t="shared" si="40"/>
        <v>0.20023809523809524</v>
      </c>
      <c r="X159" s="43">
        <f t="shared" si="41"/>
        <v>0.72820952400000005</v>
      </c>
      <c r="Y159" s="43">
        <v>151.06292740000001</v>
      </c>
      <c r="Z159" s="43">
        <f t="shared" si="30"/>
        <v>0</v>
      </c>
      <c r="AA159" s="43">
        <f t="shared" si="31"/>
        <v>478718</v>
      </c>
      <c r="AB159" s="43">
        <f t="shared" si="32"/>
        <v>186107</v>
      </c>
      <c r="AC159" s="43">
        <f t="shared" si="42"/>
        <v>7.5967312731255288E-2</v>
      </c>
      <c r="AD159" s="43">
        <f t="shared" si="43"/>
        <v>0.80847972010000058</v>
      </c>
      <c r="AF159" s="43">
        <v>10.472629803010664</v>
      </c>
      <c r="AG159" s="43">
        <v>9.5982825999999993E-2</v>
      </c>
      <c r="AH159" s="43">
        <v>2.1981852999999999E-2</v>
      </c>
      <c r="AI159" s="43">
        <v>0.776422112</v>
      </c>
      <c r="AJ159" s="43">
        <v>2.5618227440000001</v>
      </c>
      <c r="AK159" s="43">
        <v>6.4339728589999998</v>
      </c>
      <c r="AL159" s="43">
        <v>1.6847619000000001E-2</v>
      </c>
      <c r="AM159" s="230">
        <v>0.20023809523809524</v>
      </c>
      <c r="AN159" s="43">
        <v>0.72820952400000005</v>
      </c>
    </row>
    <row r="160" spans="1:40" x14ac:dyDescent="0.25">
      <c r="A160" s="134">
        <v>150</v>
      </c>
      <c r="B160" s="134" t="s">
        <v>209</v>
      </c>
      <c r="C160" s="134" t="s">
        <v>210</v>
      </c>
      <c r="D160" s="134" t="s">
        <v>211</v>
      </c>
      <c r="E160" s="134">
        <v>232</v>
      </c>
      <c r="F160" s="134">
        <v>527</v>
      </c>
      <c r="G160" s="134">
        <v>24</v>
      </c>
      <c r="H160" s="134">
        <v>58</v>
      </c>
      <c r="I160" s="200">
        <v>3.8828725532299997E-2</v>
      </c>
      <c r="J160" s="134">
        <v>585</v>
      </c>
      <c r="K160" s="134">
        <v>15066.1653706</v>
      </c>
      <c r="L160" s="42">
        <v>0.75497287522599998</v>
      </c>
      <c r="M160" s="42">
        <v>0.2</v>
      </c>
      <c r="N160" s="134">
        <v>0</v>
      </c>
      <c r="O160" s="43" t="s">
        <v>664</v>
      </c>
      <c r="P160" s="43">
        <f t="shared" si="33"/>
        <v>9.8772924254532199</v>
      </c>
      <c r="Q160" s="43">
        <f t="shared" si="34"/>
        <v>0.108012989</v>
      </c>
      <c r="R160" s="43">
        <f t="shared" si="35"/>
        <v>2.0027611000000001E-2</v>
      </c>
      <c r="S160" s="43">
        <f t="shared" si="36"/>
        <v>0.75497287499999999</v>
      </c>
      <c r="T160" s="43">
        <f t="shared" si="37"/>
        <v>2.604956268</v>
      </c>
      <c r="U160" s="43">
        <f t="shared" si="38"/>
        <v>5.9135435599999999</v>
      </c>
      <c r="V160" s="43">
        <f t="shared" si="39"/>
        <v>1.3435921E-2</v>
      </c>
      <c r="W160" s="230">
        <f t="shared" si="40"/>
        <v>0.20655336089419687</v>
      </c>
      <c r="X160" s="43">
        <f t="shared" si="41"/>
        <v>0.69526106300000001</v>
      </c>
      <c r="Y160" s="43">
        <v>153.7438847</v>
      </c>
      <c r="Z160" s="43">
        <f t="shared" si="30"/>
        <v>0</v>
      </c>
      <c r="AA160" s="43">
        <f t="shared" si="31"/>
        <v>478718</v>
      </c>
      <c r="AB160" s="43">
        <f t="shared" si="32"/>
        <v>186107</v>
      </c>
      <c r="AC160" s="43">
        <f t="shared" si="42"/>
        <v>7.5967312731255288E-2</v>
      </c>
      <c r="AD160" s="43">
        <f t="shared" si="43"/>
        <v>0.80847972010000058</v>
      </c>
      <c r="AF160" s="43">
        <v>9.8772924254532199</v>
      </c>
      <c r="AG160" s="43">
        <v>0.108012989</v>
      </c>
      <c r="AH160" s="43">
        <v>2.0027611000000001E-2</v>
      </c>
      <c r="AI160" s="43">
        <v>0.75497287499999999</v>
      </c>
      <c r="AJ160" s="43">
        <v>2.604956268</v>
      </c>
      <c r="AK160" s="43">
        <v>5.9135435599999999</v>
      </c>
      <c r="AL160" s="43">
        <v>1.3435921E-2</v>
      </c>
      <c r="AM160" s="230">
        <v>0.20655336089419687</v>
      </c>
      <c r="AN160" s="43">
        <v>0.69526106300000001</v>
      </c>
    </row>
    <row r="161" spans="1:40" x14ac:dyDescent="0.25">
      <c r="A161" s="134">
        <v>151</v>
      </c>
      <c r="B161" s="134" t="s">
        <v>209</v>
      </c>
      <c r="C161" s="134" t="s">
        <v>210</v>
      </c>
      <c r="D161" s="134" t="s">
        <v>211</v>
      </c>
      <c r="E161" s="134">
        <v>406</v>
      </c>
      <c r="F161" s="134">
        <v>1120</v>
      </c>
      <c r="G161" s="134">
        <v>47</v>
      </c>
      <c r="H161" s="134">
        <v>311</v>
      </c>
      <c r="I161" s="200">
        <v>7.3670772486100003E-2</v>
      </c>
      <c r="J161" s="134">
        <v>1431</v>
      </c>
      <c r="K161" s="134">
        <v>19424.256753500002</v>
      </c>
      <c r="L161" s="42">
        <v>0.73454579067799997</v>
      </c>
      <c r="M161" s="42">
        <v>0.433751743375</v>
      </c>
      <c r="N161" s="134">
        <v>0</v>
      </c>
      <c r="O161" s="43" t="s">
        <v>627</v>
      </c>
      <c r="P161" s="43">
        <f t="shared" si="33"/>
        <v>12.544593824896527</v>
      </c>
      <c r="Q161" s="43">
        <f t="shared" si="34"/>
        <v>0.127626927</v>
      </c>
      <c r="R161" s="43">
        <f t="shared" si="35"/>
        <v>1.9272988000000001E-2</v>
      </c>
      <c r="S161" s="43">
        <f t="shared" si="36"/>
        <v>0.73454579099999995</v>
      </c>
      <c r="T161" s="43">
        <f t="shared" si="37"/>
        <v>2.8591431310000002</v>
      </c>
      <c r="U161" s="43">
        <f t="shared" si="38"/>
        <v>7.1063265820000003</v>
      </c>
      <c r="V161" s="43">
        <f t="shared" si="39"/>
        <v>1.8590394E-2</v>
      </c>
      <c r="W161" s="230">
        <f t="shared" si="40"/>
        <v>0.17017973368364483</v>
      </c>
      <c r="X161" s="43">
        <f t="shared" si="41"/>
        <v>0.73410162999999995</v>
      </c>
      <c r="Y161" s="43">
        <v>198.7825072</v>
      </c>
      <c r="Z161" s="43">
        <f t="shared" si="30"/>
        <v>0</v>
      </c>
      <c r="AA161" s="43">
        <f t="shared" si="31"/>
        <v>478718</v>
      </c>
      <c r="AB161" s="43">
        <f t="shared" si="32"/>
        <v>186107</v>
      </c>
      <c r="AC161" s="43">
        <f t="shared" si="42"/>
        <v>7.5967312731255288E-2</v>
      </c>
      <c r="AD161" s="43">
        <f t="shared" si="43"/>
        <v>0.80847972010000058</v>
      </c>
      <c r="AF161" s="43">
        <v>12.544593824896527</v>
      </c>
      <c r="AG161" s="43">
        <v>0.127626927</v>
      </c>
      <c r="AH161" s="43">
        <v>1.9272988000000001E-2</v>
      </c>
      <c r="AI161" s="43">
        <v>0.73454579099999995</v>
      </c>
      <c r="AJ161" s="43">
        <v>2.8591431310000002</v>
      </c>
      <c r="AK161" s="43">
        <v>7.1063265820000003</v>
      </c>
      <c r="AL161" s="43">
        <v>1.8590394E-2</v>
      </c>
      <c r="AM161" s="230">
        <v>0.17017973368364483</v>
      </c>
      <c r="AN161" s="43">
        <v>0.73410162999999995</v>
      </c>
    </row>
    <row r="162" spans="1:40" x14ac:dyDescent="0.25">
      <c r="A162" s="134">
        <v>152</v>
      </c>
      <c r="B162" s="134" t="s">
        <v>209</v>
      </c>
      <c r="C162" s="134" t="s">
        <v>210</v>
      </c>
      <c r="D162" s="134" t="s">
        <v>211</v>
      </c>
      <c r="E162" s="134">
        <v>804</v>
      </c>
      <c r="F162" s="134">
        <v>2214</v>
      </c>
      <c r="G162" s="134">
        <v>68</v>
      </c>
      <c r="H162" s="134">
        <v>303</v>
      </c>
      <c r="I162" s="200">
        <v>0.104827895666</v>
      </c>
      <c r="J162" s="134">
        <v>2517</v>
      </c>
      <c r="K162" s="134">
        <v>24010.784381500001</v>
      </c>
      <c r="L162" s="42">
        <v>0.72904026440299996</v>
      </c>
      <c r="M162" s="42">
        <v>0.27371273712700001</v>
      </c>
      <c r="N162" s="134">
        <v>0</v>
      </c>
      <c r="O162" s="43" t="s">
        <v>627</v>
      </c>
      <c r="P162" s="43">
        <f t="shared" si="33"/>
        <v>12.32840059660605</v>
      </c>
      <c r="Q162" s="43">
        <f t="shared" si="34"/>
        <v>0.112735742</v>
      </c>
      <c r="R162" s="43">
        <f t="shared" si="35"/>
        <v>2.1557929999999999E-2</v>
      </c>
      <c r="S162" s="43">
        <f t="shared" si="36"/>
        <v>0.72904026399999999</v>
      </c>
      <c r="T162" s="43">
        <f t="shared" si="37"/>
        <v>2.7035612869999999</v>
      </c>
      <c r="U162" s="43">
        <f t="shared" si="38"/>
        <v>6.835017304</v>
      </c>
      <c r="V162" s="43">
        <f t="shared" si="39"/>
        <v>1.9117614000000002E-2</v>
      </c>
      <c r="W162" s="230">
        <f t="shared" si="40"/>
        <v>0.2140351266736239</v>
      </c>
      <c r="X162" s="43">
        <f t="shared" si="41"/>
        <v>0.68364899999999995</v>
      </c>
      <c r="Y162" s="43">
        <v>198.38879109999999</v>
      </c>
      <c r="Z162" s="43">
        <f t="shared" si="30"/>
        <v>0</v>
      </c>
      <c r="AA162" s="43">
        <f t="shared" si="31"/>
        <v>478718</v>
      </c>
      <c r="AB162" s="43">
        <f t="shared" si="32"/>
        <v>186107</v>
      </c>
      <c r="AC162" s="43">
        <f t="shared" si="42"/>
        <v>7.5967312731255288E-2</v>
      </c>
      <c r="AD162" s="43">
        <f t="shared" si="43"/>
        <v>0.80847972010000058</v>
      </c>
      <c r="AF162" s="43">
        <v>12.32840059660605</v>
      </c>
      <c r="AG162" s="43">
        <v>0.112735742</v>
      </c>
      <c r="AH162" s="43">
        <v>2.1557929999999999E-2</v>
      </c>
      <c r="AI162" s="43">
        <v>0.72904026399999999</v>
      </c>
      <c r="AJ162" s="43">
        <v>2.7035612869999999</v>
      </c>
      <c r="AK162" s="43">
        <v>6.835017304</v>
      </c>
      <c r="AL162" s="43">
        <v>1.9117614000000002E-2</v>
      </c>
      <c r="AM162" s="230">
        <v>0.2140351266736239</v>
      </c>
      <c r="AN162" s="43">
        <v>0.68364899999999995</v>
      </c>
    </row>
    <row r="163" spans="1:40" x14ac:dyDescent="0.25">
      <c r="A163" s="134">
        <v>153</v>
      </c>
      <c r="B163" s="134" t="s">
        <v>209</v>
      </c>
      <c r="C163" s="134" t="s">
        <v>210</v>
      </c>
      <c r="D163" s="134" t="s">
        <v>211</v>
      </c>
      <c r="E163" s="134">
        <v>176</v>
      </c>
      <c r="F163" s="134">
        <v>500</v>
      </c>
      <c r="G163" s="134">
        <v>58</v>
      </c>
      <c r="H163" s="134">
        <v>930</v>
      </c>
      <c r="I163" s="200">
        <v>8.9678532201299996E-2</v>
      </c>
      <c r="J163" s="134">
        <v>1430</v>
      </c>
      <c r="K163" s="134">
        <v>15945.8452865</v>
      </c>
      <c r="L163" s="42">
        <v>0.79347060282799997</v>
      </c>
      <c r="M163" s="42">
        <v>0.84086799276699997</v>
      </c>
      <c r="N163" s="134">
        <v>0</v>
      </c>
      <c r="O163" s="43" t="s">
        <v>664</v>
      </c>
      <c r="P163" s="43">
        <f t="shared" si="33"/>
        <v>13.780052463119134</v>
      </c>
      <c r="Q163" s="43">
        <f t="shared" si="34"/>
        <v>8.9655172000000005E-2</v>
      </c>
      <c r="R163" s="43">
        <f t="shared" si="35"/>
        <v>1.5663607E-2</v>
      </c>
      <c r="S163" s="43">
        <f t="shared" si="36"/>
        <v>0.79347060300000005</v>
      </c>
      <c r="T163" s="43">
        <f t="shared" si="37"/>
        <v>3.0301024430000001</v>
      </c>
      <c r="U163" s="43">
        <f t="shared" si="38"/>
        <v>8.3850607030000006</v>
      </c>
      <c r="V163" s="43">
        <f t="shared" si="39"/>
        <v>1.6757951E-2</v>
      </c>
      <c r="W163" s="230">
        <f t="shared" si="40"/>
        <v>0.11595926850629405</v>
      </c>
      <c r="X163" s="43">
        <f t="shared" si="41"/>
        <v>0.80563652799999996</v>
      </c>
      <c r="Y163" s="43">
        <v>128.94880979999999</v>
      </c>
      <c r="Z163" s="43">
        <f t="shared" si="30"/>
        <v>0</v>
      </c>
      <c r="AA163" s="43">
        <f t="shared" si="31"/>
        <v>478718</v>
      </c>
      <c r="AB163" s="43">
        <f t="shared" si="32"/>
        <v>186107</v>
      </c>
      <c r="AC163" s="43">
        <f t="shared" si="42"/>
        <v>7.5967312731255288E-2</v>
      </c>
      <c r="AD163" s="43">
        <f t="shared" si="43"/>
        <v>0.80847972010000058</v>
      </c>
      <c r="AF163" s="43">
        <v>13.780052463119134</v>
      </c>
      <c r="AG163" s="43">
        <v>8.9655172000000005E-2</v>
      </c>
      <c r="AH163" s="43">
        <v>1.5663607E-2</v>
      </c>
      <c r="AI163" s="43">
        <v>0.79347060300000005</v>
      </c>
      <c r="AJ163" s="43">
        <v>3.0301024430000001</v>
      </c>
      <c r="AK163" s="43">
        <v>8.3850607030000006</v>
      </c>
      <c r="AL163" s="43">
        <v>1.6757951E-2</v>
      </c>
      <c r="AM163" s="230">
        <v>0.11595926850629405</v>
      </c>
      <c r="AN163" s="43">
        <v>0.80563652799999996</v>
      </c>
    </row>
    <row r="164" spans="1:40" x14ac:dyDescent="0.25">
      <c r="A164" s="134">
        <v>154</v>
      </c>
      <c r="B164" s="134" t="s">
        <v>209</v>
      </c>
      <c r="C164" s="134" t="s">
        <v>210</v>
      </c>
      <c r="D164" s="134" t="s">
        <v>211</v>
      </c>
      <c r="E164" s="134">
        <v>771</v>
      </c>
      <c r="F164" s="134">
        <v>2189</v>
      </c>
      <c r="G164" s="134">
        <v>99</v>
      </c>
      <c r="H164" s="134">
        <v>501</v>
      </c>
      <c r="I164" s="200">
        <v>0.154230050265</v>
      </c>
      <c r="J164" s="134">
        <v>2690</v>
      </c>
      <c r="K164" s="134">
        <v>17441.477814400001</v>
      </c>
      <c r="L164" s="42">
        <v>0.69329418528300002</v>
      </c>
      <c r="M164" s="42">
        <v>0.39386792452800001</v>
      </c>
      <c r="N164" s="134">
        <v>0</v>
      </c>
      <c r="O164" s="43" t="s">
        <v>664</v>
      </c>
      <c r="P164" s="43">
        <f t="shared" si="33"/>
        <v>11.983683538977662</v>
      </c>
      <c r="Q164" s="43">
        <f t="shared" si="34"/>
        <v>0.118532359</v>
      </c>
      <c r="R164" s="43">
        <f t="shared" si="35"/>
        <v>4.350772E-2</v>
      </c>
      <c r="S164" s="43">
        <f t="shared" si="36"/>
        <v>0.69329418499999995</v>
      </c>
      <c r="T164" s="43">
        <f t="shared" si="37"/>
        <v>2.4918598329999999</v>
      </c>
      <c r="U164" s="43">
        <f t="shared" si="38"/>
        <v>6.6033009270000003</v>
      </c>
      <c r="V164" s="43">
        <f t="shared" si="39"/>
        <v>1.8751904E-2</v>
      </c>
      <c r="W164" s="230">
        <f t="shared" si="40"/>
        <v>0.2029679409077064</v>
      </c>
      <c r="X164" s="43">
        <f t="shared" si="41"/>
        <v>0.67809549199999997</v>
      </c>
      <c r="Y164" s="43">
        <v>127.6322067</v>
      </c>
      <c r="Z164" s="43">
        <f t="shared" si="30"/>
        <v>0</v>
      </c>
      <c r="AA164" s="43">
        <f t="shared" si="31"/>
        <v>478718</v>
      </c>
      <c r="AB164" s="43">
        <f t="shared" si="32"/>
        <v>186107</v>
      </c>
      <c r="AC164" s="43">
        <f t="shared" si="42"/>
        <v>7.5967312731255288E-2</v>
      </c>
      <c r="AD164" s="43">
        <f t="shared" si="43"/>
        <v>0.80847972010000058</v>
      </c>
      <c r="AF164" s="43">
        <v>11.983683538977662</v>
      </c>
      <c r="AG164" s="43">
        <v>0.118532359</v>
      </c>
      <c r="AH164" s="43">
        <v>4.350772E-2</v>
      </c>
      <c r="AI164" s="43">
        <v>0.69329418499999995</v>
      </c>
      <c r="AJ164" s="43">
        <v>2.4918598329999999</v>
      </c>
      <c r="AK164" s="43">
        <v>6.6033009270000003</v>
      </c>
      <c r="AL164" s="43">
        <v>1.8751904E-2</v>
      </c>
      <c r="AM164" s="230">
        <v>0.2029679409077064</v>
      </c>
      <c r="AN164" s="43">
        <v>0.67809549199999997</v>
      </c>
    </row>
    <row r="165" spans="1:40" x14ac:dyDescent="0.25">
      <c r="A165" s="134">
        <v>155</v>
      </c>
      <c r="B165" s="134" t="s">
        <v>209</v>
      </c>
      <c r="C165" s="134" t="s">
        <v>210</v>
      </c>
      <c r="D165" s="134" t="s">
        <v>211</v>
      </c>
      <c r="E165" s="134">
        <v>0</v>
      </c>
      <c r="F165" s="134">
        <v>0</v>
      </c>
      <c r="G165" s="134">
        <v>146</v>
      </c>
      <c r="H165" s="134">
        <v>71</v>
      </c>
      <c r="I165" s="200">
        <v>0.24404224474899999</v>
      </c>
      <c r="J165" s="134">
        <v>71</v>
      </c>
      <c r="K165" s="134">
        <v>290.93323606000001</v>
      </c>
      <c r="L165" s="42">
        <v>0.96686034000400001</v>
      </c>
      <c r="M165" s="42">
        <v>1</v>
      </c>
      <c r="N165" s="134">
        <v>0</v>
      </c>
      <c r="O165" s="43" t="s">
        <v>665</v>
      </c>
      <c r="P165" s="43">
        <f t="shared" si="33"/>
        <v>15.330240627401645</v>
      </c>
      <c r="Q165" s="43">
        <f t="shared" si="34"/>
        <v>9.6554169653521107E-2</v>
      </c>
      <c r="R165" s="43">
        <f t="shared" si="35"/>
        <v>1.8450648363387966E-2</v>
      </c>
      <c r="S165" s="43">
        <f t="shared" si="36"/>
        <v>0.96686033999999998</v>
      </c>
      <c r="T165" s="43">
        <f t="shared" si="37"/>
        <v>3.2696267708251341</v>
      </c>
      <c r="U165" s="43">
        <f t="shared" si="38"/>
        <v>10.399559760000001</v>
      </c>
      <c r="V165" s="43">
        <f t="shared" si="39"/>
        <v>1.4840939104972377E-2</v>
      </c>
      <c r="W165" s="230">
        <f t="shared" si="40"/>
        <v>0.17543463575789031</v>
      </c>
      <c r="X165" s="43">
        <f t="shared" si="41"/>
        <v>0.88161715399999996</v>
      </c>
      <c r="Y165" s="43">
        <v>86.749737850000002</v>
      </c>
      <c r="Z165" s="43">
        <f t="shared" si="30"/>
        <v>0</v>
      </c>
      <c r="AA165" s="43">
        <f t="shared" si="31"/>
        <v>478718</v>
      </c>
      <c r="AB165" s="43">
        <f t="shared" si="32"/>
        <v>186107</v>
      </c>
      <c r="AC165" s="43">
        <f t="shared" si="42"/>
        <v>7.5967312731255288E-2</v>
      </c>
      <c r="AD165" s="43">
        <f t="shared" si="43"/>
        <v>0.80847972010000058</v>
      </c>
      <c r="AF165" s="43">
        <v>15.330240627401645</v>
      </c>
      <c r="AG165" s="43">
        <v>0</v>
      </c>
      <c r="AH165" s="43">
        <v>0</v>
      </c>
      <c r="AI165" s="43">
        <v>0.96686033999999998</v>
      </c>
      <c r="AJ165" s="43" t="e">
        <v>#DIV/0!</v>
      </c>
      <c r="AK165" s="43">
        <v>10.399559760000001</v>
      </c>
      <c r="AL165" s="43">
        <v>0</v>
      </c>
      <c r="AM165" s="230">
        <v>0</v>
      </c>
      <c r="AN165" s="43">
        <v>0.88161715399999996</v>
      </c>
    </row>
    <row r="166" spans="1:40" x14ac:dyDescent="0.25">
      <c r="A166" s="134">
        <v>156</v>
      </c>
      <c r="B166" s="134" t="s">
        <v>209</v>
      </c>
      <c r="C166" s="134" t="s">
        <v>210</v>
      </c>
      <c r="D166" s="134" t="s">
        <v>211</v>
      </c>
      <c r="E166" s="134">
        <v>0</v>
      </c>
      <c r="F166" s="134">
        <v>0</v>
      </c>
      <c r="G166" s="134">
        <v>9</v>
      </c>
      <c r="H166" s="134">
        <v>4</v>
      </c>
      <c r="I166" s="200">
        <v>1.47035204823E-2</v>
      </c>
      <c r="J166" s="134">
        <v>4</v>
      </c>
      <c r="K166" s="134">
        <v>272.04369217599998</v>
      </c>
      <c r="L166" s="42">
        <v>0.85684007707099996</v>
      </c>
      <c r="M166" s="42">
        <v>1</v>
      </c>
      <c r="N166" s="134">
        <v>0</v>
      </c>
      <c r="O166" s="43" t="s">
        <v>666</v>
      </c>
      <c r="P166" s="43">
        <f t="shared" si="33"/>
        <v>16.443024330150909</v>
      </c>
      <c r="Q166" s="43">
        <f t="shared" si="34"/>
        <v>8.9980731999999994E-2</v>
      </c>
      <c r="R166" s="43">
        <f t="shared" si="35"/>
        <v>2.7938343000000001E-2</v>
      </c>
      <c r="S166" s="43">
        <f t="shared" si="36"/>
        <v>0.85684007699999998</v>
      </c>
      <c r="T166" s="43">
        <f t="shared" si="37"/>
        <v>4.4742268039999997</v>
      </c>
      <c r="U166" s="43">
        <f t="shared" si="38"/>
        <v>6.9934228190000001</v>
      </c>
      <c r="V166" s="43">
        <f t="shared" si="39"/>
        <v>1.4840939104972377E-2</v>
      </c>
      <c r="W166" s="230">
        <f t="shared" si="40"/>
        <v>0.17543463575789031</v>
      </c>
      <c r="X166" s="43">
        <f t="shared" si="41"/>
        <v>0.57627118600000005</v>
      </c>
      <c r="Y166" s="43">
        <v>97.601822979999994</v>
      </c>
      <c r="Z166" s="43">
        <f t="shared" si="30"/>
        <v>0</v>
      </c>
      <c r="AA166" s="43">
        <f t="shared" si="31"/>
        <v>478718</v>
      </c>
      <c r="AB166" s="43">
        <f t="shared" si="32"/>
        <v>186107</v>
      </c>
      <c r="AC166" s="43">
        <f t="shared" si="42"/>
        <v>7.5967312731255288E-2</v>
      </c>
      <c r="AD166" s="43">
        <f t="shared" si="43"/>
        <v>0.80847972010000058</v>
      </c>
      <c r="AF166" s="43">
        <v>16.443024330150909</v>
      </c>
      <c r="AG166" s="43">
        <v>8.9980731999999994E-2</v>
      </c>
      <c r="AH166" s="43">
        <v>2.7938343000000001E-2</v>
      </c>
      <c r="AI166" s="43">
        <v>0.85684007699999998</v>
      </c>
      <c r="AJ166" s="43">
        <v>4.4742268039999997</v>
      </c>
      <c r="AK166" s="43">
        <v>6.9934228190000001</v>
      </c>
      <c r="AL166" s="43">
        <v>0</v>
      </c>
      <c r="AM166" s="230">
        <v>0</v>
      </c>
      <c r="AN166" s="43">
        <v>0.57627118600000005</v>
      </c>
    </row>
    <row r="167" spans="1:40" x14ac:dyDescent="0.25">
      <c r="A167" s="134">
        <v>157</v>
      </c>
      <c r="B167" s="134" t="s">
        <v>209</v>
      </c>
      <c r="C167" s="134" t="s">
        <v>210</v>
      </c>
      <c r="D167" s="134" t="s">
        <v>211</v>
      </c>
      <c r="E167" s="134">
        <v>0</v>
      </c>
      <c r="F167" s="134">
        <v>0</v>
      </c>
      <c r="G167" s="134">
        <v>55</v>
      </c>
      <c r="H167" s="134">
        <v>546</v>
      </c>
      <c r="I167" s="200">
        <v>9.2419365857000002E-2</v>
      </c>
      <c r="J167" s="134">
        <v>546</v>
      </c>
      <c r="K167" s="134">
        <v>5907.8526988000003</v>
      </c>
      <c r="L167" s="42">
        <v>0.86153989709099998</v>
      </c>
      <c r="M167" s="42">
        <v>1</v>
      </c>
      <c r="N167" s="134">
        <v>0</v>
      </c>
      <c r="O167" s="43" t="s">
        <v>664</v>
      </c>
      <c r="P167" s="43">
        <f t="shared" si="33"/>
        <v>15.194045210267014</v>
      </c>
      <c r="Q167" s="43">
        <f t="shared" si="34"/>
        <v>6.3811352000000002E-2</v>
      </c>
      <c r="R167" s="43">
        <f t="shared" si="35"/>
        <v>1.1610547000000001E-2</v>
      </c>
      <c r="S167" s="43">
        <f t="shared" si="36"/>
        <v>0.861539897</v>
      </c>
      <c r="T167" s="43">
        <f t="shared" si="37"/>
        <v>3.7329512889999998</v>
      </c>
      <c r="U167" s="43">
        <f t="shared" si="38"/>
        <v>8.5182340889999999</v>
      </c>
      <c r="V167" s="43">
        <f t="shared" si="39"/>
        <v>1.3204792999999999E-2</v>
      </c>
      <c r="W167" s="230">
        <f t="shared" si="40"/>
        <v>4.918700566889575E-2</v>
      </c>
      <c r="X167" s="43">
        <f t="shared" si="41"/>
        <v>0.88550188399999996</v>
      </c>
      <c r="Y167" s="43">
        <v>98.340730030000003</v>
      </c>
      <c r="Z167" s="43">
        <f t="shared" si="30"/>
        <v>0</v>
      </c>
      <c r="AA167" s="43">
        <f t="shared" si="31"/>
        <v>478718</v>
      </c>
      <c r="AB167" s="43">
        <f t="shared" si="32"/>
        <v>186107</v>
      </c>
      <c r="AC167" s="43">
        <f t="shared" si="42"/>
        <v>7.5967312731255288E-2</v>
      </c>
      <c r="AD167" s="43">
        <f t="shared" si="43"/>
        <v>0.80847972010000058</v>
      </c>
      <c r="AF167" s="43">
        <v>15.194045210267014</v>
      </c>
      <c r="AG167" s="43">
        <v>6.3811352000000002E-2</v>
      </c>
      <c r="AH167" s="43">
        <v>1.1610547000000001E-2</v>
      </c>
      <c r="AI167" s="43">
        <v>0.861539897</v>
      </c>
      <c r="AJ167" s="43">
        <v>3.7329512889999998</v>
      </c>
      <c r="AK167" s="43">
        <v>8.5182340889999999</v>
      </c>
      <c r="AL167" s="43">
        <v>1.3204792999999999E-2</v>
      </c>
      <c r="AM167" s="230">
        <v>4.918700566889575E-2</v>
      </c>
      <c r="AN167" s="43">
        <v>0.88550188399999996</v>
      </c>
    </row>
    <row r="168" spans="1:40" x14ac:dyDescent="0.25">
      <c r="A168" s="134">
        <v>158</v>
      </c>
      <c r="B168" s="134" t="s">
        <v>209</v>
      </c>
      <c r="C168" s="134" t="s">
        <v>210</v>
      </c>
      <c r="D168" s="134" t="s">
        <v>211</v>
      </c>
      <c r="E168" s="134">
        <v>112</v>
      </c>
      <c r="F168" s="134">
        <v>288</v>
      </c>
      <c r="G168" s="134">
        <v>26</v>
      </c>
      <c r="H168" s="134">
        <v>78</v>
      </c>
      <c r="I168" s="200">
        <v>4.2997774482300001E-2</v>
      </c>
      <c r="J168" s="134">
        <v>366</v>
      </c>
      <c r="K168" s="134">
        <v>8512.0684595000002</v>
      </c>
      <c r="L168" s="42">
        <v>0.77255582257699995</v>
      </c>
      <c r="M168" s="42">
        <v>0.41052631578900001</v>
      </c>
      <c r="N168" s="134">
        <v>0</v>
      </c>
      <c r="O168" s="43" t="s">
        <v>666</v>
      </c>
      <c r="P168" s="43">
        <f t="shared" si="33"/>
        <v>13.269815214549142</v>
      </c>
      <c r="Q168" s="43">
        <f t="shared" si="34"/>
        <v>0.10249391200000001</v>
      </c>
      <c r="R168" s="43">
        <f t="shared" si="35"/>
        <v>1.7045182999999998E-2</v>
      </c>
      <c r="S168" s="43">
        <f t="shared" si="36"/>
        <v>0.77255582300000003</v>
      </c>
      <c r="T168" s="43">
        <f t="shared" si="37"/>
        <v>3.3957746480000002</v>
      </c>
      <c r="U168" s="43">
        <f t="shared" si="38"/>
        <v>8.1430461780000005</v>
      </c>
      <c r="V168" s="43">
        <f t="shared" si="39"/>
        <v>9.8277260000000002E-3</v>
      </c>
      <c r="W168" s="230">
        <f t="shared" si="40"/>
        <v>0.1643542606081628</v>
      </c>
      <c r="X168" s="43">
        <f t="shared" si="41"/>
        <v>0.73916059700000003</v>
      </c>
      <c r="Y168" s="43">
        <v>86.843135919999995</v>
      </c>
      <c r="Z168" s="43">
        <f t="shared" si="30"/>
        <v>0</v>
      </c>
      <c r="AA168" s="43">
        <f t="shared" si="31"/>
        <v>478718</v>
      </c>
      <c r="AB168" s="43">
        <f t="shared" si="32"/>
        <v>186107</v>
      </c>
      <c r="AC168" s="43">
        <f t="shared" si="42"/>
        <v>7.5967312731255288E-2</v>
      </c>
      <c r="AD168" s="43">
        <f t="shared" si="43"/>
        <v>0.80847972010000058</v>
      </c>
      <c r="AF168" s="43">
        <v>13.269815214549142</v>
      </c>
      <c r="AG168" s="43">
        <v>0.10249391200000001</v>
      </c>
      <c r="AH168" s="43">
        <v>1.7045182999999998E-2</v>
      </c>
      <c r="AI168" s="43">
        <v>0.77255582300000003</v>
      </c>
      <c r="AJ168" s="43">
        <v>3.3957746480000002</v>
      </c>
      <c r="AK168" s="43">
        <v>8.1430461780000005</v>
      </c>
      <c r="AL168" s="43">
        <v>9.8277260000000002E-3</v>
      </c>
      <c r="AM168" s="230">
        <v>0.1643542606081628</v>
      </c>
      <c r="AN168" s="43">
        <v>0.73916059700000003</v>
      </c>
    </row>
    <row r="169" spans="1:40" x14ac:dyDescent="0.25">
      <c r="A169" s="134">
        <v>159</v>
      </c>
      <c r="B169" s="134" t="s">
        <v>209</v>
      </c>
      <c r="C169" s="134" t="s">
        <v>210</v>
      </c>
      <c r="D169" s="134" t="s">
        <v>211</v>
      </c>
      <c r="E169" s="134">
        <v>337</v>
      </c>
      <c r="F169" s="134">
        <v>863</v>
      </c>
      <c r="G169" s="134">
        <v>68</v>
      </c>
      <c r="H169" s="134">
        <v>575</v>
      </c>
      <c r="I169" s="200">
        <v>0.112925814249</v>
      </c>
      <c r="J169" s="134">
        <v>1438</v>
      </c>
      <c r="K169" s="134">
        <v>12734.023744399999</v>
      </c>
      <c r="L169" s="42">
        <v>0.801427952469</v>
      </c>
      <c r="M169" s="42">
        <v>0.63048245613999998</v>
      </c>
      <c r="N169" s="134">
        <v>0</v>
      </c>
      <c r="O169" s="43" t="s">
        <v>664</v>
      </c>
      <c r="P169" s="43">
        <f t="shared" si="33"/>
        <v>13.98207068150451</v>
      </c>
      <c r="Q169" s="43">
        <f t="shared" si="34"/>
        <v>9.1097652000000001E-2</v>
      </c>
      <c r="R169" s="43">
        <f t="shared" si="35"/>
        <v>1.6528849000000002E-2</v>
      </c>
      <c r="S169" s="43">
        <f t="shared" si="36"/>
        <v>0.80142795200000005</v>
      </c>
      <c r="T169" s="43">
        <f t="shared" si="37"/>
        <v>3.2998601399999998</v>
      </c>
      <c r="U169" s="43">
        <f t="shared" si="38"/>
        <v>8.3427969510000004</v>
      </c>
      <c r="V169" s="43">
        <f t="shared" si="39"/>
        <v>1.4592101E-2</v>
      </c>
      <c r="W169" s="230">
        <f t="shared" si="40"/>
        <v>0.14586316109158748</v>
      </c>
      <c r="X169" s="43">
        <f t="shared" si="41"/>
        <v>0.788349458</v>
      </c>
      <c r="Y169" s="43">
        <v>89.601364860000004</v>
      </c>
      <c r="Z169" s="43">
        <f t="shared" si="30"/>
        <v>0</v>
      </c>
      <c r="AA169" s="43">
        <f t="shared" si="31"/>
        <v>478718</v>
      </c>
      <c r="AB169" s="43">
        <f t="shared" si="32"/>
        <v>186107</v>
      </c>
      <c r="AC169" s="43">
        <f t="shared" si="42"/>
        <v>7.5967312731255288E-2</v>
      </c>
      <c r="AD169" s="43">
        <f t="shared" si="43"/>
        <v>0.80847972010000058</v>
      </c>
      <c r="AF169" s="43">
        <v>13.98207068150451</v>
      </c>
      <c r="AG169" s="43">
        <v>9.1097652000000001E-2</v>
      </c>
      <c r="AH169" s="43">
        <v>1.6528849000000002E-2</v>
      </c>
      <c r="AI169" s="43">
        <v>0.80142795200000005</v>
      </c>
      <c r="AJ169" s="43">
        <v>3.2998601399999998</v>
      </c>
      <c r="AK169" s="43">
        <v>8.3427969510000004</v>
      </c>
      <c r="AL169" s="43">
        <v>1.4592101E-2</v>
      </c>
      <c r="AM169" s="230">
        <v>0.14586316109158748</v>
      </c>
      <c r="AN169" s="43">
        <v>0.788349458</v>
      </c>
    </row>
    <row r="170" spans="1:40" x14ac:dyDescent="0.25">
      <c r="A170" s="134">
        <v>160</v>
      </c>
      <c r="B170" s="134" t="s">
        <v>209</v>
      </c>
      <c r="C170" s="134" t="s">
        <v>210</v>
      </c>
      <c r="D170" s="134" t="s">
        <v>211</v>
      </c>
      <c r="E170" s="134">
        <v>0</v>
      </c>
      <c r="F170" s="134">
        <v>0</v>
      </c>
      <c r="G170" s="134">
        <v>51</v>
      </c>
      <c r="H170" s="134">
        <v>156</v>
      </c>
      <c r="I170" s="200">
        <v>8.5418979986200003E-2</v>
      </c>
      <c r="J170" s="134">
        <v>156</v>
      </c>
      <c r="K170" s="134">
        <v>1826.29200238</v>
      </c>
      <c r="L170" s="42">
        <v>0.92928322120499995</v>
      </c>
      <c r="M170" s="42">
        <v>1</v>
      </c>
      <c r="N170" s="134">
        <v>0</v>
      </c>
      <c r="O170" s="43" t="s">
        <v>666</v>
      </c>
      <c r="P170" s="43">
        <f t="shared" si="33"/>
        <v>15.760101190622921</v>
      </c>
      <c r="Q170" s="43">
        <f t="shared" si="34"/>
        <v>2.3471090999999999E-2</v>
      </c>
      <c r="R170" s="43">
        <f t="shared" si="35"/>
        <v>7.9417270000000009E-3</v>
      </c>
      <c r="S170" s="43">
        <f t="shared" si="36"/>
        <v>0.92928322100000005</v>
      </c>
      <c r="T170" s="43">
        <f t="shared" si="37"/>
        <v>6.4648318040000001</v>
      </c>
      <c r="U170" s="43">
        <f t="shared" si="38"/>
        <v>10.422970769999999</v>
      </c>
      <c r="V170" s="43">
        <f t="shared" si="39"/>
        <v>7.6074150000000002E-3</v>
      </c>
      <c r="W170" s="230">
        <f t="shared" si="40"/>
        <v>3.5358405657344902E-3</v>
      </c>
      <c r="X170" s="43">
        <f t="shared" si="41"/>
        <v>0.90571091800000003</v>
      </c>
      <c r="Y170" s="43">
        <v>86.519787829999999</v>
      </c>
      <c r="Z170" s="43">
        <f t="shared" si="30"/>
        <v>0</v>
      </c>
      <c r="AA170" s="43">
        <f t="shared" si="31"/>
        <v>478718</v>
      </c>
      <c r="AB170" s="43">
        <f t="shared" si="32"/>
        <v>186107</v>
      </c>
      <c r="AC170" s="43">
        <f t="shared" si="42"/>
        <v>7.5967312731255288E-2</v>
      </c>
      <c r="AD170" s="43">
        <f t="shared" si="43"/>
        <v>0.80847972010000058</v>
      </c>
      <c r="AF170" s="43">
        <v>15.760101190622921</v>
      </c>
      <c r="AG170" s="43">
        <v>2.3471090999999999E-2</v>
      </c>
      <c r="AH170" s="43">
        <v>7.9417270000000009E-3</v>
      </c>
      <c r="AI170" s="43">
        <v>0.92928322100000005</v>
      </c>
      <c r="AJ170" s="43">
        <v>6.4648318040000001</v>
      </c>
      <c r="AK170" s="43">
        <v>10.422970769999999</v>
      </c>
      <c r="AL170" s="43">
        <v>7.6074150000000002E-3</v>
      </c>
      <c r="AM170" s="230">
        <v>3.5358405657344902E-3</v>
      </c>
      <c r="AN170" s="43">
        <v>0.90571091800000003</v>
      </c>
    </row>
    <row r="171" spans="1:40" x14ac:dyDescent="0.25">
      <c r="A171" s="134">
        <v>161</v>
      </c>
      <c r="B171" s="134" t="s">
        <v>209</v>
      </c>
      <c r="C171" s="134" t="s">
        <v>210</v>
      </c>
      <c r="D171" s="134" t="s">
        <v>211</v>
      </c>
      <c r="E171" s="134">
        <v>0</v>
      </c>
      <c r="F171" s="134">
        <v>0</v>
      </c>
      <c r="G171" s="134">
        <v>101</v>
      </c>
      <c r="H171" s="134">
        <v>67</v>
      </c>
      <c r="I171" s="200">
        <v>0.168696399883</v>
      </c>
      <c r="J171" s="134">
        <v>67</v>
      </c>
      <c r="K171" s="134">
        <v>397.16318810799999</v>
      </c>
      <c r="L171" s="42">
        <v>0.90129293709000002</v>
      </c>
      <c r="M171" s="42">
        <v>1</v>
      </c>
      <c r="N171" s="134">
        <v>0</v>
      </c>
      <c r="O171" s="43" t="s">
        <v>666</v>
      </c>
      <c r="P171" s="43">
        <f t="shared" si="33"/>
        <v>14.914782615868093</v>
      </c>
      <c r="Q171" s="43">
        <f t="shared" si="34"/>
        <v>2.2674643000000001E-2</v>
      </c>
      <c r="R171" s="43">
        <f t="shared" si="35"/>
        <v>9.8417599999999997E-3</v>
      </c>
      <c r="S171" s="43">
        <f t="shared" si="36"/>
        <v>0.90129293700000002</v>
      </c>
      <c r="T171" s="43">
        <f t="shared" si="37"/>
        <v>5.5581395349999996</v>
      </c>
      <c r="U171" s="43">
        <f t="shared" si="38"/>
        <v>9.4709011019999991</v>
      </c>
      <c r="V171" s="43">
        <f t="shared" si="39"/>
        <v>5.7999030000000003E-3</v>
      </c>
      <c r="W171" s="230">
        <f t="shared" si="40"/>
        <v>1.4499758337361043E-3</v>
      </c>
      <c r="X171" s="43">
        <f t="shared" si="41"/>
        <v>0.87578540400000005</v>
      </c>
      <c r="Y171" s="43">
        <v>86.628448680000005</v>
      </c>
      <c r="Z171" s="43">
        <f t="shared" si="30"/>
        <v>0</v>
      </c>
      <c r="AA171" s="43">
        <f t="shared" si="31"/>
        <v>478718</v>
      </c>
      <c r="AB171" s="43">
        <f t="shared" si="32"/>
        <v>186107</v>
      </c>
      <c r="AC171" s="43">
        <f t="shared" si="42"/>
        <v>7.5967312731255288E-2</v>
      </c>
      <c r="AD171" s="43">
        <f t="shared" si="43"/>
        <v>0.80847972010000058</v>
      </c>
      <c r="AF171" s="43">
        <v>14.914782615868093</v>
      </c>
      <c r="AG171" s="43">
        <v>2.2674643000000001E-2</v>
      </c>
      <c r="AH171" s="43">
        <v>9.8417599999999997E-3</v>
      </c>
      <c r="AI171" s="43">
        <v>0.90129293700000002</v>
      </c>
      <c r="AJ171" s="43">
        <v>5.5581395349999996</v>
      </c>
      <c r="AK171" s="43">
        <v>9.4709011019999991</v>
      </c>
      <c r="AL171" s="43">
        <v>5.7999030000000003E-3</v>
      </c>
      <c r="AM171" s="230">
        <v>1.4499758337361043E-3</v>
      </c>
      <c r="AN171" s="43">
        <v>0.87578540400000005</v>
      </c>
    </row>
    <row r="172" spans="1:40" x14ac:dyDescent="0.25">
      <c r="A172" s="134">
        <v>162</v>
      </c>
      <c r="B172" s="134" t="s">
        <v>209</v>
      </c>
      <c r="C172" s="134" t="s">
        <v>210</v>
      </c>
      <c r="D172" s="134" t="s">
        <v>211</v>
      </c>
      <c r="E172" s="134">
        <v>0</v>
      </c>
      <c r="F172" s="134">
        <v>0</v>
      </c>
      <c r="G172" s="134">
        <v>78</v>
      </c>
      <c r="H172" s="134">
        <v>228</v>
      </c>
      <c r="I172" s="200">
        <v>0.12998923440599999</v>
      </c>
      <c r="J172" s="134">
        <v>228</v>
      </c>
      <c r="K172" s="134">
        <v>1753.9914058500001</v>
      </c>
      <c r="L172" s="42">
        <v>0.96753741685100003</v>
      </c>
      <c r="M172" s="42">
        <v>1</v>
      </c>
      <c r="N172" s="134">
        <v>0</v>
      </c>
      <c r="O172" s="43" t="s">
        <v>665</v>
      </c>
      <c r="P172" s="43">
        <f t="shared" si="33"/>
        <v>17.172978805611329</v>
      </c>
      <c r="Q172" s="43">
        <f t="shared" si="34"/>
        <v>9.6554169653521107E-2</v>
      </c>
      <c r="R172" s="43">
        <f t="shared" si="35"/>
        <v>7.344789E-3</v>
      </c>
      <c r="S172" s="43">
        <f t="shared" si="36"/>
        <v>0.96753741699999996</v>
      </c>
      <c r="T172" s="43">
        <f t="shared" si="37"/>
        <v>6.5579399140000003</v>
      </c>
      <c r="U172" s="43">
        <f t="shared" si="38"/>
        <v>28.958125750000001</v>
      </c>
      <c r="V172" s="43">
        <f t="shared" si="39"/>
        <v>7.7874820000000001E-3</v>
      </c>
      <c r="W172" s="230">
        <f t="shared" si="40"/>
        <v>0.17543463575789031</v>
      </c>
      <c r="X172" s="43">
        <f t="shared" si="41"/>
        <v>0.941775837</v>
      </c>
      <c r="Y172" s="43">
        <v>86.4878693</v>
      </c>
      <c r="Z172" s="43">
        <f t="shared" si="30"/>
        <v>0</v>
      </c>
      <c r="AA172" s="43">
        <f t="shared" si="31"/>
        <v>478718</v>
      </c>
      <c r="AB172" s="43">
        <f t="shared" si="32"/>
        <v>186107</v>
      </c>
      <c r="AC172" s="43">
        <f t="shared" si="42"/>
        <v>7.5967312731255288E-2</v>
      </c>
      <c r="AD172" s="43">
        <f t="shared" si="43"/>
        <v>0.80847972010000058</v>
      </c>
      <c r="AF172" s="43">
        <v>17.172978805611329</v>
      </c>
      <c r="AG172" s="43">
        <v>0</v>
      </c>
      <c r="AH172" s="43">
        <v>7.344789E-3</v>
      </c>
      <c r="AI172" s="43">
        <v>0.96753741699999996</v>
      </c>
      <c r="AJ172" s="43">
        <v>6.5579399140000003</v>
      </c>
      <c r="AK172" s="43">
        <v>28.958125750000001</v>
      </c>
      <c r="AL172" s="43">
        <v>7.7874820000000001E-3</v>
      </c>
      <c r="AM172" s="230">
        <v>0</v>
      </c>
      <c r="AN172" s="43">
        <v>0.941775837</v>
      </c>
    </row>
    <row r="173" spans="1:40" x14ac:dyDescent="0.25">
      <c r="A173" s="134">
        <v>163</v>
      </c>
      <c r="B173" s="134" t="s">
        <v>209</v>
      </c>
      <c r="C173" s="134" t="s">
        <v>210</v>
      </c>
      <c r="D173" s="134" t="s">
        <v>211</v>
      </c>
      <c r="E173" s="134">
        <v>0</v>
      </c>
      <c r="F173" s="134">
        <v>0</v>
      </c>
      <c r="G173" s="134">
        <v>93</v>
      </c>
      <c r="H173" s="134">
        <v>249</v>
      </c>
      <c r="I173" s="200">
        <v>0.15456399488</v>
      </c>
      <c r="J173" s="134">
        <v>249</v>
      </c>
      <c r="K173" s="134">
        <v>1610.98320597</v>
      </c>
      <c r="L173" s="42">
        <v>0.96524506683599998</v>
      </c>
      <c r="M173" s="42">
        <v>1</v>
      </c>
      <c r="N173" s="134">
        <v>0</v>
      </c>
      <c r="O173" s="43" t="s">
        <v>666</v>
      </c>
      <c r="P173" s="43">
        <f t="shared" si="33"/>
        <v>16.080120718858122</v>
      </c>
      <c r="Q173" s="43">
        <f t="shared" si="34"/>
        <v>9.6554169653521107E-2</v>
      </c>
      <c r="R173" s="43">
        <f t="shared" si="35"/>
        <v>8.6250800000000002E-3</v>
      </c>
      <c r="S173" s="43">
        <f t="shared" si="36"/>
        <v>0.96524506700000001</v>
      </c>
      <c r="T173" s="43">
        <f t="shared" si="37"/>
        <v>5.8933566429999997</v>
      </c>
      <c r="U173" s="43">
        <f t="shared" si="38"/>
        <v>24.113832519999999</v>
      </c>
      <c r="V173" s="43">
        <f t="shared" si="39"/>
        <v>9.1114660000000004E-3</v>
      </c>
      <c r="W173" s="230">
        <f t="shared" si="40"/>
        <v>0.17543463575789031</v>
      </c>
      <c r="X173" s="43">
        <f t="shared" si="41"/>
        <v>0.94167331700000001</v>
      </c>
      <c r="Y173" s="43">
        <v>86.4878693</v>
      </c>
      <c r="Z173" s="43">
        <f t="shared" si="30"/>
        <v>0</v>
      </c>
      <c r="AA173" s="43">
        <f t="shared" si="31"/>
        <v>478718</v>
      </c>
      <c r="AB173" s="43">
        <f t="shared" si="32"/>
        <v>186107</v>
      </c>
      <c r="AC173" s="43">
        <f t="shared" si="42"/>
        <v>7.5967312731255288E-2</v>
      </c>
      <c r="AD173" s="43">
        <f t="shared" si="43"/>
        <v>0.80847972010000058</v>
      </c>
      <c r="AF173" s="43">
        <v>16.080120718858122</v>
      </c>
      <c r="AG173" s="43">
        <v>0</v>
      </c>
      <c r="AH173" s="43">
        <v>8.6250800000000002E-3</v>
      </c>
      <c r="AI173" s="43">
        <v>0.96524506700000001</v>
      </c>
      <c r="AJ173" s="43">
        <v>5.8933566429999997</v>
      </c>
      <c r="AK173" s="43">
        <v>24.113832519999999</v>
      </c>
      <c r="AL173" s="43">
        <v>9.1114660000000004E-3</v>
      </c>
      <c r="AM173" s="230">
        <v>0</v>
      </c>
      <c r="AN173" s="43">
        <v>0.94167331700000001</v>
      </c>
    </row>
    <row r="174" spans="1:40" x14ac:dyDescent="0.25">
      <c r="A174" s="134">
        <v>164</v>
      </c>
      <c r="B174" s="134" t="s">
        <v>209</v>
      </c>
      <c r="C174" s="134" t="s">
        <v>210</v>
      </c>
      <c r="D174" s="134" t="s">
        <v>211</v>
      </c>
      <c r="E174" s="134">
        <v>0</v>
      </c>
      <c r="F174" s="134">
        <v>0</v>
      </c>
      <c r="G174" s="134">
        <v>71</v>
      </c>
      <c r="H174" s="134">
        <v>483</v>
      </c>
      <c r="I174" s="200">
        <v>0.118135443174</v>
      </c>
      <c r="J174" s="134">
        <v>483</v>
      </c>
      <c r="K174" s="134">
        <v>4088.52743108</v>
      </c>
      <c r="L174" s="42">
        <v>0.92290071641600002</v>
      </c>
      <c r="M174" s="42">
        <v>1</v>
      </c>
      <c r="N174" s="134">
        <v>0</v>
      </c>
      <c r="O174" s="43" t="s">
        <v>666</v>
      </c>
      <c r="P174" s="43">
        <f t="shared" si="33"/>
        <v>16.440632640423075</v>
      </c>
      <c r="Q174" s="43">
        <f t="shared" si="34"/>
        <v>3.3622359999999997E-2</v>
      </c>
      <c r="R174" s="43">
        <f t="shared" si="35"/>
        <v>9.4702209999999992E-3</v>
      </c>
      <c r="S174" s="43">
        <f t="shared" si="36"/>
        <v>0.92290071600000001</v>
      </c>
      <c r="T174" s="43">
        <f t="shared" si="37"/>
        <v>5.0394207560000002</v>
      </c>
      <c r="U174" s="43">
        <f t="shared" si="38"/>
        <v>27.327069359999999</v>
      </c>
      <c r="V174" s="43">
        <f t="shared" si="39"/>
        <v>1.0530967E-2</v>
      </c>
      <c r="W174" s="230">
        <f t="shared" si="40"/>
        <v>1.7416599160468369E-2</v>
      </c>
      <c r="X174" s="43">
        <f t="shared" si="41"/>
        <v>0.92941306400000001</v>
      </c>
      <c r="Y174" s="43">
        <v>87.236382950000007</v>
      </c>
      <c r="Z174" s="43">
        <f t="shared" si="30"/>
        <v>0</v>
      </c>
      <c r="AA174" s="43">
        <f t="shared" si="31"/>
        <v>478718</v>
      </c>
      <c r="AB174" s="43">
        <f t="shared" si="32"/>
        <v>186107</v>
      </c>
      <c r="AC174" s="43">
        <f t="shared" si="42"/>
        <v>7.5967312731255288E-2</v>
      </c>
      <c r="AD174" s="43">
        <f t="shared" si="43"/>
        <v>0.80847972010000058</v>
      </c>
      <c r="AF174" s="43">
        <v>16.440632640423075</v>
      </c>
      <c r="AG174" s="43">
        <v>3.3622359999999997E-2</v>
      </c>
      <c r="AH174" s="43">
        <v>9.4702209999999992E-3</v>
      </c>
      <c r="AI174" s="43">
        <v>0.92290071600000001</v>
      </c>
      <c r="AJ174" s="43">
        <v>5.0394207560000002</v>
      </c>
      <c r="AK174" s="43">
        <v>27.327069359999999</v>
      </c>
      <c r="AL174" s="43">
        <v>1.0530967E-2</v>
      </c>
      <c r="AM174" s="230">
        <v>1.7416599160468369E-2</v>
      </c>
      <c r="AN174" s="43">
        <v>0.92941306400000001</v>
      </c>
    </row>
    <row r="175" spans="1:40" x14ac:dyDescent="0.25">
      <c r="A175" s="134">
        <v>165</v>
      </c>
      <c r="B175" s="134" t="s">
        <v>209</v>
      </c>
      <c r="C175" s="134" t="s">
        <v>210</v>
      </c>
      <c r="D175" s="134" t="s">
        <v>211</v>
      </c>
      <c r="E175" s="134">
        <v>0</v>
      </c>
      <c r="F175" s="134">
        <v>0</v>
      </c>
      <c r="G175" s="134">
        <v>60</v>
      </c>
      <c r="H175" s="134">
        <v>18</v>
      </c>
      <c r="I175" s="200">
        <v>0.100282043138</v>
      </c>
      <c r="J175" s="134">
        <v>18</v>
      </c>
      <c r="K175" s="134">
        <v>179.493750194</v>
      </c>
      <c r="L175" s="42">
        <v>0.83077330508500002</v>
      </c>
      <c r="M175" s="42">
        <v>1</v>
      </c>
      <c r="N175" s="134">
        <v>0</v>
      </c>
      <c r="O175" s="43" t="s">
        <v>666</v>
      </c>
      <c r="P175" s="43">
        <f t="shared" si="33"/>
        <v>15.234047731728754</v>
      </c>
      <c r="Q175" s="43">
        <f t="shared" si="34"/>
        <v>6.3824152999999995E-2</v>
      </c>
      <c r="R175" s="43">
        <f t="shared" si="35"/>
        <v>4.5021189999999997E-3</v>
      </c>
      <c r="S175" s="43">
        <f t="shared" si="36"/>
        <v>0.83077330500000002</v>
      </c>
      <c r="T175" s="43">
        <f t="shared" si="37"/>
        <v>7.2</v>
      </c>
      <c r="U175" s="43">
        <f t="shared" si="38"/>
        <v>61.63543894</v>
      </c>
      <c r="V175" s="43">
        <f t="shared" si="39"/>
        <v>1.4840939104972377E-2</v>
      </c>
      <c r="W175" s="230">
        <f t="shared" si="40"/>
        <v>0.17543463575789031</v>
      </c>
      <c r="X175" s="43">
        <f t="shared" si="41"/>
        <v>0.75211608200000002</v>
      </c>
      <c r="Y175" s="43">
        <v>86.800179799999995</v>
      </c>
      <c r="Z175" s="43">
        <f t="shared" si="30"/>
        <v>0</v>
      </c>
      <c r="AA175" s="43">
        <f t="shared" si="31"/>
        <v>478718</v>
      </c>
      <c r="AB175" s="43">
        <f t="shared" si="32"/>
        <v>186107</v>
      </c>
      <c r="AC175" s="43">
        <f t="shared" si="42"/>
        <v>7.5967312731255288E-2</v>
      </c>
      <c r="AD175" s="43">
        <f t="shared" si="43"/>
        <v>0.80847972010000058</v>
      </c>
      <c r="AF175" s="43">
        <v>15.234047731728754</v>
      </c>
      <c r="AG175" s="43">
        <v>6.3824152999999995E-2</v>
      </c>
      <c r="AH175" s="43">
        <v>4.5021189999999997E-3</v>
      </c>
      <c r="AI175" s="43">
        <v>0.83077330500000002</v>
      </c>
      <c r="AJ175" s="43">
        <v>7.2</v>
      </c>
      <c r="AK175" s="43">
        <v>61.63543894</v>
      </c>
      <c r="AL175" s="43">
        <v>0</v>
      </c>
      <c r="AM175" s="230">
        <v>0</v>
      </c>
      <c r="AN175" s="43">
        <v>0.75211608200000002</v>
      </c>
    </row>
    <row r="176" spans="1:40" x14ac:dyDescent="0.25">
      <c r="A176" s="134">
        <v>166</v>
      </c>
      <c r="B176" s="134" t="s">
        <v>209</v>
      </c>
      <c r="C176" s="134" t="s">
        <v>210</v>
      </c>
      <c r="D176" s="134" t="s">
        <v>211</v>
      </c>
      <c r="E176" s="134">
        <v>332</v>
      </c>
      <c r="F176" s="134">
        <v>849</v>
      </c>
      <c r="G176" s="134">
        <v>22</v>
      </c>
      <c r="H176" s="134">
        <v>45</v>
      </c>
      <c r="I176" s="200">
        <v>3.6936875771299997E-2</v>
      </c>
      <c r="J176" s="134">
        <v>894</v>
      </c>
      <c r="K176" s="134">
        <v>24203.454713800002</v>
      </c>
      <c r="L176" s="42">
        <v>0.73742502703400004</v>
      </c>
      <c r="M176" s="42">
        <v>0.119363395225</v>
      </c>
      <c r="N176" s="134">
        <v>0</v>
      </c>
      <c r="O176" s="43" t="s">
        <v>664</v>
      </c>
      <c r="P176" s="43">
        <f t="shared" si="33"/>
        <v>12.854181325721107</v>
      </c>
      <c r="Q176" s="43">
        <f t="shared" si="34"/>
        <v>0.141127164</v>
      </c>
      <c r="R176" s="43">
        <f t="shared" si="35"/>
        <v>1.7697985999999999E-2</v>
      </c>
      <c r="S176" s="43">
        <f t="shared" si="36"/>
        <v>0.73742502700000001</v>
      </c>
      <c r="T176" s="43">
        <f t="shared" si="37"/>
        <v>3.6818613490000001</v>
      </c>
      <c r="U176" s="43">
        <f t="shared" si="38"/>
        <v>8.4386365469999998</v>
      </c>
      <c r="V176" s="43">
        <f t="shared" si="39"/>
        <v>1.1510318E-2</v>
      </c>
      <c r="W176" s="230">
        <f t="shared" si="40"/>
        <v>0.28501740250486451</v>
      </c>
      <c r="X176" s="43">
        <f t="shared" si="41"/>
        <v>0.64106991099999999</v>
      </c>
      <c r="Y176" s="43">
        <v>87.277855169999995</v>
      </c>
      <c r="Z176" s="43">
        <f t="shared" si="30"/>
        <v>0</v>
      </c>
      <c r="AA176" s="43">
        <f t="shared" si="31"/>
        <v>478718</v>
      </c>
      <c r="AB176" s="43">
        <f t="shared" si="32"/>
        <v>186107</v>
      </c>
      <c r="AC176" s="43">
        <f t="shared" si="42"/>
        <v>7.5967312731255288E-2</v>
      </c>
      <c r="AD176" s="43">
        <f t="shared" si="43"/>
        <v>0.80847972010000058</v>
      </c>
      <c r="AF176" s="43">
        <v>12.854181325721107</v>
      </c>
      <c r="AG176" s="43">
        <v>0.141127164</v>
      </c>
      <c r="AH176" s="43">
        <v>1.7697985999999999E-2</v>
      </c>
      <c r="AI176" s="43">
        <v>0.73742502700000001</v>
      </c>
      <c r="AJ176" s="43">
        <v>3.6818613490000001</v>
      </c>
      <c r="AK176" s="43">
        <v>8.4386365469999998</v>
      </c>
      <c r="AL176" s="43">
        <v>1.1510318E-2</v>
      </c>
      <c r="AM176" s="230">
        <v>0.28501740250486451</v>
      </c>
      <c r="AN176" s="43">
        <v>0.64106991099999999</v>
      </c>
    </row>
    <row r="177" spans="1:40" x14ac:dyDescent="0.25">
      <c r="A177" s="134">
        <v>167</v>
      </c>
      <c r="B177" s="134" t="s">
        <v>209</v>
      </c>
      <c r="C177" s="134" t="s">
        <v>210</v>
      </c>
      <c r="D177" s="134" t="s">
        <v>211</v>
      </c>
      <c r="E177" s="134">
        <v>200</v>
      </c>
      <c r="F177" s="134">
        <v>513</v>
      </c>
      <c r="G177" s="134">
        <v>17</v>
      </c>
      <c r="H177" s="134">
        <v>62</v>
      </c>
      <c r="I177" s="200">
        <v>2.7572996969000001E-2</v>
      </c>
      <c r="J177" s="134">
        <v>575</v>
      </c>
      <c r="K177" s="134">
        <v>20853.736017399999</v>
      </c>
      <c r="L177" s="42">
        <v>0.76679410748200005</v>
      </c>
      <c r="M177" s="42">
        <v>0.23664122137400001</v>
      </c>
      <c r="N177" s="134">
        <v>0</v>
      </c>
      <c r="O177" s="43" t="s">
        <v>664</v>
      </c>
      <c r="P177" s="43">
        <f t="shared" si="33"/>
        <v>13.446973247039054</v>
      </c>
      <c r="Q177" s="43">
        <f t="shared" si="34"/>
        <v>0.130119233</v>
      </c>
      <c r="R177" s="43">
        <f t="shared" si="35"/>
        <v>1.8684119999999999E-2</v>
      </c>
      <c r="S177" s="43">
        <f t="shared" si="36"/>
        <v>0.76679410699999995</v>
      </c>
      <c r="T177" s="43">
        <f t="shared" si="37"/>
        <v>3.8713585230000001</v>
      </c>
      <c r="U177" s="43">
        <f t="shared" si="38"/>
        <v>8.5627367490000008</v>
      </c>
      <c r="V177" s="43">
        <f t="shared" si="39"/>
        <v>1.3418213999999999E-2</v>
      </c>
      <c r="W177" s="230">
        <f t="shared" si="40"/>
        <v>0.24339572294438303</v>
      </c>
      <c r="X177" s="43">
        <f t="shared" si="41"/>
        <v>0.68131742500000003</v>
      </c>
      <c r="Y177" s="43">
        <v>86.844291699999999</v>
      </c>
      <c r="Z177" s="43">
        <f t="shared" si="30"/>
        <v>0</v>
      </c>
      <c r="AA177" s="43">
        <f t="shared" si="31"/>
        <v>478718</v>
      </c>
      <c r="AB177" s="43">
        <f t="shared" si="32"/>
        <v>186107</v>
      </c>
      <c r="AC177" s="43">
        <f t="shared" si="42"/>
        <v>7.5967312731255288E-2</v>
      </c>
      <c r="AD177" s="43">
        <f t="shared" si="43"/>
        <v>0.80847972010000058</v>
      </c>
      <c r="AF177" s="43">
        <v>13.446973247039054</v>
      </c>
      <c r="AG177" s="43">
        <v>0.130119233</v>
      </c>
      <c r="AH177" s="43">
        <v>1.8684119999999999E-2</v>
      </c>
      <c r="AI177" s="43">
        <v>0.76679410699999995</v>
      </c>
      <c r="AJ177" s="43">
        <v>3.8713585230000001</v>
      </c>
      <c r="AK177" s="43">
        <v>8.5627367490000008</v>
      </c>
      <c r="AL177" s="43">
        <v>1.3418213999999999E-2</v>
      </c>
      <c r="AM177" s="230">
        <v>0.24339572294438303</v>
      </c>
      <c r="AN177" s="43">
        <v>0.68131742500000003</v>
      </c>
    </row>
    <row r="178" spans="1:40" x14ac:dyDescent="0.25">
      <c r="A178" s="134">
        <v>168</v>
      </c>
      <c r="B178" s="134" t="s">
        <v>209</v>
      </c>
      <c r="C178" s="134" t="s">
        <v>210</v>
      </c>
      <c r="D178" s="134" t="s">
        <v>211</v>
      </c>
      <c r="E178" s="134">
        <v>0</v>
      </c>
      <c r="F178" s="134">
        <v>0</v>
      </c>
      <c r="G178" s="134">
        <v>16</v>
      </c>
      <c r="H178" s="134">
        <v>0</v>
      </c>
      <c r="I178" s="200">
        <v>2.6356593606200001E-2</v>
      </c>
      <c r="J178" s="134">
        <v>0</v>
      </c>
      <c r="K178" s="134">
        <v>0</v>
      </c>
      <c r="L178" s="42">
        <v>0.844290657439</v>
      </c>
      <c r="M178" s="42">
        <v>0</v>
      </c>
      <c r="N178" s="134">
        <v>0</v>
      </c>
      <c r="O178" s="43" t="s">
        <v>664</v>
      </c>
      <c r="P178" s="43">
        <f t="shared" si="33"/>
        <v>12.802733522471069</v>
      </c>
      <c r="Q178" s="43">
        <f t="shared" si="34"/>
        <v>0.108131488</v>
      </c>
      <c r="R178" s="43">
        <f t="shared" si="35"/>
        <v>8.6505190000000006E-3</v>
      </c>
      <c r="S178" s="43">
        <f t="shared" si="36"/>
        <v>0.84429065700000006</v>
      </c>
      <c r="T178" s="43">
        <f t="shared" si="37"/>
        <v>5.434782609</v>
      </c>
      <c r="U178" s="43">
        <f t="shared" si="38"/>
        <v>7.9222661399999996</v>
      </c>
      <c r="V178" s="43">
        <f t="shared" si="39"/>
        <v>1.4840939104972377E-2</v>
      </c>
      <c r="W178" s="230">
        <f t="shared" si="40"/>
        <v>0.17543463575789031</v>
      </c>
      <c r="X178" s="43">
        <f t="shared" si="41"/>
        <v>0.7379354438661202</v>
      </c>
      <c r="Y178" s="43">
        <v>87.20465437</v>
      </c>
      <c r="Z178" s="43">
        <f t="shared" si="30"/>
        <v>0</v>
      </c>
      <c r="AA178" s="43">
        <f t="shared" si="31"/>
        <v>478718</v>
      </c>
      <c r="AB178" s="43">
        <f t="shared" si="32"/>
        <v>186107</v>
      </c>
      <c r="AC178" s="43">
        <f t="shared" si="42"/>
        <v>7.5967312731255288E-2</v>
      </c>
      <c r="AD178" s="43">
        <f t="shared" si="43"/>
        <v>0.80847972010000058</v>
      </c>
      <c r="AF178" s="43" t="e">
        <v>#DIV/0!</v>
      </c>
      <c r="AG178" s="43">
        <v>0.108131488</v>
      </c>
      <c r="AH178" s="43">
        <v>8.6505190000000006E-3</v>
      </c>
      <c r="AI178" s="43">
        <v>0.84429065700000006</v>
      </c>
      <c r="AJ178" s="43">
        <v>5.434782609</v>
      </c>
      <c r="AK178" s="43">
        <v>7.9222661399999996</v>
      </c>
      <c r="AL178" s="43" t="e">
        <v>#DIV/0!</v>
      </c>
      <c r="AM178" s="230" t="e">
        <v>#DIV/0!</v>
      </c>
      <c r="AN178" s="43" t="e">
        <v>#DIV/0!</v>
      </c>
    </row>
    <row r="179" spans="1:40" x14ac:dyDescent="0.25">
      <c r="A179" s="134">
        <v>169</v>
      </c>
      <c r="B179" s="134" t="s">
        <v>209</v>
      </c>
      <c r="C179" s="134" t="s">
        <v>210</v>
      </c>
      <c r="D179" s="134" t="s">
        <v>211</v>
      </c>
      <c r="E179" s="134">
        <v>0</v>
      </c>
      <c r="F179" s="134">
        <v>0</v>
      </c>
      <c r="G179" s="134">
        <v>32</v>
      </c>
      <c r="H179" s="134">
        <v>141</v>
      </c>
      <c r="I179" s="200">
        <v>5.3178460307500001E-2</v>
      </c>
      <c r="J179" s="134">
        <v>141</v>
      </c>
      <c r="K179" s="134">
        <v>2651.44946252</v>
      </c>
      <c r="L179" s="42">
        <v>0.95949486480799995</v>
      </c>
      <c r="M179" s="42">
        <v>1</v>
      </c>
      <c r="N179" s="134">
        <v>0</v>
      </c>
      <c r="O179" s="43" t="s">
        <v>666</v>
      </c>
      <c r="P179" s="43">
        <f t="shared" si="33"/>
        <v>16.267739574189104</v>
      </c>
      <c r="Q179" s="43">
        <f t="shared" si="34"/>
        <v>9.6554169653521107E-2</v>
      </c>
      <c r="R179" s="43">
        <f t="shared" si="35"/>
        <v>6.9167889999999996E-3</v>
      </c>
      <c r="S179" s="43">
        <f t="shared" si="36"/>
        <v>0.95949486500000003</v>
      </c>
      <c r="T179" s="43">
        <f t="shared" si="37"/>
        <v>6.8576388890000004</v>
      </c>
      <c r="U179" s="43">
        <f t="shared" si="38"/>
        <v>29.5307116</v>
      </c>
      <c r="V179" s="43">
        <f t="shared" si="39"/>
        <v>7.4164130000000002E-3</v>
      </c>
      <c r="W179" s="230">
        <f t="shared" si="40"/>
        <v>0.17543463575789031</v>
      </c>
      <c r="X179" s="43">
        <f t="shared" si="41"/>
        <v>0.90844984799999995</v>
      </c>
      <c r="Y179" s="43">
        <v>86.521036940000002</v>
      </c>
      <c r="Z179" s="43">
        <f t="shared" si="30"/>
        <v>0</v>
      </c>
      <c r="AA179" s="43">
        <f t="shared" si="31"/>
        <v>478718</v>
      </c>
      <c r="AB179" s="43">
        <f t="shared" si="32"/>
        <v>186107</v>
      </c>
      <c r="AC179" s="43">
        <f t="shared" si="42"/>
        <v>7.5967312731255288E-2</v>
      </c>
      <c r="AD179" s="43">
        <f t="shared" si="43"/>
        <v>0.80847972010000058</v>
      </c>
      <c r="AF179" s="43">
        <v>16.267739574189104</v>
      </c>
      <c r="AG179" s="43">
        <v>0</v>
      </c>
      <c r="AH179" s="43">
        <v>6.9167889999999996E-3</v>
      </c>
      <c r="AI179" s="43">
        <v>0.95949486500000003</v>
      </c>
      <c r="AJ179" s="43">
        <v>6.8576388890000004</v>
      </c>
      <c r="AK179" s="43">
        <v>29.5307116</v>
      </c>
      <c r="AL179" s="43">
        <v>7.4164130000000002E-3</v>
      </c>
      <c r="AM179" s="230">
        <v>0</v>
      </c>
      <c r="AN179" s="43">
        <v>0.90844984799999995</v>
      </c>
    </row>
    <row r="180" spans="1:40" x14ac:dyDescent="0.25">
      <c r="A180" s="134">
        <v>170</v>
      </c>
      <c r="B180" s="134" t="s">
        <v>209</v>
      </c>
      <c r="C180" s="134" t="s">
        <v>210</v>
      </c>
      <c r="D180" s="134" t="s">
        <v>211</v>
      </c>
      <c r="E180" s="134">
        <v>0</v>
      </c>
      <c r="F180" s="134">
        <v>0</v>
      </c>
      <c r="G180" s="134">
        <v>77</v>
      </c>
      <c r="H180" s="134">
        <v>237</v>
      </c>
      <c r="I180" s="200">
        <v>0.129335344922</v>
      </c>
      <c r="J180" s="134">
        <v>237</v>
      </c>
      <c r="K180" s="134">
        <v>1832.44572582</v>
      </c>
      <c r="L180" s="42">
        <v>0.969060459835</v>
      </c>
      <c r="M180" s="42">
        <v>1</v>
      </c>
      <c r="N180" s="134">
        <v>0</v>
      </c>
      <c r="O180" s="43" t="s">
        <v>666</v>
      </c>
      <c r="P180" s="43">
        <f t="shared" si="33"/>
        <v>15.8845644314629</v>
      </c>
      <c r="Q180" s="43">
        <f t="shared" si="34"/>
        <v>9.6554169653521107E-2</v>
      </c>
      <c r="R180" s="43">
        <f t="shared" si="35"/>
        <v>8.6857789999999994E-3</v>
      </c>
      <c r="S180" s="43">
        <f t="shared" si="36"/>
        <v>0.96906046000000001</v>
      </c>
      <c r="T180" s="43">
        <f t="shared" si="37"/>
        <v>5.4476923079999997</v>
      </c>
      <c r="U180" s="43">
        <f t="shared" si="38"/>
        <v>39.641906339999998</v>
      </c>
      <c r="V180" s="43">
        <f t="shared" si="39"/>
        <v>8.9198609999999994E-3</v>
      </c>
      <c r="W180" s="230">
        <f t="shared" si="40"/>
        <v>0.17543463575789031</v>
      </c>
      <c r="X180" s="43">
        <f t="shared" si="41"/>
        <v>0.93923344900000005</v>
      </c>
      <c r="Y180" s="43">
        <v>86.504831569999993</v>
      </c>
      <c r="Z180" s="43">
        <f t="shared" si="30"/>
        <v>0</v>
      </c>
      <c r="AA180" s="43">
        <f t="shared" si="31"/>
        <v>478718</v>
      </c>
      <c r="AB180" s="43">
        <f t="shared" si="32"/>
        <v>186107</v>
      </c>
      <c r="AC180" s="43">
        <f t="shared" si="42"/>
        <v>7.5967312731255288E-2</v>
      </c>
      <c r="AD180" s="43">
        <f t="shared" si="43"/>
        <v>0.80847972010000058</v>
      </c>
      <c r="AF180" s="43">
        <v>15.8845644314629</v>
      </c>
      <c r="AG180" s="43">
        <v>0</v>
      </c>
      <c r="AH180" s="43">
        <v>8.6857789999999994E-3</v>
      </c>
      <c r="AI180" s="43">
        <v>0.96906046000000001</v>
      </c>
      <c r="AJ180" s="43">
        <v>5.4476923079999997</v>
      </c>
      <c r="AK180" s="43">
        <v>39.641906339999998</v>
      </c>
      <c r="AL180" s="43">
        <v>8.9198609999999994E-3</v>
      </c>
      <c r="AM180" s="230">
        <v>0</v>
      </c>
      <c r="AN180" s="43">
        <v>0.93923344900000005</v>
      </c>
    </row>
    <row r="181" spans="1:40" x14ac:dyDescent="0.25">
      <c r="A181" s="134">
        <v>171</v>
      </c>
      <c r="B181" s="134" t="s">
        <v>209</v>
      </c>
      <c r="C181" s="134" t="s">
        <v>210</v>
      </c>
      <c r="D181" s="134" t="s">
        <v>211</v>
      </c>
      <c r="E181" s="134">
        <v>0</v>
      </c>
      <c r="F181" s="134">
        <v>0</v>
      </c>
      <c r="G181" s="134">
        <v>28</v>
      </c>
      <c r="H181" s="134">
        <v>327</v>
      </c>
      <c r="I181" s="200">
        <v>4.6650425701600003E-2</v>
      </c>
      <c r="J181" s="134">
        <v>327</v>
      </c>
      <c r="K181" s="134">
        <v>7009.5823367499997</v>
      </c>
      <c r="L181" s="42">
        <v>0.96867090772300002</v>
      </c>
      <c r="M181" s="42">
        <v>1</v>
      </c>
      <c r="N181" s="134">
        <v>0</v>
      </c>
      <c r="O181" s="43" t="s">
        <v>666</v>
      </c>
      <c r="P181" s="43">
        <f t="shared" si="33"/>
        <v>16.569709871187516</v>
      </c>
      <c r="Q181" s="43">
        <f t="shared" si="34"/>
        <v>9.6554169653521107E-2</v>
      </c>
      <c r="R181" s="43">
        <f t="shared" si="35"/>
        <v>8.6645230000000004E-3</v>
      </c>
      <c r="S181" s="43">
        <f t="shared" si="36"/>
        <v>0.968670908</v>
      </c>
      <c r="T181" s="43">
        <f t="shared" si="37"/>
        <v>5.6769025370000001</v>
      </c>
      <c r="U181" s="43">
        <f t="shared" si="38"/>
        <v>43.590525669999998</v>
      </c>
      <c r="V181" s="43">
        <f t="shared" si="39"/>
        <v>9.7762209999999999E-3</v>
      </c>
      <c r="W181" s="230">
        <f t="shared" si="40"/>
        <v>0.17543463575789031</v>
      </c>
      <c r="X181" s="43">
        <f t="shared" si="41"/>
        <v>0.95111889699999996</v>
      </c>
      <c r="Y181" s="43">
        <v>86.535230900000002</v>
      </c>
      <c r="Z181" s="43">
        <f t="shared" si="30"/>
        <v>0</v>
      </c>
      <c r="AA181" s="43">
        <f t="shared" si="31"/>
        <v>478718</v>
      </c>
      <c r="AB181" s="43">
        <f t="shared" si="32"/>
        <v>186107</v>
      </c>
      <c r="AC181" s="43">
        <f t="shared" si="42"/>
        <v>7.5967312731255288E-2</v>
      </c>
      <c r="AD181" s="43">
        <f t="shared" si="43"/>
        <v>0.80847972010000058</v>
      </c>
      <c r="AF181" s="43">
        <v>16.569709871187516</v>
      </c>
      <c r="AG181" s="43">
        <v>0</v>
      </c>
      <c r="AH181" s="43">
        <v>8.6645230000000004E-3</v>
      </c>
      <c r="AI181" s="43">
        <v>0.968670908</v>
      </c>
      <c r="AJ181" s="43">
        <v>5.6769025370000001</v>
      </c>
      <c r="AK181" s="43">
        <v>43.590525669999998</v>
      </c>
      <c r="AL181" s="43">
        <v>9.7762209999999999E-3</v>
      </c>
      <c r="AM181" s="230">
        <v>0</v>
      </c>
      <c r="AN181" s="43">
        <v>0.95111889699999996</v>
      </c>
    </row>
    <row r="182" spans="1:40" x14ac:dyDescent="0.25">
      <c r="A182" s="134">
        <v>172</v>
      </c>
      <c r="B182" s="134" t="s">
        <v>209</v>
      </c>
      <c r="C182" s="134" t="s">
        <v>210</v>
      </c>
      <c r="D182" s="134" t="s">
        <v>211</v>
      </c>
      <c r="E182" s="134">
        <v>686</v>
      </c>
      <c r="F182" s="134">
        <v>1757</v>
      </c>
      <c r="G182" s="134">
        <v>83</v>
      </c>
      <c r="H182" s="134">
        <v>502</v>
      </c>
      <c r="I182" s="200">
        <v>0.138289107913</v>
      </c>
      <c r="J182" s="134">
        <v>2259</v>
      </c>
      <c r="K182" s="134">
        <v>16335.342920999999</v>
      </c>
      <c r="L182" s="42">
        <v>0.75682004081999998</v>
      </c>
      <c r="M182" s="42">
        <v>0.42255892255900002</v>
      </c>
      <c r="N182" s="134">
        <v>0</v>
      </c>
      <c r="O182" s="43" t="s">
        <v>664</v>
      </c>
      <c r="P182" s="43">
        <f t="shared" si="33"/>
        <v>12.736440862021738</v>
      </c>
      <c r="Q182" s="43">
        <f t="shared" si="34"/>
        <v>0.124682812</v>
      </c>
      <c r="R182" s="43">
        <f t="shared" si="35"/>
        <v>1.8363608E-2</v>
      </c>
      <c r="S182" s="43">
        <f t="shared" si="36"/>
        <v>0.756820041</v>
      </c>
      <c r="T182" s="43">
        <f t="shared" si="37"/>
        <v>2.9913099220000001</v>
      </c>
      <c r="U182" s="43">
        <f t="shared" si="38"/>
        <v>7.6127860390000004</v>
      </c>
      <c r="V182" s="43">
        <f t="shared" si="39"/>
        <v>1.7623482999999999E-2</v>
      </c>
      <c r="W182" s="230">
        <f t="shared" si="40"/>
        <v>0.16927145288509052</v>
      </c>
      <c r="X182" s="43">
        <f t="shared" si="41"/>
        <v>0.75800193999999999</v>
      </c>
      <c r="Y182" s="43">
        <v>100.92922419999999</v>
      </c>
      <c r="Z182" s="43">
        <f t="shared" si="30"/>
        <v>0</v>
      </c>
      <c r="AA182" s="43">
        <f t="shared" si="31"/>
        <v>478718</v>
      </c>
      <c r="AB182" s="43">
        <f t="shared" si="32"/>
        <v>186107</v>
      </c>
      <c r="AC182" s="43">
        <f t="shared" si="42"/>
        <v>7.5967312731255288E-2</v>
      </c>
      <c r="AD182" s="43">
        <f t="shared" si="43"/>
        <v>0.80847972010000058</v>
      </c>
      <c r="AF182" s="43">
        <v>12.736440862021738</v>
      </c>
      <c r="AG182" s="43">
        <v>0.124682812</v>
      </c>
      <c r="AH182" s="43">
        <v>1.8363608E-2</v>
      </c>
      <c r="AI182" s="43">
        <v>0.756820041</v>
      </c>
      <c r="AJ182" s="43">
        <v>2.9913099220000001</v>
      </c>
      <c r="AK182" s="43">
        <v>7.6127860390000004</v>
      </c>
      <c r="AL182" s="43">
        <v>1.7623482999999999E-2</v>
      </c>
      <c r="AM182" s="230">
        <v>0.16927145288509052</v>
      </c>
      <c r="AN182" s="43">
        <v>0.75800193999999999</v>
      </c>
    </row>
    <row r="183" spans="1:40" x14ac:dyDescent="0.25">
      <c r="A183" s="134">
        <v>173</v>
      </c>
      <c r="B183" s="134" t="s">
        <v>209</v>
      </c>
      <c r="C183" s="134" t="s">
        <v>210</v>
      </c>
      <c r="D183" s="134" t="s">
        <v>211</v>
      </c>
      <c r="E183" s="134">
        <v>122</v>
      </c>
      <c r="F183" s="134">
        <v>312</v>
      </c>
      <c r="G183" s="134">
        <v>58</v>
      </c>
      <c r="H183" s="134">
        <v>327</v>
      </c>
      <c r="I183" s="200">
        <v>9.7588704199700005E-2</v>
      </c>
      <c r="J183" s="134">
        <v>639</v>
      </c>
      <c r="K183" s="134">
        <v>6547.8889717800002</v>
      </c>
      <c r="L183" s="42">
        <v>0.763734176042</v>
      </c>
      <c r="M183" s="42">
        <v>0.72828507795099995</v>
      </c>
      <c r="N183" s="134">
        <v>0</v>
      </c>
      <c r="O183" s="43" t="s">
        <v>664</v>
      </c>
      <c r="P183" s="43">
        <f t="shared" si="33"/>
        <v>13.336614970722575</v>
      </c>
      <c r="Q183" s="43">
        <f t="shared" si="34"/>
        <v>0.138500176</v>
      </c>
      <c r="R183" s="43">
        <f t="shared" si="35"/>
        <v>1.2279206000000001E-2</v>
      </c>
      <c r="S183" s="43">
        <f t="shared" si="36"/>
        <v>0.76373417600000004</v>
      </c>
      <c r="T183" s="43">
        <f t="shared" si="37"/>
        <v>2.956529921</v>
      </c>
      <c r="U183" s="43">
        <f t="shared" si="38"/>
        <v>7.5904225690000002</v>
      </c>
      <c r="V183" s="43">
        <f t="shared" si="39"/>
        <v>1.4008652E-2</v>
      </c>
      <c r="W183" s="230">
        <f t="shared" si="40"/>
        <v>0.14302951823184906</v>
      </c>
      <c r="X183" s="43">
        <f t="shared" si="41"/>
        <v>0.78680950000000005</v>
      </c>
      <c r="Y183" s="43">
        <v>99.121365330000003</v>
      </c>
      <c r="Z183" s="43">
        <f t="shared" si="30"/>
        <v>0</v>
      </c>
      <c r="AA183" s="43">
        <f t="shared" si="31"/>
        <v>478718</v>
      </c>
      <c r="AB183" s="43">
        <f t="shared" si="32"/>
        <v>186107</v>
      </c>
      <c r="AC183" s="43">
        <f t="shared" si="42"/>
        <v>7.5967312731255288E-2</v>
      </c>
      <c r="AD183" s="43">
        <f t="shared" si="43"/>
        <v>0.80847972010000058</v>
      </c>
      <c r="AF183" s="43">
        <v>13.336614970722575</v>
      </c>
      <c r="AG183" s="43">
        <v>0.138500176</v>
      </c>
      <c r="AH183" s="43">
        <v>1.2279206000000001E-2</v>
      </c>
      <c r="AI183" s="43">
        <v>0.76373417600000004</v>
      </c>
      <c r="AJ183" s="43">
        <v>2.956529921</v>
      </c>
      <c r="AK183" s="43">
        <v>7.5904225690000002</v>
      </c>
      <c r="AL183" s="43">
        <v>1.4008652E-2</v>
      </c>
      <c r="AM183" s="230">
        <v>0.14302951823184906</v>
      </c>
      <c r="AN183" s="43">
        <v>0.78680950000000005</v>
      </c>
    </row>
    <row r="184" spans="1:40" x14ac:dyDescent="0.25">
      <c r="A184" s="134">
        <v>174</v>
      </c>
      <c r="B184" s="134" t="s">
        <v>209</v>
      </c>
      <c r="C184" s="134" t="s">
        <v>210</v>
      </c>
      <c r="D184" s="134" t="s">
        <v>211</v>
      </c>
      <c r="E184" s="134">
        <v>372</v>
      </c>
      <c r="F184" s="134">
        <v>1000</v>
      </c>
      <c r="G184" s="134">
        <v>49</v>
      </c>
      <c r="H184" s="134">
        <v>202</v>
      </c>
      <c r="I184" s="200">
        <v>5.5192085096000001E-2</v>
      </c>
      <c r="J184" s="134">
        <v>1202</v>
      </c>
      <c r="K184" s="134">
        <v>21778.485047400001</v>
      </c>
      <c r="L184" s="42">
        <v>0.75135690031799995</v>
      </c>
      <c r="M184" s="42">
        <v>0.35191637630700001</v>
      </c>
      <c r="N184" s="134">
        <v>1</v>
      </c>
      <c r="O184" s="43" t="s">
        <v>664</v>
      </c>
      <c r="P184" s="43">
        <f t="shared" si="33"/>
        <v>13.435915826978158</v>
      </c>
      <c r="Q184" s="43">
        <f t="shared" si="34"/>
        <v>0.117059304</v>
      </c>
      <c r="R184" s="43">
        <f t="shared" si="35"/>
        <v>1.8262219999999999E-2</v>
      </c>
      <c r="S184" s="43">
        <f t="shared" si="36"/>
        <v>0.75135689999999999</v>
      </c>
      <c r="T184" s="43">
        <f t="shared" si="37"/>
        <v>3.3181818179999998</v>
      </c>
      <c r="U184" s="43">
        <f t="shared" si="38"/>
        <v>8.1826552699999997</v>
      </c>
      <c r="V184" s="43">
        <f t="shared" si="39"/>
        <v>1.3454178000000001E-2</v>
      </c>
      <c r="W184" s="230">
        <f t="shared" si="40"/>
        <v>0.20444246166850594</v>
      </c>
      <c r="X184" s="43">
        <f t="shared" si="41"/>
        <v>0.71302449000000001</v>
      </c>
      <c r="Y184" s="43">
        <v>118.2666261</v>
      </c>
      <c r="Z184" s="43">
        <f t="shared" si="30"/>
        <v>0</v>
      </c>
      <c r="AA184" s="43">
        <f t="shared" si="31"/>
        <v>478718</v>
      </c>
      <c r="AB184" s="43">
        <f t="shared" si="32"/>
        <v>186107</v>
      </c>
      <c r="AC184" s="43">
        <f t="shared" si="42"/>
        <v>7.5967312731255288E-2</v>
      </c>
      <c r="AD184" s="43">
        <f t="shared" si="43"/>
        <v>0.80847972010000058</v>
      </c>
      <c r="AF184" s="43">
        <v>13.435915826978158</v>
      </c>
      <c r="AG184" s="43">
        <v>0.117059304</v>
      </c>
      <c r="AH184" s="43">
        <v>1.8262219999999999E-2</v>
      </c>
      <c r="AI184" s="43">
        <v>0.75135689999999999</v>
      </c>
      <c r="AJ184" s="43">
        <v>3.3181818179999998</v>
      </c>
      <c r="AK184" s="43">
        <v>8.1826552699999997</v>
      </c>
      <c r="AL184" s="43">
        <v>1.3454178000000001E-2</v>
      </c>
      <c r="AM184" s="230">
        <v>0.20444246166850594</v>
      </c>
      <c r="AN184" s="43">
        <v>0.71302449000000001</v>
      </c>
    </row>
    <row r="185" spans="1:40" x14ac:dyDescent="0.25">
      <c r="A185" s="134">
        <v>175</v>
      </c>
      <c r="B185" s="134" t="s">
        <v>209</v>
      </c>
      <c r="C185" s="134" t="s">
        <v>210</v>
      </c>
      <c r="D185" s="134" t="s">
        <v>211</v>
      </c>
      <c r="E185" s="134">
        <v>115</v>
      </c>
      <c r="F185" s="134">
        <v>314</v>
      </c>
      <c r="G185" s="134">
        <v>12</v>
      </c>
      <c r="H185" s="134">
        <v>174</v>
      </c>
      <c r="I185" s="200">
        <v>3.0914984142400001E-2</v>
      </c>
      <c r="J185" s="134">
        <v>488</v>
      </c>
      <c r="K185" s="134">
        <v>15785.2256289</v>
      </c>
      <c r="L185" s="42">
        <v>0.73211231936099996</v>
      </c>
      <c r="M185" s="42">
        <v>0.60207612456699999</v>
      </c>
      <c r="N185" s="134">
        <v>0</v>
      </c>
      <c r="O185" s="43" t="s">
        <v>664</v>
      </c>
      <c r="P185" s="43">
        <f t="shared" si="33"/>
        <v>13.450804199904422</v>
      </c>
      <c r="Q185" s="43">
        <f t="shared" si="34"/>
        <v>0.11611816799999999</v>
      </c>
      <c r="R185" s="43">
        <f t="shared" si="35"/>
        <v>1.8315209999999998E-2</v>
      </c>
      <c r="S185" s="43">
        <f t="shared" si="36"/>
        <v>0.73211231899999996</v>
      </c>
      <c r="T185" s="43">
        <f t="shared" si="37"/>
        <v>3.0457746480000001</v>
      </c>
      <c r="U185" s="43">
        <f t="shared" si="38"/>
        <v>7.1751478009999996</v>
      </c>
      <c r="V185" s="43">
        <f t="shared" si="39"/>
        <v>1.7125316000000002E-2</v>
      </c>
      <c r="W185" s="230">
        <f t="shared" si="40"/>
        <v>0.18100059238515806</v>
      </c>
      <c r="X185" s="43">
        <f t="shared" si="41"/>
        <v>0.68738219599999995</v>
      </c>
      <c r="Y185" s="43">
        <v>248.82112090000001</v>
      </c>
      <c r="Z185" s="43">
        <f t="shared" si="30"/>
        <v>0</v>
      </c>
      <c r="AA185" s="43">
        <f t="shared" si="31"/>
        <v>478718</v>
      </c>
      <c r="AB185" s="43">
        <f t="shared" si="32"/>
        <v>186107</v>
      </c>
      <c r="AC185" s="43">
        <f t="shared" si="42"/>
        <v>7.5967312731255288E-2</v>
      </c>
      <c r="AD185" s="43">
        <f t="shared" si="43"/>
        <v>0.80847972010000058</v>
      </c>
      <c r="AF185" s="43">
        <v>13.450804199904422</v>
      </c>
      <c r="AG185" s="43">
        <v>0.11611816799999999</v>
      </c>
      <c r="AH185" s="43">
        <v>1.8315209999999998E-2</v>
      </c>
      <c r="AI185" s="43">
        <v>0.73211231899999996</v>
      </c>
      <c r="AJ185" s="43">
        <v>3.0457746480000001</v>
      </c>
      <c r="AK185" s="43">
        <v>7.1751478009999996</v>
      </c>
      <c r="AL185" s="43">
        <v>1.7125316000000002E-2</v>
      </c>
      <c r="AM185" s="230">
        <v>0.18100059238515806</v>
      </c>
      <c r="AN185" s="43">
        <v>0.68738219599999995</v>
      </c>
    </row>
    <row r="186" spans="1:40" x14ac:dyDescent="0.25">
      <c r="A186" s="134">
        <v>176</v>
      </c>
      <c r="B186" s="134" t="s">
        <v>209</v>
      </c>
      <c r="C186" s="134" t="s">
        <v>210</v>
      </c>
      <c r="D186" s="134" t="s">
        <v>211</v>
      </c>
      <c r="E186" s="134">
        <v>120</v>
      </c>
      <c r="F186" s="134">
        <v>329</v>
      </c>
      <c r="G186" s="134">
        <v>31</v>
      </c>
      <c r="H186" s="134">
        <v>29</v>
      </c>
      <c r="I186" s="200">
        <v>1.6334302384799999E-2</v>
      </c>
      <c r="J186" s="134">
        <v>358</v>
      </c>
      <c r="K186" s="134">
        <v>21917.067014299999</v>
      </c>
      <c r="L186" s="42">
        <v>0.76263914045100001</v>
      </c>
      <c r="M186" s="42">
        <v>0.19463087248300001</v>
      </c>
      <c r="N186" s="134">
        <v>1</v>
      </c>
      <c r="O186" s="43" t="s">
        <v>664</v>
      </c>
      <c r="P186" s="43">
        <f t="shared" si="33"/>
        <v>12.348300140285588</v>
      </c>
      <c r="Q186" s="43">
        <f t="shared" si="34"/>
        <v>0.104225649</v>
      </c>
      <c r="R186" s="43">
        <f t="shared" si="35"/>
        <v>1.8217947000000002E-2</v>
      </c>
      <c r="S186" s="43">
        <f t="shared" si="36"/>
        <v>0.76263913999999999</v>
      </c>
      <c r="T186" s="43">
        <f t="shared" si="37"/>
        <v>3.3737275809999998</v>
      </c>
      <c r="U186" s="43">
        <f t="shared" si="38"/>
        <v>7.1629286030000001</v>
      </c>
      <c r="V186" s="43">
        <f t="shared" si="39"/>
        <v>7.1841600000000002E-3</v>
      </c>
      <c r="W186" s="230">
        <f t="shared" si="40"/>
        <v>0.213334501489399</v>
      </c>
      <c r="X186" s="43">
        <f t="shared" si="41"/>
        <v>0.66725074500000003</v>
      </c>
      <c r="Y186" s="43">
        <v>260.89500140000001</v>
      </c>
      <c r="Z186" s="43">
        <f t="shared" si="30"/>
        <v>0</v>
      </c>
      <c r="AA186" s="43">
        <f t="shared" si="31"/>
        <v>478718</v>
      </c>
      <c r="AB186" s="43">
        <f t="shared" si="32"/>
        <v>186107</v>
      </c>
      <c r="AC186" s="43">
        <f t="shared" si="42"/>
        <v>7.5967312731255288E-2</v>
      </c>
      <c r="AD186" s="43">
        <f t="shared" si="43"/>
        <v>0.80847972010000058</v>
      </c>
      <c r="AF186" s="43">
        <v>12.348300140285588</v>
      </c>
      <c r="AG186" s="43">
        <v>0.104225649</v>
      </c>
      <c r="AH186" s="43">
        <v>1.8217947000000002E-2</v>
      </c>
      <c r="AI186" s="43">
        <v>0.76263913999999999</v>
      </c>
      <c r="AJ186" s="43">
        <v>3.3737275809999998</v>
      </c>
      <c r="AK186" s="43">
        <v>7.1629286030000001</v>
      </c>
      <c r="AL186" s="43">
        <v>7.1841600000000002E-3</v>
      </c>
      <c r="AM186" s="230">
        <v>0.213334501489399</v>
      </c>
      <c r="AN186" s="43">
        <v>0.66725074500000003</v>
      </c>
    </row>
    <row r="187" spans="1:40" x14ac:dyDescent="0.25">
      <c r="A187" s="134">
        <v>177</v>
      </c>
      <c r="B187" s="134" t="s">
        <v>209</v>
      </c>
      <c r="C187" s="134" t="s">
        <v>210</v>
      </c>
      <c r="D187" s="134" t="s">
        <v>211</v>
      </c>
      <c r="E187" s="134">
        <v>307</v>
      </c>
      <c r="F187" s="134">
        <v>805</v>
      </c>
      <c r="G187" s="134">
        <v>42</v>
      </c>
      <c r="H187" s="134">
        <v>181</v>
      </c>
      <c r="I187" s="200">
        <v>4.2660159767400001E-2</v>
      </c>
      <c r="J187" s="134">
        <v>986</v>
      </c>
      <c r="K187" s="134">
        <v>23112.899843300002</v>
      </c>
      <c r="L187" s="42">
        <v>0.66099487979399996</v>
      </c>
      <c r="M187" s="42">
        <v>0.370901639344</v>
      </c>
      <c r="N187" s="134">
        <v>1</v>
      </c>
      <c r="O187" s="43" t="s">
        <v>664</v>
      </c>
      <c r="P187" s="43">
        <f t="shared" si="33"/>
        <v>13.236643000780669</v>
      </c>
      <c r="Q187" s="43">
        <f t="shared" si="34"/>
        <v>0.16366349099999999</v>
      </c>
      <c r="R187" s="43">
        <f t="shared" si="35"/>
        <v>2.2183039000000002E-2</v>
      </c>
      <c r="S187" s="43">
        <f t="shared" si="36"/>
        <v>0.66099487999999995</v>
      </c>
      <c r="T187" s="43">
        <f t="shared" si="37"/>
        <v>3.0693890079999999</v>
      </c>
      <c r="U187" s="43">
        <f t="shared" si="38"/>
        <v>7.0376535809999998</v>
      </c>
      <c r="V187" s="43">
        <f t="shared" si="39"/>
        <v>2.108637E-2</v>
      </c>
      <c r="W187" s="230">
        <f t="shared" si="40"/>
        <v>0.31646423751686903</v>
      </c>
      <c r="X187" s="43">
        <f t="shared" si="41"/>
        <v>0.54560278900000003</v>
      </c>
      <c r="Y187" s="43">
        <v>127.30747820000001</v>
      </c>
      <c r="Z187" s="43">
        <f t="shared" si="30"/>
        <v>0</v>
      </c>
      <c r="AA187" s="43">
        <f t="shared" si="31"/>
        <v>478718</v>
      </c>
      <c r="AB187" s="43">
        <f t="shared" si="32"/>
        <v>186107</v>
      </c>
      <c r="AC187" s="43">
        <f t="shared" si="42"/>
        <v>7.5967312731255288E-2</v>
      </c>
      <c r="AD187" s="43">
        <f t="shared" si="43"/>
        <v>0.80847972010000058</v>
      </c>
      <c r="AF187" s="43">
        <v>13.236643000780669</v>
      </c>
      <c r="AG187" s="43">
        <v>0.16366349099999999</v>
      </c>
      <c r="AH187" s="43">
        <v>2.2183039000000002E-2</v>
      </c>
      <c r="AI187" s="43">
        <v>0.66099487999999995</v>
      </c>
      <c r="AJ187" s="43">
        <v>3.0693890079999999</v>
      </c>
      <c r="AK187" s="43">
        <v>7.0376535809999998</v>
      </c>
      <c r="AL187" s="43">
        <v>2.108637E-2</v>
      </c>
      <c r="AM187" s="230">
        <v>0.31646423751686903</v>
      </c>
      <c r="AN187" s="43">
        <v>0.54560278900000003</v>
      </c>
    </row>
    <row r="188" spans="1:40" x14ac:dyDescent="0.25">
      <c r="A188" s="134">
        <v>178</v>
      </c>
      <c r="B188" s="134" t="s">
        <v>209</v>
      </c>
      <c r="C188" s="134" t="s">
        <v>210</v>
      </c>
      <c r="D188" s="134" t="s">
        <v>211</v>
      </c>
      <c r="E188" s="134">
        <v>173</v>
      </c>
      <c r="F188" s="134">
        <v>431</v>
      </c>
      <c r="G188" s="134">
        <v>104</v>
      </c>
      <c r="H188" s="134">
        <v>1865</v>
      </c>
      <c r="I188" s="200">
        <v>0.16608463513400001</v>
      </c>
      <c r="J188" s="134">
        <v>2296</v>
      </c>
      <c r="K188" s="134">
        <v>13824.2769907</v>
      </c>
      <c r="L188" s="42">
        <v>0.81357719428300002</v>
      </c>
      <c r="M188" s="42">
        <v>0.91511285574099999</v>
      </c>
      <c r="N188" s="134">
        <v>1</v>
      </c>
      <c r="O188" s="43" t="s">
        <v>664</v>
      </c>
      <c r="P188" s="43">
        <f t="shared" si="33"/>
        <v>14.261622881908842</v>
      </c>
      <c r="Q188" s="43">
        <f t="shared" si="34"/>
        <v>7.6115855999999996E-2</v>
      </c>
      <c r="R188" s="43">
        <f t="shared" si="35"/>
        <v>1.3702376E-2</v>
      </c>
      <c r="S188" s="43">
        <f t="shared" si="36"/>
        <v>0.81357719399999995</v>
      </c>
      <c r="T188" s="43">
        <f t="shared" si="37"/>
        <v>3.076551582</v>
      </c>
      <c r="U188" s="43">
        <f t="shared" si="38"/>
        <v>8.55519067</v>
      </c>
      <c r="V188" s="43">
        <f t="shared" si="39"/>
        <v>1.5389931000000001E-2</v>
      </c>
      <c r="W188" s="230">
        <f t="shared" si="40"/>
        <v>9.0179947902822813E-2</v>
      </c>
      <c r="X188" s="43">
        <f t="shared" si="41"/>
        <v>0.84206049699999996</v>
      </c>
      <c r="Y188" s="43">
        <v>126.560607</v>
      </c>
      <c r="Z188" s="43">
        <f t="shared" si="30"/>
        <v>0</v>
      </c>
      <c r="AA188" s="43">
        <f t="shared" si="31"/>
        <v>478718</v>
      </c>
      <c r="AB188" s="43">
        <f t="shared" si="32"/>
        <v>186107</v>
      </c>
      <c r="AC188" s="43">
        <f t="shared" si="42"/>
        <v>7.5967312731255288E-2</v>
      </c>
      <c r="AD188" s="43">
        <f t="shared" si="43"/>
        <v>0.80847972010000058</v>
      </c>
      <c r="AF188" s="43">
        <v>14.261622881908842</v>
      </c>
      <c r="AG188" s="43">
        <v>7.6115855999999996E-2</v>
      </c>
      <c r="AH188" s="43">
        <v>1.3702376E-2</v>
      </c>
      <c r="AI188" s="43">
        <v>0.81357719399999995</v>
      </c>
      <c r="AJ188" s="43">
        <v>3.076551582</v>
      </c>
      <c r="AK188" s="43">
        <v>8.55519067</v>
      </c>
      <c r="AL188" s="43">
        <v>1.5389931000000001E-2</v>
      </c>
      <c r="AM188" s="230">
        <v>9.0179947902822813E-2</v>
      </c>
      <c r="AN188" s="43">
        <v>0.84206049699999996</v>
      </c>
    </row>
    <row r="189" spans="1:40" x14ac:dyDescent="0.25">
      <c r="A189" s="134">
        <v>179</v>
      </c>
      <c r="B189" s="134" t="s">
        <v>209</v>
      </c>
      <c r="C189" s="134" t="s">
        <v>210</v>
      </c>
      <c r="D189" s="134" t="s">
        <v>211</v>
      </c>
      <c r="E189" s="134">
        <v>1144</v>
      </c>
      <c r="F189" s="134">
        <v>2634</v>
      </c>
      <c r="G189" s="134">
        <v>80</v>
      </c>
      <c r="H189" s="134">
        <v>188</v>
      </c>
      <c r="I189" s="200">
        <v>0.13103906103900001</v>
      </c>
      <c r="J189" s="134">
        <v>2822</v>
      </c>
      <c r="K189" s="134">
        <v>21535.563347399999</v>
      </c>
      <c r="L189" s="42">
        <v>0.68881046911099997</v>
      </c>
      <c r="M189" s="42">
        <v>0.14114114114099999</v>
      </c>
      <c r="N189" s="134">
        <v>0</v>
      </c>
      <c r="O189" s="43" t="s">
        <v>664</v>
      </c>
      <c r="P189" s="43">
        <f t="shared" si="33"/>
        <v>11.367771009381956</v>
      </c>
      <c r="Q189" s="43">
        <f t="shared" si="34"/>
        <v>0.118112776</v>
      </c>
      <c r="R189" s="43">
        <f t="shared" si="35"/>
        <v>2.0920821999999999E-2</v>
      </c>
      <c r="S189" s="43">
        <f t="shared" si="36"/>
        <v>0.68881046899999998</v>
      </c>
      <c r="T189" s="43">
        <f t="shared" si="37"/>
        <v>2.6873445349999998</v>
      </c>
      <c r="U189" s="43">
        <f t="shared" si="38"/>
        <v>6.0851670709999999</v>
      </c>
      <c r="V189" s="43">
        <f t="shared" si="39"/>
        <v>1.9036651000000002E-2</v>
      </c>
      <c r="W189" s="230">
        <f t="shared" si="40"/>
        <v>0.25580922701713976</v>
      </c>
      <c r="X189" s="43">
        <f t="shared" si="41"/>
        <v>0.57361741499999996</v>
      </c>
      <c r="Y189" s="43">
        <v>148.3631006</v>
      </c>
      <c r="Z189" s="43">
        <f t="shared" si="30"/>
        <v>0</v>
      </c>
      <c r="AA189" s="43">
        <f t="shared" si="31"/>
        <v>478718</v>
      </c>
      <c r="AB189" s="43">
        <f t="shared" si="32"/>
        <v>186107</v>
      </c>
      <c r="AC189" s="43">
        <f t="shared" si="42"/>
        <v>7.5967312731255288E-2</v>
      </c>
      <c r="AD189" s="43">
        <f t="shared" si="43"/>
        <v>0.80847972010000058</v>
      </c>
      <c r="AF189" s="43">
        <v>11.367771009381956</v>
      </c>
      <c r="AG189" s="43">
        <v>0.118112776</v>
      </c>
      <c r="AH189" s="43">
        <v>2.0920821999999999E-2</v>
      </c>
      <c r="AI189" s="43">
        <v>0.68881046899999998</v>
      </c>
      <c r="AJ189" s="43">
        <v>2.6873445349999998</v>
      </c>
      <c r="AK189" s="43">
        <v>6.0851670709999999</v>
      </c>
      <c r="AL189" s="43">
        <v>1.9036651000000002E-2</v>
      </c>
      <c r="AM189" s="230">
        <v>0.25580922701713976</v>
      </c>
      <c r="AN189" s="43">
        <v>0.57361741499999996</v>
      </c>
    </row>
    <row r="190" spans="1:40" x14ac:dyDescent="0.25">
      <c r="A190" s="134">
        <v>180</v>
      </c>
      <c r="B190" s="134" t="s">
        <v>209</v>
      </c>
      <c r="C190" s="134" t="s">
        <v>210</v>
      </c>
      <c r="D190" s="134" t="s">
        <v>211</v>
      </c>
      <c r="E190" s="134">
        <v>724</v>
      </c>
      <c r="F190" s="134">
        <v>1933</v>
      </c>
      <c r="G190" s="134">
        <v>91</v>
      </c>
      <c r="H190" s="134">
        <v>649</v>
      </c>
      <c r="I190" s="200">
        <v>0.13579727028800001</v>
      </c>
      <c r="J190" s="134">
        <v>2582</v>
      </c>
      <c r="K190" s="134">
        <v>19013.636978999999</v>
      </c>
      <c r="L190" s="42">
        <v>0.67774665778200005</v>
      </c>
      <c r="M190" s="42">
        <v>0.47268754552100001</v>
      </c>
      <c r="N190" s="134">
        <v>1</v>
      </c>
      <c r="O190" s="43" t="s">
        <v>664</v>
      </c>
      <c r="P190" s="43">
        <f t="shared" si="33"/>
        <v>13.012002612342233</v>
      </c>
      <c r="Q190" s="43">
        <f t="shared" si="34"/>
        <v>0.13533901100000001</v>
      </c>
      <c r="R190" s="43">
        <f t="shared" si="35"/>
        <v>2.1357398999999999E-2</v>
      </c>
      <c r="S190" s="43">
        <f t="shared" si="36"/>
        <v>0.677746658</v>
      </c>
      <c r="T190" s="43">
        <f t="shared" si="37"/>
        <v>2.8177333899999999</v>
      </c>
      <c r="U190" s="43">
        <f t="shared" si="38"/>
        <v>7.2117802959999997</v>
      </c>
      <c r="V190" s="43">
        <f t="shared" si="39"/>
        <v>2.2324825E-2</v>
      </c>
      <c r="W190" s="230">
        <f t="shared" si="40"/>
        <v>0.24499197024765446</v>
      </c>
      <c r="X190" s="43">
        <f t="shared" si="41"/>
        <v>0.61110641499999996</v>
      </c>
      <c r="Y190" s="43">
        <v>134.1326833</v>
      </c>
      <c r="Z190" s="43">
        <f t="shared" si="30"/>
        <v>0</v>
      </c>
      <c r="AA190" s="43">
        <f t="shared" si="31"/>
        <v>478718</v>
      </c>
      <c r="AB190" s="43">
        <f t="shared" si="32"/>
        <v>186107</v>
      </c>
      <c r="AC190" s="43">
        <f t="shared" si="42"/>
        <v>7.5967312731255288E-2</v>
      </c>
      <c r="AD190" s="43">
        <f t="shared" si="43"/>
        <v>0.80847972010000058</v>
      </c>
      <c r="AF190" s="43">
        <v>13.012002612342233</v>
      </c>
      <c r="AG190" s="43">
        <v>0.13533901100000001</v>
      </c>
      <c r="AH190" s="43">
        <v>2.1357398999999999E-2</v>
      </c>
      <c r="AI190" s="43">
        <v>0.677746658</v>
      </c>
      <c r="AJ190" s="43">
        <v>2.8177333899999999</v>
      </c>
      <c r="AK190" s="43">
        <v>7.2117802959999997</v>
      </c>
      <c r="AL190" s="43">
        <v>2.2324825E-2</v>
      </c>
      <c r="AM190" s="230">
        <v>0.24499197024765446</v>
      </c>
      <c r="AN190" s="43">
        <v>0.61110641499999996</v>
      </c>
    </row>
    <row r="191" spans="1:40" x14ac:dyDescent="0.25">
      <c r="A191" s="134">
        <v>181</v>
      </c>
      <c r="B191" s="134" t="s">
        <v>209</v>
      </c>
      <c r="C191" s="134" t="s">
        <v>210</v>
      </c>
      <c r="D191" s="134" t="s">
        <v>211</v>
      </c>
      <c r="E191" s="134">
        <v>280</v>
      </c>
      <c r="F191" s="134">
        <v>525</v>
      </c>
      <c r="G191" s="134">
        <v>28</v>
      </c>
      <c r="H191" s="134">
        <v>285</v>
      </c>
      <c r="I191" s="200">
        <v>4.6579370305399999E-2</v>
      </c>
      <c r="J191" s="134">
        <v>810</v>
      </c>
      <c r="K191" s="134">
        <v>17389.672610199999</v>
      </c>
      <c r="L191" s="42">
        <v>0.66380139156899998</v>
      </c>
      <c r="M191" s="42">
        <v>0.504424778761</v>
      </c>
      <c r="N191" s="134">
        <v>1</v>
      </c>
      <c r="O191" s="43" t="s">
        <v>627</v>
      </c>
      <c r="P191" s="43">
        <f t="shared" si="33"/>
        <v>12.247058781089002</v>
      </c>
      <c r="Q191" s="43">
        <f t="shared" si="34"/>
        <v>0.121936803</v>
      </c>
      <c r="R191" s="43">
        <f t="shared" si="35"/>
        <v>1.7554854000000002E-2</v>
      </c>
      <c r="S191" s="43">
        <f t="shared" si="36"/>
        <v>0.66380139199999999</v>
      </c>
      <c r="T191" s="43">
        <f t="shared" si="37"/>
        <v>2.676810712</v>
      </c>
      <c r="U191" s="43">
        <f t="shared" si="38"/>
        <v>6.43687465</v>
      </c>
      <c r="V191" s="43">
        <f t="shared" si="39"/>
        <v>2.1847875999999999E-2</v>
      </c>
      <c r="W191" s="230">
        <f t="shared" si="40"/>
        <v>0.20766298028824054</v>
      </c>
      <c r="X191" s="43">
        <f t="shared" si="41"/>
        <v>0.56593570000000004</v>
      </c>
      <c r="Y191" s="43">
        <v>98.999209930000006</v>
      </c>
      <c r="Z191" s="43">
        <f t="shared" si="30"/>
        <v>0</v>
      </c>
      <c r="AA191" s="43">
        <f t="shared" si="31"/>
        <v>478718</v>
      </c>
      <c r="AB191" s="43">
        <f t="shared" si="32"/>
        <v>186107</v>
      </c>
      <c r="AC191" s="43">
        <f t="shared" si="42"/>
        <v>7.5967312731255288E-2</v>
      </c>
      <c r="AD191" s="43">
        <f t="shared" si="43"/>
        <v>0.80847972010000058</v>
      </c>
      <c r="AF191" s="43">
        <v>12.247058781089002</v>
      </c>
      <c r="AG191" s="43">
        <v>0.121936803</v>
      </c>
      <c r="AH191" s="43">
        <v>1.7554854000000002E-2</v>
      </c>
      <c r="AI191" s="43">
        <v>0.66380139199999999</v>
      </c>
      <c r="AJ191" s="43">
        <v>2.676810712</v>
      </c>
      <c r="AK191" s="43">
        <v>6.43687465</v>
      </c>
      <c r="AL191" s="43">
        <v>2.1847875999999999E-2</v>
      </c>
      <c r="AM191" s="230">
        <v>0.20766298028824054</v>
      </c>
      <c r="AN191" s="43">
        <v>0.56593570000000004</v>
      </c>
    </row>
    <row r="192" spans="1:40" x14ac:dyDescent="0.25">
      <c r="A192" s="134">
        <v>182</v>
      </c>
      <c r="B192" s="134" t="s">
        <v>209</v>
      </c>
      <c r="C192" s="134" t="s">
        <v>210</v>
      </c>
      <c r="D192" s="134" t="s">
        <v>211</v>
      </c>
      <c r="E192" s="134">
        <v>363</v>
      </c>
      <c r="F192" s="134">
        <v>680</v>
      </c>
      <c r="G192" s="134">
        <v>44</v>
      </c>
      <c r="H192" s="134">
        <v>249</v>
      </c>
      <c r="I192" s="200">
        <v>7.1592724031800004E-2</v>
      </c>
      <c r="J192" s="134">
        <v>929</v>
      </c>
      <c r="K192" s="134">
        <v>12976.178970200001</v>
      </c>
      <c r="L192" s="42">
        <v>0.68639860302400002</v>
      </c>
      <c r="M192" s="42">
        <v>0.40686274509800002</v>
      </c>
      <c r="N192" s="134">
        <v>0</v>
      </c>
      <c r="O192" s="43" t="s">
        <v>627</v>
      </c>
      <c r="P192" s="43">
        <f t="shared" si="33"/>
        <v>11.944809105704769</v>
      </c>
      <c r="Q192" s="43">
        <f t="shared" si="34"/>
        <v>0.113648927</v>
      </c>
      <c r="R192" s="43">
        <f t="shared" si="35"/>
        <v>1.6759574999999999E-2</v>
      </c>
      <c r="S192" s="43">
        <f t="shared" si="36"/>
        <v>0.686398603</v>
      </c>
      <c r="T192" s="43">
        <f t="shared" si="37"/>
        <v>2.626062761</v>
      </c>
      <c r="U192" s="43">
        <f t="shared" si="38"/>
        <v>6.4519919239999997</v>
      </c>
      <c r="V192" s="43">
        <f t="shared" si="39"/>
        <v>2.0630780000000001E-2</v>
      </c>
      <c r="W192" s="230">
        <f t="shared" si="40"/>
        <v>0.21849656153663743</v>
      </c>
      <c r="X192" s="43">
        <f t="shared" si="41"/>
        <v>0.58318709999999996</v>
      </c>
      <c r="Y192" s="43">
        <v>98.880515470000006</v>
      </c>
      <c r="Z192" s="43">
        <f t="shared" si="30"/>
        <v>0</v>
      </c>
      <c r="AA192" s="43">
        <f t="shared" si="31"/>
        <v>478718</v>
      </c>
      <c r="AB192" s="43">
        <f t="shared" si="32"/>
        <v>186107</v>
      </c>
      <c r="AC192" s="43">
        <f t="shared" si="42"/>
        <v>7.5967312731255288E-2</v>
      </c>
      <c r="AD192" s="43">
        <f t="shared" si="43"/>
        <v>0.80847972010000058</v>
      </c>
      <c r="AF192" s="43">
        <v>11.944809105704769</v>
      </c>
      <c r="AG192" s="43">
        <v>0.113648927</v>
      </c>
      <c r="AH192" s="43">
        <v>1.6759574999999999E-2</v>
      </c>
      <c r="AI192" s="43">
        <v>0.686398603</v>
      </c>
      <c r="AJ192" s="43">
        <v>2.626062761</v>
      </c>
      <c r="AK192" s="43">
        <v>6.4519919239999997</v>
      </c>
      <c r="AL192" s="43">
        <v>2.0630780000000001E-2</v>
      </c>
      <c r="AM192" s="230">
        <v>0.21849656153663743</v>
      </c>
      <c r="AN192" s="43">
        <v>0.58318709999999996</v>
      </c>
    </row>
    <row r="193" spans="1:40" x14ac:dyDescent="0.25">
      <c r="A193" s="134">
        <v>183</v>
      </c>
      <c r="B193" s="134" t="s">
        <v>209</v>
      </c>
      <c r="C193" s="134" t="s">
        <v>210</v>
      </c>
      <c r="D193" s="134" t="s">
        <v>211</v>
      </c>
      <c r="E193" s="134">
        <v>208</v>
      </c>
      <c r="F193" s="134">
        <v>545</v>
      </c>
      <c r="G193" s="134">
        <v>29</v>
      </c>
      <c r="H193" s="134">
        <v>344</v>
      </c>
      <c r="I193" s="200">
        <v>4.8423230759700002E-2</v>
      </c>
      <c r="J193" s="134">
        <v>889</v>
      </c>
      <c r="K193" s="134">
        <v>18358.956766300002</v>
      </c>
      <c r="L193" s="42">
        <v>0.68368825885200002</v>
      </c>
      <c r="M193" s="42">
        <v>0.62318840579699997</v>
      </c>
      <c r="N193" s="134">
        <v>1</v>
      </c>
      <c r="O193" s="43" t="s">
        <v>627</v>
      </c>
      <c r="P193" s="43">
        <f t="shared" si="33"/>
        <v>12.377260507656208</v>
      </c>
      <c r="Q193" s="43">
        <f t="shared" si="34"/>
        <v>0.104634162</v>
      </c>
      <c r="R193" s="43">
        <f t="shared" si="35"/>
        <v>1.8174306000000001E-2</v>
      </c>
      <c r="S193" s="43">
        <f t="shared" si="36"/>
        <v>0.68368825899999996</v>
      </c>
      <c r="T193" s="43">
        <f t="shared" si="37"/>
        <v>2.4375650360000001</v>
      </c>
      <c r="U193" s="43">
        <f t="shared" si="38"/>
        <v>6.5175113539999998</v>
      </c>
      <c r="V193" s="43">
        <f t="shared" si="39"/>
        <v>1.7749890000000001E-2</v>
      </c>
      <c r="W193" s="230">
        <f t="shared" si="40"/>
        <v>0.18155183358562429</v>
      </c>
      <c r="X193" s="43">
        <f t="shared" si="41"/>
        <v>0.620782265</v>
      </c>
      <c r="Y193" s="43">
        <v>130.0120235</v>
      </c>
      <c r="Z193" s="43">
        <f t="shared" si="30"/>
        <v>0</v>
      </c>
      <c r="AA193" s="43">
        <f t="shared" si="31"/>
        <v>478718</v>
      </c>
      <c r="AB193" s="43">
        <f t="shared" si="32"/>
        <v>186107</v>
      </c>
      <c r="AC193" s="43">
        <f t="shared" si="42"/>
        <v>7.5967312731255288E-2</v>
      </c>
      <c r="AD193" s="43">
        <f t="shared" si="43"/>
        <v>0.80847972010000058</v>
      </c>
      <c r="AF193" s="43">
        <v>12.377260507656208</v>
      </c>
      <c r="AG193" s="43">
        <v>0.104634162</v>
      </c>
      <c r="AH193" s="43">
        <v>1.8174306000000001E-2</v>
      </c>
      <c r="AI193" s="43">
        <v>0.68368825899999996</v>
      </c>
      <c r="AJ193" s="43">
        <v>2.4375650360000001</v>
      </c>
      <c r="AK193" s="43">
        <v>6.5175113539999998</v>
      </c>
      <c r="AL193" s="43">
        <v>1.7749890000000001E-2</v>
      </c>
      <c r="AM193" s="230">
        <v>0.18155183358562429</v>
      </c>
      <c r="AN193" s="43">
        <v>0.620782265</v>
      </c>
    </row>
    <row r="194" spans="1:40" x14ac:dyDescent="0.25">
      <c r="A194" s="134">
        <v>184</v>
      </c>
      <c r="B194" s="134" t="s">
        <v>209</v>
      </c>
      <c r="C194" s="134" t="s">
        <v>210</v>
      </c>
      <c r="D194" s="134" t="s">
        <v>211</v>
      </c>
      <c r="E194" s="134">
        <v>659</v>
      </c>
      <c r="F194" s="134">
        <v>1721</v>
      </c>
      <c r="G194" s="134">
        <v>62</v>
      </c>
      <c r="H194" s="134">
        <v>325</v>
      </c>
      <c r="I194" s="200">
        <v>0.105048111638</v>
      </c>
      <c r="J194" s="134">
        <v>2046</v>
      </c>
      <c r="K194" s="134">
        <v>19476.789902199998</v>
      </c>
      <c r="L194" s="42">
        <v>0.69128804967500002</v>
      </c>
      <c r="M194" s="42">
        <v>0.330284552846</v>
      </c>
      <c r="N194" s="134">
        <v>0</v>
      </c>
      <c r="O194" s="43" t="s">
        <v>627</v>
      </c>
      <c r="P194" s="43">
        <f t="shared" si="33"/>
        <v>11.643706380852853</v>
      </c>
      <c r="Q194" s="43">
        <f t="shared" si="34"/>
        <v>0.113047829</v>
      </c>
      <c r="R194" s="43">
        <f t="shared" si="35"/>
        <v>2.0927491999999999E-2</v>
      </c>
      <c r="S194" s="43">
        <f t="shared" si="36"/>
        <v>0.69128805000000004</v>
      </c>
      <c r="T194" s="43">
        <f t="shared" si="37"/>
        <v>2.5361788349999999</v>
      </c>
      <c r="U194" s="43">
        <f t="shared" si="38"/>
        <v>6.2928205039999998</v>
      </c>
      <c r="V194" s="43">
        <f t="shared" si="39"/>
        <v>1.9469674999999999E-2</v>
      </c>
      <c r="W194" s="230">
        <f t="shared" si="40"/>
        <v>0.21360637041261046</v>
      </c>
      <c r="X194" s="43">
        <f t="shared" si="41"/>
        <v>0.61274489799999998</v>
      </c>
      <c r="Y194" s="43">
        <v>207.56196310000001</v>
      </c>
      <c r="Z194" s="43">
        <f t="shared" si="30"/>
        <v>0</v>
      </c>
      <c r="AA194" s="43">
        <f t="shared" si="31"/>
        <v>478718</v>
      </c>
      <c r="AB194" s="43">
        <f t="shared" si="32"/>
        <v>186107</v>
      </c>
      <c r="AC194" s="43">
        <f t="shared" si="42"/>
        <v>7.5967312731255288E-2</v>
      </c>
      <c r="AD194" s="43">
        <f t="shared" si="43"/>
        <v>0.80847972010000058</v>
      </c>
      <c r="AF194" s="43">
        <v>11.643706380852853</v>
      </c>
      <c r="AG194" s="43">
        <v>0.113047829</v>
      </c>
      <c r="AH194" s="43">
        <v>2.0927491999999999E-2</v>
      </c>
      <c r="AI194" s="43">
        <v>0.69128805000000004</v>
      </c>
      <c r="AJ194" s="43">
        <v>2.5361788349999999</v>
      </c>
      <c r="AK194" s="43">
        <v>6.2928205039999998</v>
      </c>
      <c r="AL194" s="43">
        <v>1.9469674999999999E-2</v>
      </c>
      <c r="AM194" s="230">
        <v>0.21360637041261046</v>
      </c>
      <c r="AN194" s="43">
        <v>0.61274489799999998</v>
      </c>
    </row>
    <row r="195" spans="1:40" x14ac:dyDescent="0.25">
      <c r="A195" s="134">
        <v>185</v>
      </c>
      <c r="B195" s="134" t="s">
        <v>209</v>
      </c>
      <c r="C195" s="134" t="s">
        <v>210</v>
      </c>
      <c r="D195" s="134" t="s">
        <v>211</v>
      </c>
      <c r="E195" s="134">
        <v>711</v>
      </c>
      <c r="F195" s="134">
        <v>1467</v>
      </c>
      <c r="G195" s="134">
        <v>31</v>
      </c>
      <c r="H195" s="134">
        <v>1082</v>
      </c>
      <c r="I195" s="200">
        <v>4.9284908186400002E-2</v>
      </c>
      <c r="J195" s="134">
        <v>2549</v>
      </c>
      <c r="K195" s="134">
        <v>51719.686488200001</v>
      </c>
      <c r="L195" s="42">
        <v>0.66322683966700002</v>
      </c>
      <c r="M195" s="42">
        <v>0.60345789180099996</v>
      </c>
      <c r="N195" s="134">
        <v>1</v>
      </c>
      <c r="O195" s="43" t="s">
        <v>627</v>
      </c>
      <c r="P195" s="43">
        <f t="shared" si="33"/>
        <v>13.215136260773573</v>
      </c>
      <c r="Q195" s="43">
        <f t="shared" si="34"/>
        <v>0.122307425</v>
      </c>
      <c r="R195" s="43">
        <f t="shared" si="35"/>
        <v>1.8052115000000001E-2</v>
      </c>
      <c r="S195" s="43">
        <f t="shared" si="36"/>
        <v>0.66322683999999998</v>
      </c>
      <c r="T195" s="43">
        <f t="shared" si="37"/>
        <v>2.3578621219999998</v>
      </c>
      <c r="U195" s="43">
        <f t="shared" si="38"/>
        <v>6.7325593689999996</v>
      </c>
      <c r="V195" s="43">
        <f t="shared" si="39"/>
        <v>2.8329143000000001E-2</v>
      </c>
      <c r="W195" s="230">
        <f t="shared" si="40"/>
        <v>0.21599564744287272</v>
      </c>
      <c r="X195" s="43">
        <f t="shared" si="41"/>
        <v>0.60738809100000002</v>
      </c>
      <c r="Y195" s="43">
        <v>161.7388957</v>
      </c>
      <c r="Z195" s="43">
        <f t="shared" si="30"/>
        <v>0</v>
      </c>
      <c r="AA195" s="43">
        <f t="shared" si="31"/>
        <v>478718</v>
      </c>
      <c r="AB195" s="43">
        <f t="shared" si="32"/>
        <v>186107</v>
      </c>
      <c r="AC195" s="43">
        <f t="shared" si="42"/>
        <v>7.5967312731255288E-2</v>
      </c>
      <c r="AD195" s="43">
        <f t="shared" si="43"/>
        <v>0.80847972010000058</v>
      </c>
      <c r="AF195" s="43">
        <v>13.215136260773573</v>
      </c>
      <c r="AG195" s="43">
        <v>0.122307425</v>
      </c>
      <c r="AH195" s="43">
        <v>1.8052115000000001E-2</v>
      </c>
      <c r="AI195" s="43">
        <v>0.66322683999999998</v>
      </c>
      <c r="AJ195" s="43">
        <v>2.3578621219999998</v>
      </c>
      <c r="AK195" s="43">
        <v>6.7325593689999996</v>
      </c>
      <c r="AL195" s="43">
        <v>2.8329143000000001E-2</v>
      </c>
      <c r="AM195" s="230">
        <v>0.21599564744287272</v>
      </c>
      <c r="AN195" s="43">
        <v>0.60738809100000002</v>
      </c>
    </row>
    <row r="196" spans="1:40" x14ac:dyDescent="0.25">
      <c r="A196" s="134">
        <v>186</v>
      </c>
      <c r="B196" s="134" t="s">
        <v>209</v>
      </c>
      <c r="C196" s="134" t="s">
        <v>210</v>
      </c>
      <c r="D196" s="134" t="s">
        <v>211</v>
      </c>
      <c r="E196" s="134">
        <v>811</v>
      </c>
      <c r="F196" s="134">
        <v>1672</v>
      </c>
      <c r="G196" s="134">
        <v>35</v>
      </c>
      <c r="H196" s="134">
        <v>562</v>
      </c>
      <c r="I196" s="200">
        <v>5.5046722771399999E-2</v>
      </c>
      <c r="J196" s="134">
        <v>2234</v>
      </c>
      <c r="K196" s="134">
        <v>40583.705759900004</v>
      </c>
      <c r="L196" s="42">
        <v>0.65795652876800004</v>
      </c>
      <c r="M196" s="42">
        <v>0.40932265112900001</v>
      </c>
      <c r="N196" s="134">
        <v>1</v>
      </c>
      <c r="O196" s="43" t="s">
        <v>627</v>
      </c>
      <c r="P196" s="43">
        <f t="shared" si="33"/>
        <v>12.827684337465845</v>
      </c>
      <c r="Q196" s="43">
        <f t="shared" si="34"/>
        <v>0.124369481</v>
      </c>
      <c r="R196" s="43">
        <f t="shared" si="35"/>
        <v>1.9820427000000002E-2</v>
      </c>
      <c r="S196" s="43">
        <f t="shared" si="36"/>
        <v>0.65795652900000001</v>
      </c>
      <c r="T196" s="43">
        <f t="shared" si="37"/>
        <v>2.4569586910000001</v>
      </c>
      <c r="U196" s="43">
        <f t="shared" si="38"/>
        <v>6.826967561</v>
      </c>
      <c r="V196" s="43">
        <f t="shared" si="39"/>
        <v>2.7547832000000001E-2</v>
      </c>
      <c r="W196" s="230">
        <f t="shared" si="40"/>
        <v>0.23129461129734782</v>
      </c>
      <c r="X196" s="43">
        <f t="shared" si="41"/>
        <v>0.56637248900000003</v>
      </c>
      <c r="Y196" s="43">
        <v>63.145958129999997</v>
      </c>
      <c r="Z196" s="43">
        <f t="shared" si="30"/>
        <v>0</v>
      </c>
      <c r="AA196" s="43">
        <f t="shared" si="31"/>
        <v>478718</v>
      </c>
      <c r="AB196" s="43">
        <f t="shared" si="32"/>
        <v>186107</v>
      </c>
      <c r="AC196" s="43">
        <f t="shared" si="42"/>
        <v>7.5967312731255288E-2</v>
      </c>
      <c r="AD196" s="43">
        <f t="shared" si="43"/>
        <v>0.80847972010000058</v>
      </c>
      <c r="AF196" s="43">
        <v>12.827684337465845</v>
      </c>
      <c r="AG196" s="43">
        <v>0.124369481</v>
      </c>
      <c r="AH196" s="43">
        <v>1.9820427000000002E-2</v>
      </c>
      <c r="AI196" s="43">
        <v>0.65795652900000001</v>
      </c>
      <c r="AJ196" s="43">
        <v>2.4569586910000001</v>
      </c>
      <c r="AK196" s="43">
        <v>6.826967561</v>
      </c>
      <c r="AL196" s="43">
        <v>2.7547832000000001E-2</v>
      </c>
      <c r="AM196" s="230">
        <v>0.23129461129734782</v>
      </c>
      <c r="AN196" s="43">
        <v>0.56637248900000003</v>
      </c>
    </row>
    <row r="197" spans="1:40" x14ac:dyDescent="0.25">
      <c r="A197" s="134">
        <v>187</v>
      </c>
      <c r="B197" s="134" t="s">
        <v>209</v>
      </c>
      <c r="C197" s="134" t="s">
        <v>210</v>
      </c>
      <c r="D197" s="134" t="s">
        <v>211</v>
      </c>
      <c r="E197" s="134">
        <v>360</v>
      </c>
      <c r="F197" s="134">
        <v>742</v>
      </c>
      <c r="G197" s="134">
        <v>34</v>
      </c>
      <c r="H197" s="134">
        <v>871</v>
      </c>
      <c r="I197" s="200">
        <v>5.3924660000500002E-2</v>
      </c>
      <c r="J197" s="134">
        <v>1613</v>
      </c>
      <c r="K197" s="134">
        <v>29912.1032935</v>
      </c>
      <c r="L197" s="42">
        <v>0.73403637310199998</v>
      </c>
      <c r="M197" s="42">
        <v>0.70755483346900006</v>
      </c>
      <c r="N197" s="134">
        <v>0</v>
      </c>
      <c r="O197" s="43" t="s">
        <v>627</v>
      </c>
      <c r="P197" s="43">
        <f t="shared" si="33"/>
        <v>13.283480311396767</v>
      </c>
      <c r="Q197" s="43">
        <f t="shared" si="34"/>
        <v>8.8875697000000004E-2</v>
      </c>
      <c r="R197" s="43">
        <f t="shared" si="35"/>
        <v>1.7075486000000001E-2</v>
      </c>
      <c r="S197" s="43">
        <f t="shared" si="36"/>
        <v>0.73403637300000002</v>
      </c>
      <c r="T197" s="43">
        <f t="shared" si="37"/>
        <v>2.428371963</v>
      </c>
      <c r="U197" s="43">
        <f t="shared" si="38"/>
        <v>6.9238681169999996</v>
      </c>
      <c r="V197" s="43">
        <f t="shared" si="39"/>
        <v>2.3431437999999999E-2</v>
      </c>
      <c r="W197" s="230">
        <f t="shared" si="40"/>
        <v>0.16530026379765167</v>
      </c>
      <c r="X197" s="43">
        <f t="shared" si="41"/>
        <v>0.70022759000000001</v>
      </c>
      <c r="Y197" s="43">
        <v>139.59931460000001</v>
      </c>
      <c r="Z197" s="43">
        <f t="shared" si="30"/>
        <v>0</v>
      </c>
      <c r="AA197" s="43">
        <f t="shared" si="31"/>
        <v>478718</v>
      </c>
      <c r="AB197" s="43">
        <f t="shared" si="32"/>
        <v>186107</v>
      </c>
      <c r="AC197" s="43">
        <f t="shared" si="42"/>
        <v>7.5967312731255288E-2</v>
      </c>
      <c r="AD197" s="43">
        <f t="shared" si="43"/>
        <v>0.80847972010000058</v>
      </c>
      <c r="AF197" s="43">
        <v>13.283480311396767</v>
      </c>
      <c r="AG197" s="43">
        <v>8.8875697000000004E-2</v>
      </c>
      <c r="AH197" s="43">
        <v>1.7075486000000001E-2</v>
      </c>
      <c r="AI197" s="43">
        <v>0.73403637300000002</v>
      </c>
      <c r="AJ197" s="43">
        <v>2.428371963</v>
      </c>
      <c r="AK197" s="43">
        <v>6.9238681169999996</v>
      </c>
      <c r="AL197" s="43">
        <v>2.3431437999999999E-2</v>
      </c>
      <c r="AM197" s="230">
        <v>0.16530026379765167</v>
      </c>
      <c r="AN197" s="43">
        <v>0.70022759000000001</v>
      </c>
    </row>
    <row r="198" spans="1:40" x14ac:dyDescent="0.25">
      <c r="A198" s="134">
        <v>188</v>
      </c>
      <c r="B198" s="134" t="s">
        <v>209</v>
      </c>
      <c r="C198" s="134" t="s">
        <v>210</v>
      </c>
      <c r="D198" s="134" t="s">
        <v>211</v>
      </c>
      <c r="E198" s="134">
        <v>77</v>
      </c>
      <c r="F198" s="134">
        <v>159</v>
      </c>
      <c r="G198" s="134">
        <v>58</v>
      </c>
      <c r="H198" s="134">
        <v>2713</v>
      </c>
      <c r="I198" s="200">
        <v>9.1645636477799997E-2</v>
      </c>
      <c r="J198" s="134">
        <v>2872</v>
      </c>
      <c r="K198" s="134">
        <v>31338.098685100002</v>
      </c>
      <c r="L198" s="42">
        <v>0.75975638996799999</v>
      </c>
      <c r="M198" s="42">
        <v>0.97240143369200005</v>
      </c>
      <c r="N198" s="134">
        <v>1</v>
      </c>
      <c r="O198" s="43" t="s">
        <v>627</v>
      </c>
      <c r="P198" s="43">
        <f t="shared" si="33"/>
        <v>14.053329225077015</v>
      </c>
      <c r="Q198" s="43">
        <f t="shared" si="34"/>
        <v>9.7714477999999994E-2</v>
      </c>
      <c r="R198" s="43">
        <f t="shared" si="35"/>
        <v>1.2099937999999999E-2</v>
      </c>
      <c r="S198" s="43">
        <f t="shared" si="36"/>
        <v>0.75975638999999995</v>
      </c>
      <c r="T198" s="43">
        <f t="shared" si="37"/>
        <v>2.6403933070000001</v>
      </c>
      <c r="U198" s="43">
        <f t="shared" si="38"/>
        <v>7.6673697220000001</v>
      </c>
      <c r="V198" s="43">
        <f t="shared" si="39"/>
        <v>1.6191463E-2</v>
      </c>
      <c r="W198" s="230">
        <f t="shared" si="40"/>
        <v>0.14459298818872279</v>
      </c>
      <c r="X198" s="43">
        <f t="shared" si="41"/>
        <v>0.76019652299999996</v>
      </c>
      <c r="Y198" s="43">
        <v>108.392151</v>
      </c>
      <c r="Z198" s="43">
        <f t="shared" si="30"/>
        <v>0</v>
      </c>
      <c r="AA198" s="43">
        <f t="shared" si="31"/>
        <v>478718</v>
      </c>
      <c r="AB198" s="43">
        <f t="shared" si="32"/>
        <v>186107</v>
      </c>
      <c r="AC198" s="43">
        <f t="shared" si="42"/>
        <v>7.5967312731255288E-2</v>
      </c>
      <c r="AD198" s="43">
        <f t="shared" si="43"/>
        <v>0.80847972010000058</v>
      </c>
      <c r="AF198" s="43">
        <v>14.053329225077015</v>
      </c>
      <c r="AG198" s="43">
        <v>9.7714477999999994E-2</v>
      </c>
      <c r="AH198" s="43">
        <v>1.2099937999999999E-2</v>
      </c>
      <c r="AI198" s="43">
        <v>0.75975638999999995</v>
      </c>
      <c r="AJ198" s="43">
        <v>2.6403933070000001</v>
      </c>
      <c r="AK198" s="43">
        <v>7.6673697220000001</v>
      </c>
      <c r="AL198" s="43">
        <v>1.6191463E-2</v>
      </c>
      <c r="AM198" s="230">
        <v>0.14459298818872279</v>
      </c>
      <c r="AN198" s="43">
        <v>0.76019652299999996</v>
      </c>
    </row>
    <row r="199" spans="1:40" x14ac:dyDescent="0.25">
      <c r="A199" s="134">
        <v>189</v>
      </c>
      <c r="B199" s="134" t="s">
        <v>209</v>
      </c>
      <c r="C199" s="134" t="s">
        <v>210</v>
      </c>
      <c r="D199" s="134" t="s">
        <v>211</v>
      </c>
      <c r="E199" s="134">
        <v>375</v>
      </c>
      <c r="F199" s="134">
        <v>774</v>
      </c>
      <c r="G199" s="134">
        <v>25</v>
      </c>
      <c r="H199" s="134">
        <v>262</v>
      </c>
      <c r="I199" s="200">
        <v>3.9540851318499999E-2</v>
      </c>
      <c r="J199" s="134">
        <v>1036</v>
      </c>
      <c r="K199" s="134">
        <v>26200.751006999999</v>
      </c>
      <c r="L199" s="42">
        <v>0.67108554277099997</v>
      </c>
      <c r="M199" s="42">
        <v>0.411302982732</v>
      </c>
      <c r="N199" s="134">
        <v>0</v>
      </c>
      <c r="O199" s="43" t="s">
        <v>627</v>
      </c>
      <c r="P199" s="43">
        <f t="shared" si="33"/>
        <v>12.497118241150027</v>
      </c>
      <c r="Q199" s="43">
        <f t="shared" si="34"/>
        <v>0.12654541599999999</v>
      </c>
      <c r="R199" s="43">
        <f t="shared" si="35"/>
        <v>2.0021916000000001E-2</v>
      </c>
      <c r="S199" s="43">
        <f t="shared" si="36"/>
        <v>0.67108554300000001</v>
      </c>
      <c r="T199" s="43">
        <f t="shared" si="37"/>
        <v>2.4836369020000002</v>
      </c>
      <c r="U199" s="43">
        <f t="shared" si="38"/>
        <v>6.5821318489999996</v>
      </c>
      <c r="V199" s="43">
        <f t="shared" si="39"/>
        <v>2.5704386999999999E-2</v>
      </c>
      <c r="W199" s="230">
        <f t="shared" si="40"/>
        <v>0.23378637013348838</v>
      </c>
      <c r="X199" s="43">
        <f t="shared" si="41"/>
        <v>0.58960195800000004</v>
      </c>
      <c r="Y199" s="43">
        <v>80.870218080000001</v>
      </c>
      <c r="Z199" s="43">
        <f t="shared" si="30"/>
        <v>0</v>
      </c>
      <c r="AA199" s="43">
        <f t="shared" si="31"/>
        <v>478718</v>
      </c>
      <c r="AB199" s="43">
        <f t="shared" si="32"/>
        <v>186107</v>
      </c>
      <c r="AC199" s="43">
        <f t="shared" si="42"/>
        <v>7.5967312731255288E-2</v>
      </c>
      <c r="AD199" s="43">
        <f t="shared" si="43"/>
        <v>0.80847972010000058</v>
      </c>
      <c r="AF199" s="43">
        <v>12.497118241150027</v>
      </c>
      <c r="AG199" s="43">
        <v>0.12654541599999999</v>
      </c>
      <c r="AH199" s="43">
        <v>2.0021916000000001E-2</v>
      </c>
      <c r="AI199" s="43">
        <v>0.67108554300000001</v>
      </c>
      <c r="AJ199" s="43">
        <v>2.4836369020000002</v>
      </c>
      <c r="AK199" s="43">
        <v>6.5821318489999996</v>
      </c>
      <c r="AL199" s="43">
        <v>2.5704386999999999E-2</v>
      </c>
      <c r="AM199" s="230">
        <v>0.23378637013348838</v>
      </c>
      <c r="AN199" s="43">
        <v>0.58960195800000004</v>
      </c>
    </row>
    <row r="200" spans="1:40" x14ac:dyDescent="0.25">
      <c r="A200" s="134">
        <v>190</v>
      </c>
      <c r="B200" s="134" t="s">
        <v>209</v>
      </c>
      <c r="C200" s="134" t="s">
        <v>210</v>
      </c>
      <c r="D200" s="134" t="s">
        <v>211</v>
      </c>
      <c r="E200" s="134">
        <v>326</v>
      </c>
      <c r="F200" s="134">
        <v>672</v>
      </c>
      <c r="G200" s="134">
        <v>24</v>
      </c>
      <c r="H200" s="134">
        <v>194</v>
      </c>
      <c r="I200" s="200">
        <v>3.7474911507199997E-2</v>
      </c>
      <c r="J200" s="134">
        <v>866</v>
      </c>
      <c r="K200" s="134">
        <v>23108.793728199998</v>
      </c>
      <c r="L200" s="42">
        <v>0.70204440352399999</v>
      </c>
      <c r="M200" s="42">
        <v>0.37307692307700002</v>
      </c>
      <c r="N200" s="134">
        <v>1</v>
      </c>
      <c r="O200" s="43" t="s">
        <v>627</v>
      </c>
      <c r="P200" s="43">
        <f t="shared" si="33"/>
        <v>12.020191952321573</v>
      </c>
      <c r="Q200" s="43">
        <f t="shared" si="34"/>
        <v>0.124972971</v>
      </c>
      <c r="R200" s="43">
        <f t="shared" si="35"/>
        <v>2.0311507999999999E-2</v>
      </c>
      <c r="S200" s="43">
        <f t="shared" si="36"/>
        <v>0.70204440400000001</v>
      </c>
      <c r="T200" s="43">
        <f t="shared" si="37"/>
        <v>2.6086956520000002</v>
      </c>
      <c r="U200" s="43">
        <f t="shared" si="38"/>
        <v>6.3359584389999997</v>
      </c>
      <c r="V200" s="43">
        <f t="shared" si="39"/>
        <v>2.499169E-2</v>
      </c>
      <c r="W200" s="230">
        <f t="shared" si="40"/>
        <v>0.24638119126046357</v>
      </c>
      <c r="X200" s="43">
        <f t="shared" si="41"/>
        <v>0.60294339900000005</v>
      </c>
      <c r="Y200" s="43">
        <v>108.36846920000001</v>
      </c>
      <c r="Z200" s="43">
        <f t="shared" si="30"/>
        <v>0</v>
      </c>
      <c r="AA200" s="43">
        <f t="shared" si="31"/>
        <v>478718</v>
      </c>
      <c r="AB200" s="43">
        <f t="shared" si="32"/>
        <v>186107</v>
      </c>
      <c r="AC200" s="43">
        <f t="shared" si="42"/>
        <v>7.5967312731255288E-2</v>
      </c>
      <c r="AD200" s="43">
        <f t="shared" si="43"/>
        <v>0.80847972010000058</v>
      </c>
      <c r="AF200" s="43">
        <v>12.020191952321573</v>
      </c>
      <c r="AG200" s="43">
        <v>0.124972971</v>
      </c>
      <c r="AH200" s="43">
        <v>2.0311507999999999E-2</v>
      </c>
      <c r="AI200" s="43">
        <v>0.70204440400000001</v>
      </c>
      <c r="AJ200" s="43">
        <v>2.6086956520000002</v>
      </c>
      <c r="AK200" s="43">
        <v>6.3359584389999997</v>
      </c>
      <c r="AL200" s="43">
        <v>2.499169E-2</v>
      </c>
      <c r="AM200" s="230">
        <v>0.24638119126046357</v>
      </c>
      <c r="AN200" s="43">
        <v>0.60294339900000005</v>
      </c>
    </row>
    <row r="201" spans="1:40" x14ac:dyDescent="0.25">
      <c r="A201" s="134">
        <v>191</v>
      </c>
      <c r="B201" s="134" t="s">
        <v>209</v>
      </c>
      <c r="C201" s="134" t="s">
        <v>210</v>
      </c>
      <c r="D201" s="134" t="s">
        <v>211</v>
      </c>
      <c r="E201" s="134">
        <v>439</v>
      </c>
      <c r="F201" s="134">
        <v>1350</v>
      </c>
      <c r="G201" s="134">
        <v>59</v>
      </c>
      <c r="H201" s="134">
        <v>566</v>
      </c>
      <c r="I201" s="200">
        <v>9.23651939157E-2</v>
      </c>
      <c r="J201" s="134">
        <v>1916</v>
      </c>
      <c r="K201" s="134">
        <v>20743.744681</v>
      </c>
      <c r="L201" s="42">
        <v>0.70712441591599995</v>
      </c>
      <c r="M201" s="42">
        <v>0.56318407960200001</v>
      </c>
      <c r="N201" s="134">
        <v>1</v>
      </c>
      <c r="O201" s="43" t="s">
        <v>627</v>
      </c>
      <c r="P201" s="43">
        <f t="shared" si="33"/>
        <v>11.877478027652639</v>
      </c>
      <c r="Q201" s="43">
        <f t="shared" si="34"/>
        <v>0.104230134</v>
      </c>
      <c r="R201" s="43">
        <f t="shared" si="35"/>
        <v>2.1894473000000001E-2</v>
      </c>
      <c r="S201" s="43">
        <f t="shared" si="36"/>
        <v>0.70712441599999998</v>
      </c>
      <c r="T201" s="43">
        <f t="shared" si="37"/>
        <v>2.56192837</v>
      </c>
      <c r="U201" s="43">
        <f t="shared" si="38"/>
        <v>6.376995591</v>
      </c>
      <c r="V201" s="43">
        <f t="shared" si="39"/>
        <v>2.5161605E-2</v>
      </c>
      <c r="W201" s="230">
        <f t="shared" si="40"/>
        <v>0.20941378341197875</v>
      </c>
      <c r="X201" s="43">
        <f t="shared" si="41"/>
        <v>0.62457287399999994</v>
      </c>
      <c r="Y201" s="43">
        <v>228.2602205</v>
      </c>
      <c r="Z201" s="43">
        <f t="shared" si="30"/>
        <v>0</v>
      </c>
      <c r="AA201" s="43">
        <f t="shared" si="31"/>
        <v>478718</v>
      </c>
      <c r="AB201" s="43">
        <f t="shared" si="32"/>
        <v>186107</v>
      </c>
      <c r="AC201" s="43">
        <f t="shared" si="42"/>
        <v>7.5967312731255288E-2</v>
      </c>
      <c r="AD201" s="43">
        <f t="shared" si="43"/>
        <v>0.80847972010000058</v>
      </c>
      <c r="AF201" s="43">
        <v>11.877478027652639</v>
      </c>
      <c r="AG201" s="43">
        <v>0.104230134</v>
      </c>
      <c r="AH201" s="43">
        <v>2.1894473000000001E-2</v>
      </c>
      <c r="AI201" s="43">
        <v>0.70712441599999998</v>
      </c>
      <c r="AJ201" s="43">
        <v>2.56192837</v>
      </c>
      <c r="AK201" s="43">
        <v>6.376995591</v>
      </c>
      <c r="AL201" s="43">
        <v>2.5161605E-2</v>
      </c>
      <c r="AM201" s="230">
        <v>0.20941378341197875</v>
      </c>
      <c r="AN201" s="43">
        <v>0.62457287399999994</v>
      </c>
    </row>
    <row r="202" spans="1:40" x14ac:dyDescent="0.25">
      <c r="A202" s="134">
        <v>192</v>
      </c>
      <c r="B202" s="134" t="s">
        <v>209</v>
      </c>
      <c r="C202" s="134" t="s">
        <v>210</v>
      </c>
      <c r="D202" s="134" t="s">
        <v>211</v>
      </c>
      <c r="E202" s="134">
        <v>640</v>
      </c>
      <c r="F202" s="134">
        <v>1970</v>
      </c>
      <c r="G202" s="134">
        <v>70</v>
      </c>
      <c r="H202" s="134">
        <v>546</v>
      </c>
      <c r="I202" s="200">
        <v>0.10948791076599999</v>
      </c>
      <c r="J202" s="134">
        <v>2516</v>
      </c>
      <c r="K202" s="134">
        <v>22979.706000499998</v>
      </c>
      <c r="L202" s="42">
        <v>0.70852229438000003</v>
      </c>
      <c r="M202" s="42">
        <v>0.46037099494099998</v>
      </c>
      <c r="N202" s="134">
        <v>1</v>
      </c>
      <c r="O202" s="43" t="s">
        <v>627</v>
      </c>
      <c r="P202" s="43">
        <f t="shared" si="33"/>
        <v>11.989928481514687</v>
      </c>
      <c r="Q202" s="43">
        <f t="shared" si="34"/>
        <v>0.14691378399999999</v>
      </c>
      <c r="R202" s="43">
        <f t="shared" si="35"/>
        <v>2.2650208000000002E-2</v>
      </c>
      <c r="S202" s="43">
        <f t="shared" si="36"/>
        <v>0.708522294</v>
      </c>
      <c r="T202" s="43">
        <f t="shared" si="37"/>
        <v>2.8740526219999998</v>
      </c>
      <c r="U202" s="43">
        <f t="shared" si="38"/>
        <v>7.1799207599999999</v>
      </c>
      <c r="V202" s="43">
        <f t="shared" si="39"/>
        <v>2.7347057000000001E-2</v>
      </c>
      <c r="W202" s="230">
        <f t="shared" si="40"/>
        <v>0.22799652073064658</v>
      </c>
      <c r="X202" s="43">
        <f t="shared" si="41"/>
        <v>0.664308495</v>
      </c>
      <c r="Y202" s="43">
        <v>148.06568060000001</v>
      </c>
      <c r="Z202" s="43">
        <f t="shared" si="30"/>
        <v>0</v>
      </c>
      <c r="AA202" s="43">
        <f t="shared" si="31"/>
        <v>478718</v>
      </c>
      <c r="AB202" s="43">
        <f t="shared" si="32"/>
        <v>186107</v>
      </c>
      <c r="AC202" s="43">
        <f t="shared" si="42"/>
        <v>7.5967312731255288E-2</v>
      </c>
      <c r="AD202" s="43">
        <f t="shared" si="43"/>
        <v>0.80847972010000058</v>
      </c>
      <c r="AF202" s="43">
        <v>11.989928481514687</v>
      </c>
      <c r="AG202" s="43">
        <v>0.14691378399999999</v>
      </c>
      <c r="AH202" s="43">
        <v>2.2650208000000002E-2</v>
      </c>
      <c r="AI202" s="43">
        <v>0.708522294</v>
      </c>
      <c r="AJ202" s="43">
        <v>2.8740526219999998</v>
      </c>
      <c r="AK202" s="43">
        <v>7.1799207599999999</v>
      </c>
      <c r="AL202" s="43">
        <v>2.7347057000000001E-2</v>
      </c>
      <c r="AM202" s="230">
        <v>0.22799652073064658</v>
      </c>
      <c r="AN202" s="43">
        <v>0.664308495</v>
      </c>
    </row>
    <row r="203" spans="1:40" x14ac:dyDescent="0.25">
      <c r="A203" s="134">
        <v>193</v>
      </c>
      <c r="B203" s="134" t="s">
        <v>209</v>
      </c>
      <c r="C203" s="134" t="s">
        <v>210</v>
      </c>
      <c r="D203" s="134" t="s">
        <v>211</v>
      </c>
      <c r="E203" s="134">
        <v>625</v>
      </c>
      <c r="F203" s="134">
        <v>1923</v>
      </c>
      <c r="G203" s="134">
        <v>59</v>
      </c>
      <c r="H203" s="134">
        <v>5</v>
      </c>
      <c r="I203" s="200">
        <v>9.2296751172099997E-2</v>
      </c>
      <c r="J203" s="134">
        <v>1928</v>
      </c>
      <c r="K203" s="134">
        <v>20889.142635200002</v>
      </c>
      <c r="L203" s="42">
        <v>0.67409165006299998</v>
      </c>
      <c r="M203" s="42">
        <v>7.9365079365100004E-3</v>
      </c>
      <c r="N203" s="134">
        <v>1</v>
      </c>
      <c r="O203" s="43" t="s">
        <v>627</v>
      </c>
      <c r="P203" s="43">
        <f t="shared" si="33"/>
        <v>10.42528527822922</v>
      </c>
      <c r="Q203" s="43">
        <f t="shared" si="34"/>
        <v>0.14548451400000001</v>
      </c>
      <c r="R203" s="43">
        <f t="shared" si="35"/>
        <v>2.1641007E-2</v>
      </c>
      <c r="S203" s="43">
        <f t="shared" si="36"/>
        <v>0.67409165000000004</v>
      </c>
      <c r="T203" s="43">
        <f t="shared" si="37"/>
        <v>2.5284423619999998</v>
      </c>
      <c r="U203" s="43">
        <f t="shared" si="38"/>
        <v>6.0720736860000004</v>
      </c>
      <c r="V203" s="43">
        <f t="shared" si="39"/>
        <v>7.4605510000000002E-3</v>
      </c>
      <c r="W203" s="230">
        <f t="shared" si="40"/>
        <v>0.33950617283950618</v>
      </c>
      <c r="X203" s="43">
        <f t="shared" si="41"/>
        <v>0.52769601799999999</v>
      </c>
      <c r="Y203" s="43">
        <v>144.22636510000001</v>
      </c>
      <c r="Z203" s="43">
        <f t="shared" ref="Z203:Z266" si="44">IF(B203="Berkeley",1,0)</f>
        <v>0</v>
      </c>
      <c r="AA203" s="43">
        <f t="shared" ref="AA203:AA266" si="45">SUMIFS(F:F,B:B,B203)</f>
        <v>478718</v>
      </c>
      <c r="AB203" s="43">
        <f t="shared" ref="AB203:AB266" si="46">SUMIFS(E:E,B:B,B203)</f>
        <v>186107</v>
      </c>
      <c r="AC203" s="43">
        <f t="shared" si="42"/>
        <v>7.5967312731255288E-2</v>
      </c>
      <c r="AD203" s="43">
        <f t="shared" si="43"/>
        <v>0.80847972010000058</v>
      </c>
      <c r="AF203" s="43">
        <v>10.42528527822922</v>
      </c>
      <c r="AG203" s="43">
        <v>0.14548451400000001</v>
      </c>
      <c r="AH203" s="43">
        <v>2.1641007E-2</v>
      </c>
      <c r="AI203" s="43">
        <v>0.67409165000000004</v>
      </c>
      <c r="AJ203" s="43">
        <v>2.5284423619999998</v>
      </c>
      <c r="AK203" s="43">
        <v>6.0720736860000004</v>
      </c>
      <c r="AL203" s="43">
        <v>7.4605510000000002E-3</v>
      </c>
      <c r="AM203" s="230">
        <v>0.33950617283950618</v>
      </c>
      <c r="AN203" s="43">
        <v>0.52769601799999999</v>
      </c>
    </row>
    <row r="204" spans="1:40" x14ac:dyDescent="0.25">
      <c r="A204" s="134">
        <v>194</v>
      </c>
      <c r="B204" s="134" t="s">
        <v>209</v>
      </c>
      <c r="C204" s="134" t="s">
        <v>210</v>
      </c>
      <c r="D204" s="134" t="s">
        <v>211</v>
      </c>
      <c r="E204" s="134">
        <v>271</v>
      </c>
      <c r="F204" s="134">
        <v>658</v>
      </c>
      <c r="G204" s="134">
        <v>70</v>
      </c>
      <c r="H204" s="134">
        <v>356</v>
      </c>
      <c r="I204" s="200">
        <v>4.55239744962E-2</v>
      </c>
      <c r="J204" s="134">
        <v>1014</v>
      </c>
      <c r="K204" s="134">
        <v>22273.977859400002</v>
      </c>
      <c r="L204" s="42">
        <v>0.76290864008199999</v>
      </c>
      <c r="M204" s="42">
        <v>0.56778309409899996</v>
      </c>
      <c r="N204" s="134">
        <v>1</v>
      </c>
      <c r="O204" s="43" t="s">
        <v>627</v>
      </c>
      <c r="P204" s="43">
        <f t="shared" ref="P204:P267" si="47">IF(OR(IFERROR(AF204=0,TRUE),ISERROR(AF204)),AVERAGEIFS(AF:AF,$B:$B,$B204,AF:AF,"&gt;0"),AF204)</f>
        <v>12.059689257106971</v>
      </c>
      <c r="Q204" s="43">
        <f t="shared" ref="Q204:Q267" si="48">IF(OR(IFERROR(AG204=0,TRUE),ISERROR(AG204)),AVERAGEIFS(AG:AG,$B:$B,$B204,AG:AG,"&gt;0"),AG204)</f>
        <v>0.114731793</v>
      </c>
      <c r="R204" s="43">
        <f t="shared" ref="R204:R267" si="49">IF(OR(IFERROR(AH204=0,TRUE),ISERROR(AH204)),AVERAGEIFS(AH:AH,$B:$B,$B204,AH:AH,"&gt;0"),AH204)</f>
        <v>1.7099449999999999E-2</v>
      </c>
      <c r="S204" s="43">
        <f t="shared" ref="S204:S267" si="50">IF(OR(IFERROR(AI204=0,TRUE),ISERROR(AI204)),AVERAGEIFS(AI:AI,$B:$B,$B204,AI:AI,"&gt;0"),AI204)</f>
        <v>0.76290864000000003</v>
      </c>
      <c r="T204" s="43">
        <f t="shared" ref="T204:T267" si="51">IF(OR(IFERROR(AJ204=0,TRUE),ISERROR(AJ204)),AVERAGEIFS(AJ:AJ,$B:$B,$B204,AJ:AJ,"&gt;0"),AJ204)</f>
        <v>2.6188285800000002</v>
      </c>
      <c r="U204" s="43">
        <f t="shared" ref="U204:U267" si="52">IF(OR(IFERROR(AK204=0,TRUE),ISERROR(AK204)),AVERAGEIFS(AK:AK,$B:$B,$B204,AK:AK,"&gt;0"),AK204)</f>
        <v>6.9633100829999997</v>
      </c>
      <c r="V204" s="43">
        <f t="shared" ref="V204:V267" si="53">IF(OR(IFERROR(AL204=0,TRUE),ISERROR(AL204)),AVERAGEIFS(AL:AL,$B:$B,$B204,AL:AL,"&gt;0"),AL204)</f>
        <v>1.5057973000000001E-2</v>
      </c>
      <c r="W204" s="230">
        <f t="shared" ref="W204:W267" si="54">IF(OR(IFERROR(AM204=0,TRUE),ISERROR(AM204)),AVERAGEIFS(AM:AM,$B:$B,$B204,AM:AM,"&gt;0"),AM204)</f>
        <v>0.14283563146686171</v>
      </c>
      <c r="X204" s="43">
        <f t="shared" ref="X204:X267" si="55">IF(OR(IFERROR(AN204=0,TRUE),ISERROR(AN204)),AVERAGEIFS(AN:AN,$B:$B,$B204,AN:AN,"&gt;0"),AN204)</f>
        <v>0.77714199699999997</v>
      </c>
      <c r="Y204" s="43">
        <v>145.82412070000001</v>
      </c>
      <c r="Z204" s="43">
        <f t="shared" si="44"/>
        <v>0</v>
      </c>
      <c r="AA204" s="43">
        <f t="shared" si="45"/>
        <v>478718</v>
      </c>
      <c r="AB204" s="43">
        <f t="shared" si="46"/>
        <v>186107</v>
      </c>
      <c r="AC204" s="43">
        <f t="shared" ref="AC204:AC267" si="56">AVERAGEIFS(Q:Q,B:B,B204,N:N,0,Q:Q,"&gt;0")</f>
        <v>7.5967312731255288E-2</v>
      </c>
      <c r="AD204" s="43">
        <f t="shared" ref="AD204:AD267" si="57">AVERAGEIFS(S:S,B:B,B204,N:N,0,S:S,"&gt;0")</f>
        <v>0.80847972010000058</v>
      </c>
      <c r="AF204" s="43">
        <v>12.059689257106971</v>
      </c>
      <c r="AG204" s="43">
        <v>0.114731793</v>
      </c>
      <c r="AH204" s="43">
        <v>1.7099449999999999E-2</v>
      </c>
      <c r="AI204" s="43">
        <v>0.76290864000000003</v>
      </c>
      <c r="AJ204" s="43">
        <v>2.6188285800000002</v>
      </c>
      <c r="AK204" s="43">
        <v>6.9633100829999997</v>
      </c>
      <c r="AL204" s="43">
        <v>1.5057973000000001E-2</v>
      </c>
      <c r="AM204" s="230">
        <v>0.14283563146686171</v>
      </c>
      <c r="AN204" s="43">
        <v>0.77714199699999997</v>
      </c>
    </row>
    <row r="205" spans="1:40" x14ac:dyDescent="0.25">
      <c r="A205" s="134">
        <v>195</v>
      </c>
      <c r="B205" s="134" t="s">
        <v>209</v>
      </c>
      <c r="C205" s="134" t="s">
        <v>210</v>
      </c>
      <c r="D205" s="134" t="s">
        <v>211</v>
      </c>
      <c r="E205" s="134">
        <v>360</v>
      </c>
      <c r="F205" s="134">
        <v>873</v>
      </c>
      <c r="G205" s="134">
        <v>49</v>
      </c>
      <c r="H205" s="134">
        <v>160</v>
      </c>
      <c r="I205" s="200">
        <v>5.3785242653300001E-2</v>
      </c>
      <c r="J205" s="134">
        <v>1033</v>
      </c>
      <c r="K205" s="134">
        <v>19206.0117058</v>
      </c>
      <c r="L205" s="42">
        <v>0.71900826446300004</v>
      </c>
      <c r="M205" s="42">
        <v>0.30769230769200001</v>
      </c>
      <c r="N205" s="134">
        <v>1</v>
      </c>
      <c r="O205" s="43" t="s">
        <v>627</v>
      </c>
      <c r="P205" s="43">
        <f t="shared" si="47"/>
        <v>11.201024238400702</v>
      </c>
      <c r="Q205" s="43">
        <f t="shared" si="48"/>
        <v>0.14737661399999999</v>
      </c>
      <c r="R205" s="43">
        <f t="shared" si="49"/>
        <v>1.8463967000000001E-2</v>
      </c>
      <c r="S205" s="43">
        <f t="shared" si="50"/>
        <v>0.71900826399999995</v>
      </c>
      <c r="T205" s="43">
        <f t="shared" si="51"/>
        <v>2.6151378150000002</v>
      </c>
      <c r="U205" s="43">
        <f t="shared" si="52"/>
        <v>6.3925231790000003</v>
      </c>
      <c r="V205" s="43">
        <f t="shared" si="53"/>
        <v>1.4737574E-2</v>
      </c>
      <c r="W205" s="230">
        <f t="shared" si="54"/>
        <v>0.18577221642915073</v>
      </c>
      <c r="X205" s="43">
        <f t="shared" si="55"/>
        <v>0.72075078199999998</v>
      </c>
      <c r="Y205" s="43">
        <v>98.246344870000001</v>
      </c>
      <c r="Z205" s="43">
        <f t="shared" si="44"/>
        <v>0</v>
      </c>
      <c r="AA205" s="43">
        <f t="shared" si="45"/>
        <v>478718</v>
      </c>
      <c r="AB205" s="43">
        <f t="shared" si="46"/>
        <v>186107</v>
      </c>
      <c r="AC205" s="43">
        <f t="shared" si="56"/>
        <v>7.5967312731255288E-2</v>
      </c>
      <c r="AD205" s="43">
        <f t="shared" si="57"/>
        <v>0.80847972010000058</v>
      </c>
      <c r="AF205" s="43">
        <v>11.201024238400702</v>
      </c>
      <c r="AG205" s="43">
        <v>0.14737661399999999</v>
      </c>
      <c r="AH205" s="43">
        <v>1.8463967000000001E-2</v>
      </c>
      <c r="AI205" s="43">
        <v>0.71900826399999995</v>
      </c>
      <c r="AJ205" s="43">
        <v>2.6151378150000002</v>
      </c>
      <c r="AK205" s="43">
        <v>6.3925231790000003</v>
      </c>
      <c r="AL205" s="43">
        <v>1.4737574E-2</v>
      </c>
      <c r="AM205" s="230">
        <v>0.18577221642915073</v>
      </c>
      <c r="AN205" s="43">
        <v>0.72075078199999998</v>
      </c>
    </row>
    <row r="206" spans="1:40" x14ac:dyDescent="0.25">
      <c r="A206" s="134">
        <v>196</v>
      </c>
      <c r="B206" s="134" t="s">
        <v>209</v>
      </c>
      <c r="C206" s="134" t="s">
        <v>210</v>
      </c>
      <c r="D206" s="134" t="s">
        <v>211</v>
      </c>
      <c r="E206" s="134">
        <v>517</v>
      </c>
      <c r="F206" s="134">
        <v>1256</v>
      </c>
      <c r="G206" s="134">
        <v>32</v>
      </c>
      <c r="H206" s="134">
        <v>1487</v>
      </c>
      <c r="I206" s="200">
        <v>8.3848276669999999E-2</v>
      </c>
      <c r="J206" s="134">
        <v>2743</v>
      </c>
      <c r="K206" s="134">
        <v>32713.8506471</v>
      </c>
      <c r="L206" s="42">
        <v>0.74252133826300004</v>
      </c>
      <c r="M206" s="42">
        <v>0.74201596806400005</v>
      </c>
      <c r="N206" s="134">
        <v>1</v>
      </c>
      <c r="O206" s="43" t="s">
        <v>627</v>
      </c>
      <c r="P206" s="43">
        <f t="shared" si="47"/>
        <v>12.975920025719891</v>
      </c>
      <c r="Q206" s="43">
        <f t="shared" si="48"/>
        <v>0.131295358</v>
      </c>
      <c r="R206" s="43">
        <f t="shared" si="49"/>
        <v>1.9430370999999998E-2</v>
      </c>
      <c r="S206" s="43">
        <f t="shared" si="50"/>
        <v>0.74252133799999998</v>
      </c>
      <c r="T206" s="43">
        <f t="shared" si="51"/>
        <v>2.7034142330000002</v>
      </c>
      <c r="U206" s="43">
        <f t="shared" si="52"/>
        <v>7.7902821199999996</v>
      </c>
      <c r="V206" s="43">
        <f t="shared" si="53"/>
        <v>2.2472499E-2</v>
      </c>
      <c r="W206" s="230">
        <f t="shared" si="54"/>
        <v>0.15521824757939509</v>
      </c>
      <c r="X206" s="43">
        <f t="shared" si="55"/>
        <v>0.759976337</v>
      </c>
      <c r="Y206" s="43">
        <v>146.6484428</v>
      </c>
      <c r="Z206" s="43">
        <f t="shared" si="44"/>
        <v>0</v>
      </c>
      <c r="AA206" s="43">
        <f t="shared" si="45"/>
        <v>478718</v>
      </c>
      <c r="AB206" s="43">
        <f t="shared" si="46"/>
        <v>186107</v>
      </c>
      <c r="AC206" s="43">
        <f t="shared" si="56"/>
        <v>7.5967312731255288E-2</v>
      </c>
      <c r="AD206" s="43">
        <f t="shared" si="57"/>
        <v>0.80847972010000058</v>
      </c>
      <c r="AF206" s="43">
        <v>12.975920025719891</v>
      </c>
      <c r="AG206" s="43">
        <v>0.131295358</v>
      </c>
      <c r="AH206" s="43">
        <v>1.9430370999999998E-2</v>
      </c>
      <c r="AI206" s="43">
        <v>0.74252133799999998</v>
      </c>
      <c r="AJ206" s="43">
        <v>2.7034142330000002</v>
      </c>
      <c r="AK206" s="43">
        <v>7.7902821199999996</v>
      </c>
      <c r="AL206" s="43">
        <v>2.2472499E-2</v>
      </c>
      <c r="AM206" s="230">
        <v>0.15521824757939509</v>
      </c>
      <c r="AN206" s="43">
        <v>0.759976337</v>
      </c>
    </row>
    <row r="207" spans="1:40" x14ac:dyDescent="0.25">
      <c r="A207" s="134">
        <v>197</v>
      </c>
      <c r="B207" s="134" t="s">
        <v>209</v>
      </c>
      <c r="C207" s="134" t="s">
        <v>210</v>
      </c>
      <c r="D207" s="134" t="s">
        <v>211</v>
      </c>
      <c r="E207" s="134">
        <v>321</v>
      </c>
      <c r="F207" s="134">
        <v>778</v>
      </c>
      <c r="G207" s="134">
        <v>26</v>
      </c>
      <c r="H207" s="134">
        <v>1336</v>
      </c>
      <c r="I207" s="200">
        <v>6.7076500613899998E-2</v>
      </c>
      <c r="J207" s="134">
        <v>2114</v>
      </c>
      <c r="K207" s="134">
        <v>31516.253541099999</v>
      </c>
      <c r="L207" s="42">
        <v>0.73651194292800004</v>
      </c>
      <c r="M207" s="42">
        <v>0.80627640313799998</v>
      </c>
      <c r="N207" s="134">
        <v>1</v>
      </c>
      <c r="O207" s="43" t="s">
        <v>627</v>
      </c>
      <c r="P207" s="43">
        <f t="shared" si="47"/>
        <v>13.136176637662595</v>
      </c>
      <c r="Q207" s="43">
        <f t="shared" si="48"/>
        <v>0.14053190099999999</v>
      </c>
      <c r="R207" s="43">
        <f t="shared" si="49"/>
        <v>1.7214726E-2</v>
      </c>
      <c r="S207" s="43">
        <f t="shared" si="50"/>
        <v>0.736511943</v>
      </c>
      <c r="T207" s="43">
        <f t="shared" si="51"/>
        <v>2.737956922</v>
      </c>
      <c r="U207" s="43">
        <f t="shared" si="52"/>
        <v>8.0598486880000006</v>
      </c>
      <c r="V207" s="43">
        <f t="shared" si="53"/>
        <v>1.9197240000000001E-2</v>
      </c>
      <c r="W207" s="230">
        <f t="shared" si="54"/>
        <v>0.15655759633213714</v>
      </c>
      <c r="X207" s="43">
        <f t="shared" si="55"/>
        <v>0.76017748900000004</v>
      </c>
      <c r="Y207" s="43">
        <v>91.789771549999998</v>
      </c>
      <c r="Z207" s="43">
        <f t="shared" si="44"/>
        <v>0</v>
      </c>
      <c r="AA207" s="43">
        <f t="shared" si="45"/>
        <v>478718</v>
      </c>
      <c r="AB207" s="43">
        <f t="shared" si="46"/>
        <v>186107</v>
      </c>
      <c r="AC207" s="43">
        <f t="shared" si="56"/>
        <v>7.5967312731255288E-2</v>
      </c>
      <c r="AD207" s="43">
        <f t="shared" si="57"/>
        <v>0.80847972010000058</v>
      </c>
      <c r="AF207" s="43">
        <v>13.136176637662595</v>
      </c>
      <c r="AG207" s="43">
        <v>0.14053190099999999</v>
      </c>
      <c r="AH207" s="43">
        <v>1.7214726E-2</v>
      </c>
      <c r="AI207" s="43">
        <v>0.736511943</v>
      </c>
      <c r="AJ207" s="43">
        <v>2.737956922</v>
      </c>
      <c r="AK207" s="43">
        <v>8.0598486880000006</v>
      </c>
      <c r="AL207" s="43">
        <v>1.9197240000000001E-2</v>
      </c>
      <c r="AM207" s="230">
        <v>0.15655759633213714</v>
      </c>
      <c r="AN207" s="43">
        <v>0.76017748900000004</v>
      </c>
    </row>
    <row r="208" spans="1:40" x14ac:dyDescent="0.25">
      <c r="A208" s="134">
        <v>198</v>
      </c>
      <c r="B208" s="134" t="s">
        <v>209</v>
      </c>
      <c r="C208" s="134" t="s">
        <v>210</v>
      </c>
      <c r="D208" s="134" t="s">
        <v>211</v>
      </c>
      <c r="E208" s="134">
        <v>393</v>
      </c>
      <c r="F208" s="134">
        <v>808</v>
      </c>
      <c r="G208" s="134">
        <v>23</v>
      </c>
      <c r="H208" s="134">
        <v>323</v>
      </c>
      <c r="I208" s="200">
        <v>4.3704521409899999E-2</v>
      </c>
      <c r="J208" s="134">
        <v>1131</v>
      </c>
      <c r="K208" s="134">
        <v>25878.329369899999</v>
      </c>
      <c r="L208" s="42">
        <v>0.72468153731899998</v>
      </c>
      <c r="M208" s="42">
        <v>0.451117318436</v>
      </c>
      <c r="N208" s="134">
        <v>1</v>
      </c>
      <c r="O208" s="43" t="s">
        <v>627</v>
      </c>
      <c r="P208" s="43">
        <f t="shared" si="47"/>
        <v>11.465518274220836</v>
      </c>
      <c r="Q208" s="43">
        <f t="shared" si="48"/>
        <v>0.124426948</v>
      </c>
      <c r="R208" s="43">
        <f t="shared" si="49"/>
        <v>2.1236885E-2</v>
      </c>
      <c r="S208" s="43">
        <f t="shared" si="50"/>
        <v>0.72468153700000004</v>
      </c>
      <c r="T208" s="43">
        <f t="shared" si="51"/>
        <v>2.5394442669999999</v>
      </c>
      <c r="U208" s="43">
        <f t="shared" si="52"/>
        <v>6.853273518</v>
      </c>
      <c r="V208" s="43">
        <f t="shared" si="53"/>
        <v>2.6551987999999999E-2</v>
      </c>
      <c r="W208" s="230">
        <f t="shared" si="54"/>
        <v>0.23717278304169334</v>
      </c>
      <c r="X208" s="43">
        <f t="shared" si="55"/>
        <v>0.64246132700000003</v>
      </c>
      <c r="Y208" s="43">
        <v>174.21430219999999</v>
      </c>
      <c r="Z208" s="43">
        <f t="shared" si="44"/>
        <v>0</v>
      </c>
      <c r="AA208" s="43">
        <f t="shared" si="45"/>
        <v>478718</v>
      </c>
      <c r="AB208" s="43">
        <f t="shared" si="46"/>
        <v>186107</v>
      </c>
      <c r="AC208" s="43">
        <f t="shared" si="56"/>
        <v>7.5967312731255288E-2</v>
      </c>
      <c r="AD208" s="43">
        <f t="shared" si="57"/>
        <v>0.80847972010000058</v>
      </c>
      <c r="AF208" s="43">
        <v>11.465518274220836</v>
      </c>
      <c r="AG208" s="43">
        <v>0.124426948</v>
      </c>
      <c r="AH208" s="43">
        <v>2.1236885E-2</v>
      </c>
      <c r="AI208" s="43">
        <v>0.72468153700000004</v>
      </c>
      <c r="AJ208" s="43">
        <v>2.5394442669999999</v>
      </c>
      <c r="AK208" s="43">
        <v>6.853273518</v>
      </c>
      <c r="AL208" s="43">
        <v>2.6551987999999999E-2</v>
      </c>
      <c r="AM208" s="230">
        <v>0.23717278304169334</v>
      </c>
      <c r="AN208" s="43">
        <v>0.64246132700000003</v>
      </c>
    </row>
    <row r="209" spans="1:40" x14ac:dyDescent="0.25">
      <c r="A209" s="134">
        <v>199</v>
      </c>
      <c r="B209" s="134" t="s">
        <v>209</v>
      </c>
      <c r="C209" s="134" t="s">
        <v>210</v>
      </c>
      <c r="D209" s="134" t="s">
        <v>211</v>
      </c>
      <c r="E209" s="134">
        <v>158</v>
      </c>
      <c r="F209" s="134">
        <v>326</v>
      </c>
      <c r="G209" s="134">
        <v>13</v>
      </c>
      <c r="H209" s="134">
        <v>56</v>
      </c>
      <c r="I209" s="200">
        <v>2.4314798950200001E-2</v>
      </c>
      <c r="J209" s="134">
        <v>382</v>
      </c>
      <c r="K209" s="134">
        <v>15710.596693900001</v>
      </c>
      <c r="L209" s="42">
        <v>0.70809940121199999</v>
      </c>
      <c r="M209" s="42">
        <v>0.26168224299100001</v>
      </c>
      <c r="N209" s="134">
        <v>1</v>
      </c>
      <c r="O209" s="43" t="s">
        <v>627</v>
      </c>
      <c r="P209" s="43">
        <f t="shared" si="47"/>
        <v>10.615637837861103</v>
      </c>
      <c r="Q209" s="43">
        <f t="shared" si="48"/>
        <v>0.14904345599999999</v>
      </c>
      <c r="R209" s="43">
        <f t="shared" si="49"/>
        <v>1.8757368E-2</v>
      </c>
      <c r="S209" s="43">
        <f t="shared" si="50"/>
        <v>0.70809940100000002</v>
      </c>
      <c r="T209" s="43">
        <f t="shared" si="51"/>
        <v>2.6050656659999998</v>
      </c>
      <c r="U209" s="43">
        <f t="shared" si="52"/>
        <v>6.2132288019999997</v>
      </c>
      <c r="V209" s="43">
        <f t="shared" si="53"/>
        <v>1.9095886999999999E-2</v>
      </c>
      <c r="W209" s="230">
        <f t="shared" si="54"/>
        <v>0.25078057830671069</v>
      </c>
      <c r="X209" s="43">
        <f t="shared" si="55"/>
        <v>0.61853477499999998</v>
      </c>
      <c r="Y209" s="43">
        <v>56.918233729999997</v>
      </c>
      <c r="Z209" s="43">
        <f t="shared" si="44"/>
        <v>0</v>
      </c>
      <c r="AA209" s="43">
        <f t="shared" si="45"/>
        <v>478718</v>
      </c>
      <c r="AB209" s="43">
        <f t="shared" si="46"/>
        <v>186107</v>
      </c>
      <c r="AC209" s="43">
        <f t="shared" si="56"/>
        <v>7.5967312731255288E-2</v>
      </c>
      <c r="AD209" s="43">
        <f t="shared" si="57"/>
        <v>0.80847972010000058</v>
      </c>
      <c r="AF209" s="43">
        <v>10.615637837861103</v>
      </c>
      <c r="AG209" s="43">
        <v>0.14904345599999999</v>
      </c>
      <c r="AH209" s="43">
        <v>1.8757368E-2</v>
      </c>
      <c r="AI209" s="43">
        <v>0.70809940100000002</v>
      </c>
      <c r="AJ209" s="43">
        <v>2.6050656659999998</v>
      </c>
      <c r="AK209" s="43">
        <v>6.2132288019999997</v>
      </c>
      <c r="AL209" s="43">
        <v>1.9095886999999999E-2</v>
      </c>
      <c r="AM209" s="230">
        <v>0.25078057830671069</v>
      </c>
      <c r="AN209" s="43">
        <v>0.61853477499999998</v>
      </c>
    </row>
    <row r="210" spans="1:40" x14ac:dyDescent="0.25">
      <c r="A210" s="134">
        <v>200</v>
      </c>
      <c r="B210" s="134" t="s">
        <v>209</v>
      </c>
      <c r="C210" s="134" t="s">
        <v>210</v>
      </c>
      <c r="D210" s="134" t="s">
        <v>211</v>
      </c>
      <c r="E210" s="134">
        <v>116</v>
      </c>
      <c r="F210" s="134">
        <v>238</v>
      </c>
      <c r="G210" s="134">
        <v>15</v>
      </c>
      <c r="H210" s="134">
        <v>138</v>
      </c>
      <c r="I210" s="200">
        <v>2.8388040145000001E-2</v>
      </c>
      <c r="J210" s="134">
        <v>376</v>
      </c>
      <c r="K210" s="134">
        <v>13245.0143821</v>
      </c>
      <c r="L210" s="42">
        <v>0.70190941445499999</v>
      </c>
      <c r="M210" s="42">
        <v>0.54330708661399996</v>
      </c>
      <c r="N210" s="134">
        <v>1</v>
      </c>
      <c r="O210" s="43" t="s">
        <v>627</v>
      </c>
      <c r="P210" s="43">
        <f t="shared" si="47"/>
        <v>10.858620575349132</v>
      </c>
      <c r="Q210" s="43">
        <f t="shared" si="48"/>
        <v>0.15045265699999999</v>
      </c>
      <c r="R210" s="43">
        <f t="shared" si="49"/>
        <v>1.7172551000000001E-2</v>
      </c>
      <c r="S210" s="43">
        <f t="shared" si="50"/>
        <v>0.70190941399999995</v>
      </c>
      <c r="T210" s="43">
        <f t="shared" si="51"/>
        <v>2.628526023</v>
      </c>
      <c r="U210" s="43">
        <f t="shared" si="52"/>
        <v>6.226096976</v>
      </c>
      <c r="V210" s="43">
        <f t="shared" si="53"/>
        <v>1.8413188E-2</v>
      </c>
      <c r="W210" s="230">
        <f t="shared" si="54"/>
        <v>0.22360937048105659</v>
      </c>
      <c r="X210" s="43">
        <f t="shared" si="55"/>
        <v>0.637520486</v>
      </c>
      <c r="Y210" s="43">
        <v>77.654190540000002</v>
      </c>
      <c r="Z210" s="43">
        <f t="shared" si="44"/>
        <v>0</v>
      </c>
      <c r="AA210" s="43">
        <f t="shared" si="45"/>
        <v>478718</v>
      </c>
      <c r="AB210" s="43">
        <f t="shared" si="46"/>
        <v>186107</v>
      </c>
      <c r="AC210" s="43">
        <f t="shared" si="56"/>
        <v>7.5967312731255288E-2</v>
      </c>
      <c r="AD210" s="43">
        <f t="shared" si="57"/>
        <v>0.80847972010000058</v>
      </c>
      <c r="AF210" s="43">
        <v>10.858620575349132</v>
      </c>
      <c r="AG210" s="43">
        <v>0.15045265699999999</v>
      </c>
      <c r="AH210" s="43">
        <v>1.7172551000000001E-2</v>
      </c>
      <c r="AI210" s="43">
        <v>0.70190941399999995</v>
      </c>
      <c r="AJ210" s="43">
        <v>2.628526023</v>
      </c>
      <c r="AK210" s="43">
        <v>6.226096976</v>
      </c>
      <c r="AL210" s="43">
        <v>1.8413188E-2</v>
      </c>
      <c r="AM210" s="230">
        <v>0.22360937048105659</v>
      </c>
      <c r="AN210" s="43">
        <v>0.637520486</v>
      </c>
    </row>
    <row r="211" spans="1:40" x14ac:dyDescent="0.25">
      <c r="A211" s="134">
        <v>201</v>
      </c>
      <c r="B211" s="134" t="s">
        <v>209</v>
      </c>
      <c r="C211" s="134" t="s">
        <v>210</v>
      </c>
      <c r="D211" s="134" t="s">
        <v>211</v>
      </c>
      <c r="E211" s="134">
        <v>663</v>
      </c>
      <c r="F211" s="134">
        <v>1364</v>
      </c>
      <c r="G211" s="134">
        <v>24</v>
      </c>
      <c r="H211" s="134">
        <v>600</v>
      </c>
      <c r="I211" s="200">
        <v>4.6358997596900001E-2</v>
      </c>
      <c r="J211" s="134">
        <v>1964</v>
      </c>
      <c r="K211" s="134">
        <v>42365.023011800004</v>
      </c>
      <c r="L211" s="42">
        <v>0.65802002473800003</v>
      </c>
      <c r="M211" s="42">
        <v>0.475059382423</v>
      </c>
      <c r="N211" s="134">
        <v>1</v>
      </c>
      <c r="O211" s="43" t="s">
        <v>627</v>
      </c>
      <c r="P211" s="43">
        <f t="shared" si="47"/>
        <v>11.928057272280459</v>
      </c>
      <c r="Q211" s="43">
        <f t="shared" si="48"/>
        <v>0.18566866400000001</v>
      </c>
      <c r="R211" s="43">
        <f t="shared" si="49"/>
        <v>2.0035399999999998E-2</v>
      </c>
      <c r="S211" s="43">
        <f t="shared" si="50"/>
        <v>0.65802002500000001</v>
      </c>
      <c r="T211" s="43">
        <f t="shared" si="51"/>
        <v>2.6576438429999998</v>
      </c>
      <c r="U211" s="43">
        <f t="shared" si="52"/>
        <v>6.854056387</v>
      </c>
      <c r="V211" s="43">
        <f t="shared" si="53"/>
        <v>2.9617239E-2</v>
      </c>
      <c r="W211" s="230">
        <f t="shared" si="54"/>
        <v>0.27017791811651892</v>
      </c>
      <c r="X211" s="43">
        <f t="shared" si="55"/>
        <v>0.59987655799999995</v>
      </c>
      <c r="Y211" s="43">
        <v>55.828169770000002</v>
      </c>
      <c r="Z211" s="43">
        <f t="shared" si="44"/>
        <v>0</v>
      </c>
      <c r="AA211" s="43">
        <f t="shared" si="45"/>
        <v>478718</v>
      </c>
      <c r="AB211" s="43">
        <f t="shared" si="46"/>
        <v>186107</v>
      </c>
      <c r="AC211" s="43">
        <f t="shared" si="56"/>
        <v>7.5967312731255288E-2</v>
      </c>
      <c r="AD211" s="43">
        <f t="shared" si="57"/>
        <v>0.80847972010000058</v>
      </c>
      <c r="AF211" s="43">
        <v>11.928057272280459</v>
      </c>
      <c r="AG211" s="43">
        <v>0.18566866400000001</v>
      </c>
      <c r="AH211" s="43">
        <v>2.0035399999999998E-2</v>
      </c>
      <c r="AI211" s="43">
        <v>0.65802002500000001</v>
      </c>
      <c r="AJ211" s="43">
        <v>2.6576438429999998</v>
      </c>
      <c r="AK211" s="43">
        <v>6.854056387</v>
      </c>
      <c r="AL211" s="43">
        <v>2.9617239E-2</v>
      </c>
      <c r="AM211" s="230">
        <v>0.27017791811651892</v>
      </c>
      <c r="AN211" s="43">
        <v>0.59987655799999995</v>
      </c>
    </row>
    <row r="212" spans="1:40" x14ac:dyDescent="0.25">
      <c r="A212" s="134">
        <v>202</v>
      </c>
      <c r="B212" s="134" t="s">
        <v>209</v>
      </c>
      <c r="C212" s="134" t="s">
        <v>210</v>
      </c>
      <c r="D212" s="134" t="s">
        <v>211</v>
      </c>
      <c r="E212" s="134">
        <v>275</v>
      </c>
      <c r="F212" s="134">
        <v>567</v>
      </c>
      <c r="G212" s="134">
        <v>20</v>
      </c>
      <c r="H212" s="134">
        <v>45</v>
      </c>
      <c r="I212" s="200">
        <v>3.7170072612799997E-2</v>
      </c>
      <c r="J212" s="134">
        <v>612</v>
      </c>
      <c r="K212" s="134">
        <v>16464.858876499999</v>
      </c>
      <c r="L212" s="42">
        <v>0.71051329010499997</v>
      </c>
      <c r="M212" s="42">
        <v>0.140625</v>
      </c>
      <c r="N212" s="134">
        <v>1</v>
      </c>
      <c r="O212" s="43" t="s">
        <v>664</v>
      </c>
      <c r="P212" s="43">
        <f t="shared" si="47"/>
        <v>10.332518887081287</v>
      </c>
      <c r="Q212" s="43">
        <f t="shared" si="48"/>
        <v>0.147610091</v>
      </c>
      <c r="R212" s="43">
        <f t="shared" si="49"/>
        <v>1.9955781999999998E-2</v>
      </c>
      <c r="S212" s="43">
        <f t="shared" si="50"/>
        <v>0.71051328999999996</v>
      </c>
      <c r="T212" s="43">
        <f t="shared" si="51"/>
        <v>2.5869700099999999</v>
      </c>
      <c r="U212" s="43">
        <f t="shared" si="52"/>
        <v>6.370560234</v>
      </c>
      <c r="V212" s="43">
        <f t="shared" si="53"/>
        <v>1.8322489000000001E-2</v>
      </c>
      <c r="W212" s="230">
        <f t="shared" si="54"/>
        <v>0.26337768282023888</v>
      </c>
      <c r="X212" s="43">
        <f t="shared" si="55"/>
        <v>0.62665501300000004</v>
      </c>
      <c r="Y212" s="43">
        <v>54.424748549999997</v>
      </c>
      <c r="Z212" s="43">
        <f t="shared" si="44"/>
        <v>0</v>
      </c>
      <c r="AA212" s="43">
        <f t="shared" si="45"/>
        <v>478718</v>
      </c>
      <c r="AB212" s="43">
        <f t="shared" si="46"/>
        <v>186107</v>
      </c>
      <c r="AC212" s="43">
        <f t="shared" si="56"/>
        <v>7.5967312731255288E-2</v>
      </c>
      <c r="AD212" s="43">
        <f t="shared" si="57"/>
        <v>0.80847972010000058</v>
      </c>
      <c r="AF212" s="43">
        <v>10.332518887081287</v>
      </c>
      <c r="AG212" s="43">
        <v>0.147610091</v>
      </c>
      <c r="AH212" s="43">
        <v>1.9955781999999998E-2</v>
      </c>
      <c r="AI212" s="43">
        <v>0.71051328999999996</v>
      </c>
      <c r="AJ212" s="43">
        <v>2.5869700099999999</v>
      </c>
      <c r="AK212" s="43">
        <v>6.370560234</v>
      </c>
      <c r="AL212" s="43">
        <v>1.8322489000000001E-2</v>
      </c>
      <c r="AM212" s="230">
        <v>0.26337768282023888</v>
      </c>
      <c r="AN212" s="43">
        <v>0.62665501300000004</v>
      </c>
    </row>
    <row r="213" spans="1:40" x14ac:dyDescent="0.25">
      <c r="A213" s="134">
        <v>203</v>
      </c>
      <c r="B213" s="134" t="s">
        <v>209</v>
      </c>
      <c r="C213" s="134" t="s">
        <v>210</v>
      </c>
      <c r="D213" s="134" t="s">
        <v>211</v>
      </c>
      <c r="E213" s="134">
        <v>220</v>
      </c>
      <c r="F213" s="134">
        <v>452</v>
      </c>
      <c r="G213" s="134">
        <v>11</v>
      </c>
      <c r="H213" s="134">
        <v>260</v>
      </c>
      <c r="I213" s="200">
        <v>2.1159997978999999E-2</v>
      </c>
      <c r="J213" s="134">
        <v>712</v>
      </c>
      <c r="K213" s="134">
        <v>33648.396408499997</v>
      </c>
      <c r="L213" s="42">
        <v>0.73202992369800002</v>
      </c>
      <c r="M213" s="42">
        <v>0.54166666666700003</v>
      </c>
      <c r="N213" s="134">
        <v>1</v>
      </c>
      <c r="O213" s="43" t="s">
        <v>627</v>
      </c>
      <c r="P213" s="43">
        <f t="shared" si="47"/>
        <v>11.325071134672996</v>
      </c>
      <c r="Q213" s="43">
        <f t="shared" si="48"/>
        <v>0.115410207</v>
      </c>
      <c r="R213" s="43">
        <f t="shared" si="49"/>
        <v>1.9725263999999999E-2</v>
      </c>
      <c r="S213" s="43">
        <f t="shared" si="50"/>
        <v>0.732029924</v>
      </c>
      <c r="T213" s="43">
        <f t="shared" si="51"/>
        <v>2.4877586479999998</v>
      </c>
      <c r="U213" s="43">
        <f t="shared" si="52"/>
        <v>6.5859986199999998</v>
      </c>
      <c r="V213" s="43">
        <f t="shared" si="53"/>
        <v>2.9436871E-2</v>
      </c>
      <c r="W213" s="230">
        <f t="shared" si="54"/>
        <v>0.24312579218293287</v>
      </c>
      <c r="X213" s="43">
        <f t="shared" si="55"/>
        <v>0.62758995299999998</v>
      </c>
      <c r="Y213" s="43">
        <v>64.536276209999997</v>
      </c>
      <c r="Z213" s="43">
        <f t="shared" si="44"/>
        <v>0</v>
      </c>
      <c r="AA213" s="43">
        <f t="shared" si="45"/>
        <v>478718</v>
      </c>
      <c r="AB213" s="43">
        <f t="shared" si="46"/>
        <v>186107</v>
      </c>
      <c r="AC213" s="43">
        <f t="shared" si="56"/>
        <v>7.5967312731255288E-2</v>
      </c>
      <c r="AD213" s="43">
        <f t="shared" si="57"/>
        <v>0.80847972010000058</v>
      </c>
      <c r="AF213" s="43">
        <v>11.325071134672996</v>
      </c>
      <c r="AG213" s="43">
        <v>0.115410207</v>
      </c>
      <c r="AH213" s="43">
        <v>1.9725263999999999E-2</v>
      </c>
      <c r="AI213" s="43">
        <v>0.732029924</v>
      </c>
      <c r="AJ213" s="43">
        <v>2.4877586479999998</v>
      </c>
      <c r="AK213" s="43">
        <v>6.5859986199999998</v>
      </c>
      <c r="AL213" s="43">
        <v>2.9436871E-2</v>
      </c>
      <c r="AM213" s="230">
        <v>0.24312579218293287</v>
      </c>
      <c r="AN213" s="43">
        <v>0.62758995299999998</v>
      </c>
    </row>
    <row r="214" spans="1:40" x14ac:dyDescent="0.25">
      <c r="A214" s="134">
        <v>204</v>
      </c>
      <c r="B214" s="134" t="s">
        <v>209</v>
      </c>
      <c r="C214" s="134" t="s">
        <v>210</v>
      </c>
      <c r="D214" s="134" t="s">
        <v>211</v>
      </c>
      <c r="E214" s="134">
        <v>306</v>
      </c>
      <c r="F214" s="134">
        <v>630</v>
      </c>
      <c r="G214" s="134">
        <v>31</v>
      </c>
      <c r="H214" s="134">
        <v>146</v>
      </c>
      <c r="I214" s="200">
        <v>2.8810080536399999E-2</v>
      </c>
      <c r="J214" s="134">
        <v>776</v>
      </c>
      <c r="K214" s="134">
        <v>26935.016686899999</v>
      </c>
      <c r="L214" s="42">
        <v>0.69692659658</v>
      </c>
      <c r="M214" s="42">
        <v>0.32300884955800002</v>
      </c>
      <c r="N214" s="134">
        <v>1</v>
      </c>
      <c r="O214" s="43" t="s">
        <v>627</v>
      </c>
      <c r="P214" s="43">
        <f t="shared" si="47"/>
        <v>11.040048453859857</v>
      </c>
      <c r="Q214" s="43">
        <f t="shared" si="48"/>
        <v>0.15393853199999999</v>
      </c>
      <c r="R214" s="43">
        <f t="shared" si="49"/>
        <v>1.8952989999999999E-2</v>
      </c>
      <c r="S214" s="43">
        <f t="shared" si="50"/>
        <v>0.69692659700000004</v>
      </c>
      <c r="T214" s="43">
        <f t="shared" si="51"/>
        <v>2.552928723</v>
      </c>
      <c r="U214" s="43">
        <f t="shared" si="52"/>
        <v>6.4519197750000004</v>
      </c>
      <c r="V214" s="43">
        <f t="shared" si="53"/>
        <v>1.8805479E-2</v>
      </c>
      <c r="W214" s="230">
        <f t="shared" si="54"/>
        <v>0.23432328767123287</v>
      </c>
      <c r="X214" s="43">
        <f t="shared" si="55"/>
        <v>0.63875068499999998</v>
      </c>
      <c r="Y214" s="43">
        <v>113.4744415</v>
      </c>
      <c r="Z214" s="43">
        <f t="shared" si="44"/>
        <v>0</v>
      </c>
      <c r="AA214" s="43">
        <f t="shared" si="45"/>
        <v>478718</v>
      </c>
      <c r="AB214" s="43">
        <f t="shared" si="46"/>
        <v>186107</v>
      </c>
      <c r="AC214" s="43">
        <f t="shared" si="56"/>
        <v>7.5967312731255288E-2</v>
      </c>
      <c r="AD214" s="43">
        <f t="shared" si="57"/>
        <v>0.80847972010000058</v>
      </c>
      <c r="AF214" s="43">
        <v>11.040048453859857</v>
      </c>
      <c r="AG214" s="43">
        <v>0.15393853199999999</v>
      </c>
      <c r="AH214" s="43">
        <v>1.8952989999999999E-2</v>
      </c>
      <c r="AI214" s="43">
        <v>0.69692659700000004</v>
      </c>
      <c r="AJ214" s="43">
        <v>2.552928723</v>
      </c>
      <c r="AK214" s="43">
        <v>6.4519197750000004</v>
      </c>
      <c r="AL214" s="43">
        <v>1.8805479E-2</v>
      </c>
      <c r="AM214" s="230">
        <v>0.23432328767123287</v>
      </c>
      <c r="AN214" s="43">
        <v>0.63875068499999998</v>
      </c>
    </row>
    <row r="215" spans="1:40" x14ac:dyDescent="0.25">
      <c r="A215" s="134">
        <v>205</v>
      </c>
      <c r="B215" s="134" t="s">
        <v>209</v>
      </c>
      <c r="C215" s="134" t="s">
        <v>210</v>
      </c>
      <c r="D215" s="134" t="s">
        <v>211</v>
      </c>
      <c r="E215" s="134">
        <v>412</v>
      </c>
      <c r="F215" s="134">
        <v>849</v>
      </c>
      <c r="G215" s="134">
        <v>41</v>
      </c>
      <c r="H215" s="134">
        <v>109</v>
      </c>
      <c r="I215" s="200">
        <v>3.4250944418900003E-2</v>
      </c>
      <c r="J215" s="134">
        <v>958</v>
      </c>
      <c r="K215" s="134">
        <v>27970.031666399998</v>
      </c>
      <c r="L215" s="42">
        <v>0.68939138981900006</v>
      </c>
      <c r="M215" s="42">
        <v>0.20921305182300001</v>
      </c>
      <c r="N215" s="134">
        <v>1</v>
      </c>
      <c r="O215" s="43" t="s">
        <v>627</v>
      </c>
      <c r="P215" s="43">
        <f t="shared" si="47"/>
        <v>10.438350404848583</v>
      </c>
      <c r="Q215" s="43">
        <f t="shared" si="48"/>
        <v>0.157401027</v>
      </c>
      <c r="R215" s="43">
        <f t="shared" si="49"/>
        <v>1.8178710000000001E-2</v>
      </c>
      <c r="S215" s="43">
        <f t="shared" si="50"/>
        <v>0.68939139000000005</v>
      </c>
      <c r="T215" s="43">
        <f t="shared" si="51"/>
        <v>2.5258050289999998</v>
      </c>
      <c r="U215" s="43">
        <f t="shared" si="52"/>
        <v>6.1516897469999998</v>
      </c>
      <c r="V215" s="43">
        <f t="shared" si="53"/>
        <v>1.6699392E-2</v>
      </c>
      <c r="W215" s="230">
        <f t="shared" si="54"/>
        <v>0.26673275254017575</v>
      </c>
      <c r="X215" s="43">
        <f t="shared" si="55"/>
        <v>0.60584859999999996</v>
      </c>
      <c r="Y215" s="43">
        <v>78.934612049999998</v>
      </c>
      <c r="Z215" s="43">
        <f t="shared" si="44"/>
        <v>0</v>
      </c>
      <c r="AA215" s="43">
        <f t="shared" si="45"/>
        <v>478718</v>
      </c>
      <c r="AB215" s="43">
        <f t="shared" si="46"/>
        <v>186107</v>
      </c>
      <c r="AC215" s="43">
        <f t="shared" si="56"/>
        <v>7.5967312731255288E-2</v>
      </c>
      <c r="AD215" s="43">
        <f t="shared" si="57"/>
        <v>0.80847972010000058</v>
      </c>
      <c r="AF215" s="43">
        <v>10.438350404848583</v>
      </c>
      <c r="AG215" s="43">
        <v>0.157401027</v>
      </c>
      <c r="AH215" s="43">
        <v>1.8178710000000001E-2</v>
      </c>
      <c r="AI215" s="43">
        <v>0.68939139000000005</v>
      </c>
      <c r="AJ215" s="43">
        <v>2.5258050289999998</v>
      </c>
      <c r="AK215" s="43">
        <v>6.1516897469999998</v>
      </c>
      <c r="AL215" s="43">
        <v>1.6699392E-2</v>
      </c>
      <c r="AM215" s="230">
        <v>0.26673275254017575</v>
      </c>
      <c r="AN215" s="43">
        <v>0.60584859999999996</v>
      </c>
    </row>
    <row r="216" spans="1:40" x14ac:dyDescent="0.25">
      <c r="A216" s="134">
        <v>206</v>
      </c>
      <c r="B216" s="134" t="s">
        <v>209</v>
      </c>
      <c r="C216" s="134" t="s">
        <v>210</v>
      </c>
      <c r="D216" s="134" t="s">
        <v>211</v>
      </c>
      <c r="E216" s="134">
        <v>348</v>
      </c>
      <c r="F216" s="134">
        <v>694</v>
      </c>
      <c r="G216" s="134">
        <v>47</v>
      </c>
      <c r="H216" s="134">
        <v>624</v>
      </c>
      <c r="I216" s="200">
        <v>7.3346657993399997E-2</v>
      </c>
      <c r="J216" s="134">
        <v>1318</v>
      </c>
      <c r="K216" s="134">
        <v>17969.462223099999</v>
      </c>
      <c r="L216" s="42">
        <v>0.69435862973399998</v>
      </c>
      <c r="M216" s="42">
        <v>0.64197530864200003</v>
      </c>
      <c r="N216" s="134">
        <v>1</v>
      </c>
      <c r="O216" s="43" t="s">
        <v>627</v>
      </c>
      <c r="P216" s="43">
        <f t="shared" si="47"/>
        <v>11.537661073965152</v>
      </c>
      <c r="Q216" s="43">
        <f t="shared" si="48"/>
        <v>0.124378953</v>
      </c>
      <c r="R216" s="43">
        <f t="shared" si="49"/>
        <v>5.1566031999999998E-2</v>
      </c>
      <c r="S216" s="43">
        <f t="shared" si="50"/>
        <v>0.69435862999999998</v>
      </c>
      <c r="T216" s="43">
        <f t="shared" si="51"/>
        <v>2.5915631029999999</v>
      </c>
      <c r="U216" s="43">
        <f t="shared" si="52"/>
        <v>6.5724413180000001</v>
      </c>
      <c r="V216" s="43">
        <f t="shared" si="53"/>
        <v>1.713143E-2</v>
      </c>
      <c r="W216" s="230">
        <f t="shared" si="54"/>
        <v>0.16548261684334184</v>
      </c>
      <c r="X216" s="43">
        <f t="shared" si="55"/>
        <v>0.72582720300000003</v>
      </c>
      <c r="Y216" s="43">
        <v>234.77368519999999</v>
      </c>
      <c r="Z216" s="43">
        <f t="shared" si="44"/>
        <v>0</v>
      </c>
      <c r="AA216" s="43">
        <f t="shared" si="45"/>
        <v>478718</v>
      </c>
      <c r="AB216" s="43">
        <f t="shared" si="46"/>
        <v>186107</v>
      </c>
      <c r="AC216" s="43">
        <f t="shared" si="56"/>
        <v>7.5967312731255288E-2</v>
      </c>
      <c r="AD216" s="43">
        <f t="shared" si="57"/>
        <v>0.80847972010000058</v>
      </c>
      <c r="AF216" s="43">
        <v>11.537661073965152</v>
      </c>
      <c r="AG216" s="43">
        <v>0.124378953</v>
      </c>
      <c r="AH216" s="43">
        <v>5.1566031999999998E-2</v>
      </c>
      <c r="AI216" s="43">
        <v>0.69435862999999998</v>
      </c>
      <c r="AJ216" s="43">
        <v>2.5915631029999999</v>
      </c>
      <c r="AK216" s="43">
        <v>6.5724413180000001</v>
      </c>
      <c r="AL216" s="43">
        <v>1.713143E-2</v>
      </c>
      <c r="AM216" s="230">
        <v>0.16548261684334184</v>
      </c>
      <c r="AN216" s="43">
        <v>0.72582720300000003</v>
      </c>
    </row>
    <row r="217" spans="1:40" x14ac:dyDescent="0.25">
      <c r="A217" s="134">
        <v>207</v>
      </c>
      <c r="B217" s="134" t="s">
        <v>209</v>
      </c>
      <c r="C217" s="134" t="s">
        <v>210</v>
      </c>
      <c r="D217" s="134" t="s">
        <v>211</v>
      </c>
      <c r="E217" s="134">
        <v>429</v>
      </c>
      <c r="F217" s="134">
        <v>856</v>
      </c>
      <c r="G217" s="134">
        <v>36</v>
      </c>
      <c r="H217" s="134">
        <v>363</v>
      </c>
      <c r="I217" s="200">
        <v>5.5929930496900003E-2</v>
      </c>
      <c r="J217" s="134">
        <v>1219</v>
      </c>
      <c r="K217" s="134">
        <v>21795.128103499999</v>
      </c>
      <c r="L217" s="42">
        <v>0.69596368068199999</v>
      </c>
      <c r="M217" s="42">
        <v>0.45833333333300003</v>
      </c>
      <c r="N217" s="134">
        <v>1</v>
      </c>
      <c r="O217" s="43" t="s">
        <v>627</v>
      </c>
      <c r="P217" s="43">
        <f t="shared" si="47"/>
        <v>11.315733551357503</v>
      </c>
      <c r="Q217" s="43">
        <f t="shared" si="48"/>
        <v>0.12886853600000001</v>
      </c>
      <c r="R217" s="43">
        <f t="shared" si="49"/>
        <v>5.3079554000000001E-2</v>
      </c>
      <c r="S217" s="43">
        <f t="shared" si="50"/>
        <v>0.69596368099999995</v>
      </c>
      <c r="T217" s="43">
        <f t="shared" si="51"/>
        <v>2.6671309189999999</v>
      </c>
      <c r="U217" s="43">
        <f t="shared" si="52"/>
        <v>6.6564821710000004</v>
      </c>
      <c r="V217" s="43">
        <f t="shared" si="53"/>
        <v>1.8661926999999998E-2</v>
      </c>
      <c r="W217" s="230">
        <f t="shared" si="54"/>
        <v>0.18010240785408999</v>
      </c>
      <c r="X217" s="43">
        <f t="shared" si="55"/>
        <v>0.71334264300000005</v>
      </c>
      <c r="Y217" s="43">
        <v>179.00966450000001</v>
      </c>
      <c r="Z217" s="43">
        <f t="shared" si="44"/>
        <v>0</v>
      </c>
      <c r="AA217" s="43">
        <f t="shared" si="45"/>
        <v>478718</v>
      </c>
      <c r="AB217" s="43">
        <f t="shared" si="46"/>
        <v>186107</v>
      </c>
      <c r="AC217" s="43">
        <f t="shared" si="56"/>
        <v>7.5967312731255288E-2</v>
      </c>
      <c r="AD217" s="43">
        <f t="shared" si="57"/>
        <v>0.80847972010000058</v>
      </c>
      <c r="AF217" s="43">
        <v>11.315733551357503</v>
      </c>
      <c r="AG217" s="43">
        <v>0.12886853600000001</v>
      </c>
      <c r="AH217" s="43">
        <v>5.3079554000000001E-2</v>
      </c>
      <c r="AI217" s="43">
        <v>0.69596368099999995</v>
      </c>
      <c r="AJ217" s="43">
        <v>2.6671309189999999</v>
      </c>
      <c r="AK217" s="43">
        <v>6.6564821710000004</v>
      </c>
      <c r="AL217" s="43">
        <v>1.8661926999999998E-2</v>
      </c>
      <c r="AM217" s="230">
        <v>0.18010240785408999</v>
      </c>
      <c r="AN217" s="43">
        <v>0.71334264300000005</v>
      </c>
    </row>
    <row r="218" spans="1:40" x14ac:dyDescent="0.25">
      <c r="A218" s="134">
        <v>208</v>
      </c>
      <c r="B218" s="134" t="s">
        <v>209</v>
      </c>
      <c r="C218" s="134" t="s">
        <v>210</v>
      </c>
      <c r="D218" s="134" t="s">
        <v>211</v>
      </c>
      <c r="E218" s="134">
        <v>626</v>
      </c>
      <c r="F218" s="134">
        <v>1250</v>
      </c>
      <c r="G218" s="134">
        <v>81</v>
      </c>
      <c r="H218" s="134">
        <v>407</v>
      </c>
      <c r="I218" s="200">
        <v>0.126715070525</v>
      </c>
      <c r="J218" s="134">
        <v>1657</v>
      </c>
      <c r="K218" s="134">
        <v>13076.5819183</v>
      </c>
      <c r="L218" s="42">
        <v>0.72548720340299999</v>
      </c>
      <c r="M218" s="42">
        <v>0.39399806389199998</v>
      </c>
      <c r="N218" s="134">
        <v>0</v>
      </c>
      <c r="O218" s="43" t="s">
        <v>664</v>
      </c>
      <c r="P218" s="43">
        <f t="shared" si="47"/>
        <v>11.232611200159905</v>
      </c>
      <c r="Q218" s="43">
        <f t="shared" si="48"/>
        <v>0.11516796</v>
      </c>
      <c r="R218" s="43">
        <f t="shared" si="49"/>
        <v>4.9677081999999997E-2</v>
      </c>
      <c r="S218" s="43">
        <f t="shared" si="50"/>
        <v>0.72548720300000002</v>
      </c>
      <c r="T218" s="43">
        <f t="shared" si="51"/>
        <v>2.7249395359999999</v>
      </c>
      <c r="U218" s="43">
        <f t="shared" si="52"/>
        <v>6.8957351569999998</v>
      </c>
      <c r="V218" s="43">
        <f t="shared" si="53"/>
        <v>1.6863300000000001E-2</v>
      </c>
      <c r="W218" s="230">
        <f t="shared" si="54"/>
        <v>0.16341993626137061</v>
      </c>
      <c r="X218" s="43">
        <f t="shared" si="55"/>
        <v>0.75079673300000005</v>
      </c>
      <c r="Y218" s="43">
        <v>179.6596969</v>
      </c>
      <c r="Z218" s="43">
        <f t="shared" si="44"/>
        <v>0</v>
      </c>
      <c r="AA218" s="43">
        <f t="shared" si="45"/>
        <v>478718</v>
      </c>
      <c r="AB218" s="43">
        <f t="shared" si="46"/>
        <v>186107</v>
      </c>
      <c r="AC218" s="43">
        <f t="shared" si="56"/>
        <v>7.5967312731255288E-2</v>
      </c>
      <c r="AD218" s="43">
        <f t="shared" si="57"/>
        <v>0.80847972010000058</v>
      </c>
      <c r="AF218" s="43">
        <v>11.232611200159905</v>
      </c>
      <c r="AG218" s="43">
        <v>0.11516796</v>
      </c>
      <c r="AH218" s="43">
        <v>4.9677081999999997E-2</v>
      </c>
      <c r="AI218" s="43">
        <v>0.72548720300000002</v>
      </c>
      <c r="AJ218" s="43">
        <v>2.7249395359999999</v>
      </c>
      <c r="AK218" s="43">
        <v>6.8957351569999998</v>
      </c>
      <c r="AL218" s="43">
        <v>1.6863300000000001E-2</v>
      </c>
      <c r="AM218" s="230">
        <v>0.16341993626137061</v>
      </c>
      <c r="AN218" s="43">
        <v>0.75079673300000005</v>
      </c>
    </row>
    <row r="219" spans="1:40" x14ac:dyDescent="0.25">
      <c r="A219" s="134">
        <v>209</v>
      </c>
      <c r="B219" s="134" t="s">
        <v>209</v>
      </c>
      <c r="C219" s="134" t="s">
        <v>210</v>
      </c>
      <c r="D219" s="134" t="s">
        <v>211</v>
      </c>
      <c r="E219" s="134">
        <v>787</v>
      </c>
      <c r="F219" s="134">
        <v>1296</v>
      </c>
      <c r="G219" s="134">
        <v>68</v>
      </c>
      <c r="H219" s="134">
        <v>504</v>
      </c>
      <c r="I219" s="200">
        <v>6.6082851677899998E-2</v>
      </c>
      <c r="J219" s="134">
        <v>1800</v>
      </c>
      <c r="K219" s="134">
        <v>27238.533965999999</v>
      </c>
      <c r="L219" s="42">
        <v>0.81631530091799998</v>
      </c>
      <c r="M219" s="42">
        <v>0.39039504260300001</v>
      </c>
      <c r="N219" s="134">
        <v>0</v>
      </c>
      <c r="O219" s="43" t="s">
        <v>664</v>
      </c>
      <c r="P219" s="43">
        <f t="shared" si="47"/>
        <v>10.87291686735219</v>
      </c>
      <c r="Q219" s="43">
        <f t="shared" si="48"/>
        <v>6.3169277999999995E-2</v>
      </c>
      <c r="R219" s="43">
        <f t="shared" si="49"/>
        <v>1.5454989000000001E-2</v>
      </c>
      <c r="S219" s="43">
        <f t="shared" si="50"/>
        <v>0.81631530100000005</v>
      </c>
      <c r="T219" s="43">
        <f t="shared" si="51"/>
        <v>2.78314372</v>
      </c>
      <c r="U219" s="43">
        <f t="shared" si="52"/>
        <v>6.7429679780000003</v>
      </c>
      <c r="V219" s="43">
        <f t="shared" si="53"/>
        <v>1.8379006E-2</v>
      </c>
      <c r="W219" s="230">
        <f t="shared" si="54"/>
        <v>0.14274232594170619</v>
      </c>
      <c r="X219" s="43">
        <f t="shared" si="55"/>
        <v>0.776653433</v>
      </c>
      <c r="Y219" s="43">
        <v>178.98430930000001</v>
      </c>
      <c r="Z219" s="43">
        <f t="shared" si="44"/>
        <v>0</v>
      </c>
      <c r="AA219" s="43">
        <f t="shared" si="45"/>
        <v>478718</v>
      </c>
      <c r="AB219" s="43">
        <f t="shared" si="46"/>
        <v>186107</v>
      </c>
      <c r="AC219" s="43">
        <f t="shared" si="56"/>
        <v>7.5967312731255288E-2</v>
      </c>
      <c r="AD219" s="43">
        <f t="shared" si="57"/>
        <v>0.80847972010000058</v>
      </c>
      <c r="AF219" s="43">
        <v>10.87291686735219</v>
      </c>
      <c r="AG219" s="43">
        <v>6.3169277999999995E-2</v>
      </c>
      <c r="AH219" s="43">
        <v>1.5454989000000001E-2</v>
      </c>
      <c r="AI219" s="43">
        <v>0.81631530100000005</v>
      </c>
      <c r="AJ219" s="43">
        <v>2.78314372</v>
      </c>
      <c r="AK219" s="43">
        <v>6.7429679780000003</v>
      </c>
      <c r="AL219" s="43">
        <v>1.8379006E-2</v>
      </c>
      <c r="AM219" s="230">
        <v>0.14274232594170619</v>
      </c>
      <c r="AN219" s="43">
        <v>0.776653433</v>
      </c>
    </row>
    <row r="220" spans="1:40" x14ac:dyDescent="0.25">
      <c r="A220" s="134">
        <v>210</v>
      </c>
      <c r="B220" s="134" t="s">
        <v>209</v>
      </c>
      <c r="C220" s="134" t="s">
        <v>210</v>
      </c>
      <c r="D220" s="134" t="s">
        <v>211</v>
      </c>
      <c r="E220" s="134">
        <v>772</v>
      </c>
      <c r="F220" s="134">
        <v>1270</v>
      </c>
      <c r="G220" s="134">
        <v>48</v>
      </c>
      <c r="H220" s="134">
        <v>1029</v>
      </c>
      <c r="I220" s="200">
        <v>8.0748782632200006E-2</v>
      </c>
      <c r="J220" s="134">
        <v>2299</v>
      </c>
      <c r="K220" s="134">
        <v>28471.017457599999</v>
      </c>
      <c r="L220" s="42">
        <v>0.77350295824399995</v>
      </c>
      <c r="M220" s="42">
        <v>0.57134925041600004</v>
      </c>
      <c r="N220" s="134">
        <v>0</v>
      </c>
      <c r="O220" s="43" t="s">
        <v>627</v>
      </c>
      <c r="P220" s="43">
        <f t="shared" si="47"/>
        <v>11.051871310217862</v>
      </c>
      <c r="Q220" s="43">
        <f t="shared" si="48"/>
        <v>8.4448665000000006E-2</v>
      </c>
      <c r="R220" s="43">
        <f t="shared" si="49"/>
        <v>1.6463713000000001E-2</v>
      </c>
      <c r="S220" s="43">
        <f t="shared" si="50"/>
        <v>0.77350295800000002</v>
      </c>
      <c r="T220" s="43">
        <f t="shared" si="51"/>
        <v>2.5872254020000001</v>
      </c>
      <c r="U220" s="43">
        <f t="shared" si="52"/>
        <v>6.6650427409999997</v>
      </c>
      <c r="V220" s="43">
        <f t="shared" si="53"/>
        <v>2.3001926999999998E-2</v>
      </c>
      <c r="W220" s="230">
        <f t="shared" si="54"/>
        <v>0.16545874581953746</v>
      </c>
      <c r="X220" s="43">
        <f t="shared" si="55"/>
        <v>0.72977323299999997</v>
      </c>
      <c r="Y220" s="43">
        <v>168.24243010000001</v>
      </c>
      <c r="Z220" s="43">
        <f t="shared" si="44"/>
        <v>0</v>
      </c>
      <c r="AA220" s="43">
        <f t="shared" si="45"/>
        <v>478718</v>
      </c>
      <c r="AB220" s="43">
        <f t="shared" si="46"/>
        <v>186107</v>
      </c>
      <c r="AC220" s="43">
        <f t="shared" si="56"/>
        <v>7.5967312731255288E-2</v>
      </c>
      <c r="AD220" s="43">
        <f t="shared" si="57"/>
        <v>0.80847972010000058</v>
      </c>
      <c r="AF220" s="43">
        <v>11.051871310217862</v>
      </c>
      <c r="AG220" s="43">
        <v>8.4448665000000006E-2</v>
      </c>
      <c r="AH220" s="43">
        <v>1.6463713000000001E-2</v>
      </c>
      <c r="AI220" s="43">
        <v>0.77350295800000002</v>
      </c>
      <c r="AJ220" s="43">
        <v>2.5872254020000001</v>
      </c>
      <c r="AK220" s="43">
        <v>6.6650427409999997</v>
      </c>
      <c r="AL220" s="43">
        <v>2.3001926999999998E-2</v>
      </c>
      <c r="AM220" s="230">
        <v>0.16545874581953746</v>
      </c>
      <c r="AN220" s="43">
        <v>0.72977323299999997</v>
      </c>
    </row>
    <row r="221" spans="1:40" x14ac:dyDescent="0.25">
      <c r="A221" s="134">
        <v>211</v>
      </c>
      <c r="B221" s="134" t="s">
        <v>209</v>
      </c>
      <c r="C221" s="134" t="s">
        <v>210</v>
      </c>
      <c r="D221" s="134" t="s">
        <v>211</v>
      </c>
      <c r="E221" s="134">
        <v>808</v>
      </c>
      <c r="F221" s="134">
        <v>1331</v>
      </c>
      <c r="G221" s="134">
        <v>37</v>
      </c>
      <c r="H221" s="134">
        <v>495</v>
      </c>
      <c r="I221" s="200">
        <v>7.5538526743599996E-2</v>
      </c>
      <c r="J221" s="134">
        <v>1826</v>
      </c>
      <c r="K221" s="134">
        <v>24173.095223299999</v>
      </c>
      <c r="L221" s="42">
        <v>0.781490297078</v>
      </c>
      <c r="M221" s="42">
        <v>0.379892555641</v>
      </c>
      <c r="N221" s="134">
        <v>0</v>
      </c>
      <c r="O221" s="43" t="s">
        <v>664</v>
      </c>
      <c r="P221" s="43">
        <f t="shared" si="47"/>
        <v>10.905779702888717</v>
      </c>
      <c r="Q221" s="43">
        <f t="shared" si="48"/>
        <v>8.4571377000000003E-2</v>
      </c>
      <c r="R221" s="43">
        <f t="shared" si="49"/>
        <v>1.8131297000000001E-2</v>
      </c>
      <c r="S221" s="43">
        <f t="shared" si="50"/>
        <v>0.78149029699999994</v>
      </c>
      <c r="T221" s="43">
        <f t="shared" si="51"/>
        <v>2.7239594720000002</v>
      </c>
      <c r="U221" s="43">
        <f t="shared" si="52"/>
        <v>6.7029710060000003</v>
      </c>
      <c r="V221" s="43">
        <f t="shared" si="53"/>
        <v>2.3527797E-2</v>
      </c>
      <c r="W221" s="230">
        <f t="shared" si="54"/>
        <v>0.17799758840079602</v>
      </c>
      <c r="X221" s="43">
        <f t="shared" si="55"/>
        <v>0.727548109</v>
      </c>
      <c r="Y221" s="43">
        <v>178.0565637</v>
      </c>
      <c r="Z221" s="43">
        <f t="shared" si="44"/>
        <v>0</v>
      </c>
      <c r="AA221" s="43">
        <f t="shared" si="45"/>
        <v>478718</v>
      </c>
      <c r="AB221" s="43">
        <f t="shared" si="46"/>
        <v>186107</v>
      </c>
      <c r="AC221" s="43">
        <f t="shared" si="56"/>
        <v>7.5967312731255288E-2</v>
      </c>
      <c r="AD221" s="43">
        <f t="shared" si="57"/>
        <v>0.80847972010000058</v>
      </c>
      <c r="AF221" s="43">
        <v>10.905779702888717</v>
      </c>
      <c r="AG221" s="43">
        <v>8.4571377000000003E-2</v>
      </c>
      <c r="AH221" s="43">
        <v>1.8131297000000001E-2</v>
      </c>
      <c r="AI221" s="43">
        <v>0.78149029699999994</v>
      </c>
      <c r="AJ221" s="43">
        <v>2.7239594720000002</v>
      </c>
      <c r="AK221" s="43">
        <v>6.7029710060000003</v>
      </c>
      <c r="AL221" s="43">
        <v>2.3527797E-2</v>
      </c>
      <c r="AM221" s="230">
        <v>0.17799758840079602</v>
      </c>
      <c r="AN221" s="43">
        <v>0.727548109</v>
      </c>
    </row>
    <row r="222" spans="1:40" x14ac:dyDescent="0.25">
      <c r="A222" s="134">
        <v>212</v>
      </c>
      <c r="B222" s="134" t="s">
        <v>209</v>
      </c>
      <c r="C222" s="134" t="s">
        <v>210</v>
      </c>
      <c r="D222" s="134" t="s">
        <v>211</v>
      </c>
      <c r="E222" s="134">
        <v>203</v>
      </c>
      <c r="F222" s="134">
        <v>338</v>
      </c>
      <c r="G222" s="134">
        <v>29</v>
      </c>
      <c r="H222" s="134">
        <v>3278</v>
      </c>
      <c r="I222" s="200">
        <v>4.5180795027699998E-2</v>
      </c>
      <c r="J222" s="134">
        <v>3616</v>
      </c>
      <c r="K222" s="134">
        <v>80034.005550000002</v>
      </c>
      <c r="L222" s="42">
        <v>0.77946509844400003</v>
      </c>
      <c r="M222" s="42">
        <v>0.94168342430300001</v>
      </c>
      <c r="N222" s="134">
        <v>0</v>
      </c>
      <c r="O222" s="43" t="s">
        <v>627</v>
      </c>
      <c r="P222" s="43">
        <f t="shared" si="47"/>
        <v>13.909959940298501</v>
      </c>
      <c r="Q222" s="43">
        <f t="shared" si="48"/>
        <v>0.100891622</v>
      </c>
      <c r="R222" s="43">
        <f t="shared" si="49"/>
        <v>1.1924728000000001E-2</v>
      </c>
      <c r="S222" s="43">
        <f t="shared" si="50"/>
        <v>0.77946509799999997</v>
      </c>
      <c r="T222" s="43">
        <f t="shared" si="51"/>
        <v>2.7410546849999999</v>
      </c>
      <c r="U222" s="43">
        <f t="shared" si="52"/>
        <v>8.2170653490000003</v>
      </c>
      <c r="V222" s="43">
        <f t="shared" si="53"/>
        <v>1.4205058E-2</v>
      </c>
      <c r="W222" s="230">
        <f t="shared" si="54"/>
        <v>0.14546542687783562</v>
      </c>
      <c r="X222" s="43">
        <f t="shared" si="55"/>
        <v>0.75976817799999996</v>
      </c>
      <c r="Y222" s="43">
        <v>106.7907647</v>
      </c>
      <c r="Z222" s="43">
        <f t="shared" si="44"/>
        <v>0</v>
      </c>
      <c r="AA222" s="43">
        <f t="shared" si="45"/>
        <v>478718</v>
      </c>
      <c r="AB222" s="43">
        <f t="shared" si="46"/>
        <v>186107</v>
      </c>
      <c r="AC222" s="43">
        <f t="shared" si="56"/>
        <v>7.5967312731255288E-2</v>
      </c>
      <c r="AD222" s="43">
        <f t="shared" si="57"/>
        <v>0.80847972010000058</v>
      </c>
      <c r="AF222" s="43">
        <v>13.909959940298501</v>
      </c>
      <c r="AG222" s="43">
        <v>0.100891622</v>
      </c>
      <c r="AH222" s="43">
        <v>1.1924728000000001E-2</v>
      </c>
      <c r="AI222" s="43">
        <v>0.77946509799999997</v>
      </c>
      <c r="AJ222" s="43">
        <v>2.7410546849999999</v>
      </c>
      <c r="AK222" s="43">
        <v>8.2170653490000003</v>
      </c>
      <c r="AL222" s="43">
        <v>1.4205058E-2</v>
      </c>
      <c r="AM222" s="230">
        <v>0.14546542687783562</v>
      </c>
      <c r="AN222" s="43">
        <v>0.75976817799999996</v>
      </c>
    </row>
    <row r="223" spans="1:40" x14ac:dyDescent="0.25">
      <c r="A223" s="134">
        <v>213</v>
      </c>
      <c r="B223" s="134" t="s">
        <v>209</v>
      </c>
      <c r="C223" s="134" t="s">
        <v>210</v>
      </c>
      <c r="D223" s="134" t="s">
        <v>211</v>
      </c>
      <c r="E223" s="134">
        <v>1563</v>
      </c>
      <c r="F223" s="134">
        <v>2606</v>
      </c>
      <c r="G223" s="134">
        <v>62</v>
      </c>
      <c r="H223" s="134">
        <v>2166</v>
      </c>
      <c r="I223" s="200">
        <v>9.8312264156100004E-2</v>
      </c>
      <c r="J223" s="134">
        <v>4772</v>
      </c>
      <c r="K223" s="134">
        <v>48539.213708099996</v>
      </c>
      <c r="L223" s="42">
        <v>0.74685379663100004</v>
      </c>
      <c r="M223" s="42">
        <v>0.58085277554299997</v>
      </c>
      <c r="N223" s="134">
        <v>0</v>
      </c>
      <c r="O223" s="43" t="s">
        <v>627</v>
      </c>
      <c r="P223" s="43">
        <f t="shared" si="47"/>
        <v>12.198774426817605</v>
      </c>
      <c r="Q223" s="43">
        <f t="shared" si="48"/>
        <v>9.2770242000000003E-2</v>
      </c>
      <c r="R223" s="43">
        <f t="shared" si="49"/>
        <v>1.5969694E-2</v>
      </c>
      <c r="S223" s="43">
        <f t="shared" si="50"/>
        <v>0.74685379699999999</v>
      </c>
      <c r="T223" s="43">
        <f t="shared" si="51"/>
        <v>2.5314756819999999</v>
      </c>
      <c r="U223" s="43">
        <f t="shared" si="52"/>
        <v>7.2279753050000002</v>
      </c>
      <c r="V223" s="43">
        <f t="shared" si="53"/>
        <v>2.2597699999999998E-2</v>
      </c>
      <c r="W223" s="230">
        <f t="shared" si="54"/>
        <v>0.17346869610405261</v>
      </c>
      <c r="X223" s="43">
        <f t="shared" si="55"/>
        <v>0.70686253099999996</v>
      </c>
      <c r="Y223" s="43">
        <v>96.317499560000002</v>
      </c>
      <c r="Z223" s="43">
        <f t="shared" si="44"/>
        <v>0</v>
      </c>
      <c r="AA223" s="43">
        <f t="shared" si="45"/>
        <v>478718</v>
      </c>
      <c r="AB223" s="43">
        <f t="shared" si="46"/>
        <v>186107</v>
      </c>
      <c r="AC223" s="43">
        <f t="shared" si="56"/>
        <v>7.5967312731255288E-2</v>
      </c>
      <c r="AD223" s="43">
        <f t="shared" si="57"/>
        <v>0.80847972010000058</v>
      </c>
      <c r="AF223" s="43">
        <v>12.198774426817605</v>
      </c>
      <c r="AG223" s="43">
        <v>9.2770242000000003E-2</v>
      </c>
      <c r="AH223" s="43">
        <v>1.5969694E-2</v>
      </c>
      <c r="AI223" s="43">
        <v>0.74685379699999999</v>
      </c>
      <c r="AJ223" s="43">
        <v>2.5314756819999999</v>
      </c>
      <c r="AK223" s="43">
        <v>7.2279753050000002</v>
      </c>
      <c r="AL223" s="43">
        <v>2.2597699999999998E-2</v>
      </c>
      <c r="AM223" s="230">
        <v>0.17346869610405261</v>
      </c>
      <c r="AN223" s="43">
        <v>0.70686253099999996</v>
      </c>
    </row>
    <row r="224" spans="1:40" x14ac:dyDescent="0.25">
      <c r="A224" s="134">
        <v>214</v>
      </c>
      <c r="B224" s="134" t="s">
        <v>209</v>
      </c>
      <c r="C224" s="134" t="s">
        <v>210</v>
      </c>
      <c r="D224" s="134" t="s">
        <v>211</v>
      </c>
      <c r="E224" s="134">
        <v>599</v>
      </c>
      <c r="F224" s="134">
        <v>1032</v>
      </c>
      <c r="G224" s="134">
        <v>32</v>
      </c>
      <c r="H224" s="134">
        <v>1733</v>
      </c>
      <c r="I224" s="200">
        <v>5.0295288386499999E-2</v>
      </c>
      <c r="J224" s="134">
        <v>2765</v>
      </c>
      <c r="K224" s="134">
        <v>54975.328479099997</v>
      </c>
      <c r="L224" s="42">
        <v>0.69864226136100005</v>
      </c>
      <c r="M224" s="42">
        <v>0.74313893653499996</v>
      </c>
      <c r="N224" s="134">
        <v>1</v>
      </c>
      <c r="O224" s="43" t="s">
        <v>627</v>
      </c>
      <c r="P224" s="43">
        <f t="shared" si="47"/>
        <v>13.008737400583623</v>
      </c>
      <c r="Q224" s="43">
        <f t="shared" si="48"/>
        <v>0.10934263499999999</v>
      </c>
      <c r="R224" s="43">
        <f t="shared" si="49"/>
        <v>1.5147308999999999E-2</v>
      </c>
      <c r="S224" s="43">
        <f t="shared" si="50"/>
        <v>0.69864226100000004</v>
      </c>
      <c r="T224" s="43">
        <f t="shared" si="51"/>
        <v>2.322387065</v>
      </c>
      <c r="U224" s="43">
        <f t="shared" si="52"/>
        <v>6.5429167809999997</v>
      </c>
      <c r="V224" s="43">
        <f t="shared" si="53"/>
        <v>2.2527035000000001E-2</v>
      </c>
      <c r="W224" s="230">
        <f t="shared" si="54"/>
        <v>0.19314941820143328</v>
      </c>
      <c r="X224" s="43">
        <f t="shared" si="55"/>
        <v>0.64937967200000002</v>
      </c>
      <c r="Y224" s="43">
        <v>181.25446640000001</v>
      </c>
      <c r="Z224" s="43">
        <f t="shared" si="44"/>
        <v>0</v>
      </c>
      <c r="AA224" s="43">
        <f t="shared" si="45"/>
        <v>478718</v>
      </c>
      <c r="AB224" s="43">
        <f t="shared" si="46"/>
        <v>186107</v>
      </c>
      <c r="AC224" s="43">
        <f t="shared" si="56"/>
        <v>7.5967312731255288E-2</v>
      </c>
      <c r="AD224" s="43">
        <f t="shared" si="57"/>
        <v>0.80847972010000058</v>
      </c>
      <c r="AF224" s="43">
        <v>13.008737400583623</v>
      </c>
      <c r="AG224" s="43">
        <v>0.10934263499999999</v>
      </c>
      <c r="AH224" s="43">
        <v>1.5147308999999999E-2</v>
      </c>
      <c r="AI224" s="43">
        <v>0.69864226100000004</v>
      </c>
      <c r="AJ224" s="43">
        <v>2.322387065</v>
      </c>
      <c r="AK224" s="43">
        <v>6.5429167809999997</v>
      </c>
      <c r="AL224" s="43">
        <v>2.2527035000000001E-2</v>
      </c>
      <c r="AM224" s="230">
        <v>0.19314941820143328</v>
      </c>
      <c r="AN224" s="43">
        <v>0.64937967200000002</v>
      </c>
    </row>
    <row r="225" spans="1:40" x14ac:dyDescent="0.25">
      <c r="A225" s="134">
        <v>215</v>
      </c>
      <c r="B225" s="134" t="s">
        <v>209</v>
      </c>
      <c r="C225" s="134" t="s">
        <v>210</v>
      </c>
      <c r="D225" s="134" t="s">
        <v>211</v>
      </c>
      <c r="E225" s="134">
        <v>1289</v>
      </c>
      <c r="F225" s="134">
        <v>2220</v>
      </c>
      <c r="G225" s="134">
        <v>45</v>
      </c>
      <c r="H225" s="134">
        <v>152</v>
      </c>
      <c r="I225" s="200">
        <v>7.1962637780700001E-2</v>
      </c>
      <c r="J225" s="134">
        <v>2372</v>
      </c>
      <c r="K225" s="134">
        <v>32961.548841900003</v>
      </c>
      <c r="L225" s="42">
        <v>0.69816941893899997</v>
      </c>
      <c r="M225" s="42">
        <v>0.105482303956</v>
      </c>
      <c r="N225" s="134">
        <v>0</v>
      </c>
      <c r="O225" s="43" t="s">
        <v>627</v>
      </c>
      <c r="P225" s="43">
        <f t="shared" si="47"/>
        <v>10.339326177155787</v>
      </c>
      <c r="Q225" s="43">
        <f t="shared" si="48"/>
        <v>0.108172639</v>
      </c>
      <c r="R225" s="43">
        <f t="shared" si="49"/>
        <v>1.6694015E-2</v>
      </c>
      <c r="S225" s="43">
        <f t="shared" si="50"/>
        <v>0.69816941899999996</v>
      </c>
      <c r="T225" s="43">
        <f t="shared" si="51"/>
        <v>2.4231798090000001</v>
      </c>
      <c r="U225" s="43">
        <f t="shared" si="52"/>
        <v>5.9581311169999998</v>
      </c>
      <c r="V225" s="43">
        <f t="shared" si="53"/>
        <v>1.8056632999999999E-2</v>
      </c>
      <c r="W225" s="230">
        <f t="shared" si="54"/>
        <v>0.23921440052458595</v>
      </c>
      <c r="X225" s="43">
        <f t="shared" si="55"/>
        <v>0.59778010599999998</v>
      </c>
      <c r="Y225" s="43">
        <v>90.082187129999994</v>
      </c>
      <c r="Z225" s="43">
        <f t="shared" si="44"/>
        <v>0</v>
      </c>
      <c r="AA225" s="43">
        <f t="shared" si="45"/>
        <v>478718</v>
      </c>
      <c r="AB225" s="43">
        <f t="shared" si="46"/>
        <v>186107</v>
      </c>
      <c r="AC225" s="43">
        <f t="shared" si="56"/>
        <v>7.5967312731255288E-2</v>
      </c>
      <c r="AD225" s="43">
        <f t="shared" si="57"/>
        <v>0.80847972010000058</v>
      </c>
      <c r="AF225" s="43">
        <v>10.339326177155787</v>
      </c>
      <c r="AG225" s="43">
        <v>0.108172639</v>
      </c>
      <c r="AH225" s="43">
        <v>1.6694015E-2</v>
      </c>
      <c r="AI225" s="43">
        <v>0.69816941899999996</v>
      </c>
      <c r="AJ225" s="43">
        <v>2.4231798090000001</v>
      </c>
      <c r="AK225" s="43">
        <v>5.9581311169999998</v>
      </c>
      <c r="AL225" s="43">
        <v>1.8056632999999999E-2</v>
      </c>
      <c r="AM225" s="230">
        <v>0.23921440052458595</v>
      </c>
      <c r="AN225" s="43">
        <v>0.59778010599999998</v>
      </c>
    </row>
    <row r="226" spans="1:40" x14ac:dyDescent="0.25">
      <c r="A226" s="134">
        <v>216</v>
      </c>
      <c r="B226" s="134" t="s">
        <v>209</v>
      </c>
      <c r="C226" s="134" t="s">
        <v>210</v>
      </c>
      <c r="D226" s="134" t="s">
        <v>211</v>
      </c>
      <c r="E226" s="134">
        <v>1336</v>
      </c>
      <c r="F226" s="134">
        <v>2300</v>
      </c>
      <c r="G226" s="134">
        <v>53</v>
      </c>
      <c r="H226" s="134">
        <v>445</v>
      </c>
      <c r="I226" s="200">
        <v>8.4206697804100006E-2</v>
      </c>
      <c r="J226" s="134">
        <v>2745</v>
      </c>
      <c r="K226" s="134">
        <v>32598.357037900001</v>
      </c>
      <c r="L226" s="42">
        <v>0.70012594854999999</v>
      </c>
      <c r="M226" s="42">
        <v>0.24985962942199999</v>
      </c>
      <c r="N226" s="134">
        <v>0</v>
      </c>
      <c r="O226" s="43" t="s">
        <v>627</v>
      </c>
      <c r="P226" s="43">
        <f t="shared" si="47"/>
        <v>11.124736292629645</v>
      </c>
      <c r="Q226" s="43">
        <f t="shared" si="48"/>
        <v>0.103007022</v>
      </c>
      <c r="R226" s="43">
        <f t="shared" si="49"/>
        <v>1.7431279000000001E-2</v>
      </c>
      <c r="S226" s="43">
        <f t="shared" si="50"/>
        <v>0.70012594900000003</v>
      </c>
      <c r="T226" s="43">
        <f t="shared" si="51"/>
        <v>2.3759435880000002</v>
      </c>
      <c r="U226" s="43">
        <f t="shared" si="52"/>
        <v>6.0617909140000004</v>
      </c>
      <c r="V226" s="43">
        <f t="shared" si="53"/>
        <v>2.226382E-2</v>
      </c>
      <c r="W226" s="230">
        <f t="shared" si="54"/>
        <v>0.21153738518274365</v>
      </c>
      <c r="X226" s="43">
        <f t="shared" si="55"/>
        <v>0.61652746599999997</v>
      </c>
      <c r="Y226" s="43">
        <v>156.95598759999999</v>
      </c>
      <c r="Z226" s="43">
        <f t="shared" si="44"/>
        <v>0</v>
      </c>
      <c r="AA226" s="43">
        <f t="shared" si="45"/>
        <v>478718</v>
      </c>
      <c r="AB226" s="43">
        <f t="shared" si="46"/>
        <v>186107</v>
      </c>
      <c r="AC226" s="43">
        <f t="shared" si="56"/>
        <v>7.5967312731255288E-2</v>
      </c>
      <c r="AD226" s="43">
        <f t="shared" si="57"/>
        <v>0.80847972010000058</v>
      </c>
      <c r="AF226" s="43">
        <v>11.124736292629645</v>
      </c>
      <c r="AG226" s="43">
        <v>0.103007022</v>
      </c>
      <c r="AH226" s="43">
        <v>1.7431279000000001E-2</v>
      </c>
      <c r="AI226" s="43">
        <v>0.70012594900000003</v>
      </c>
      <c r="AJ226" s="43">
        <v>2.3759435880000002</v>
      </c>
      <c r="AK226" s="43">
        <v>6.0617909140000004</v>
      </c>
      <c r="AL226" s="43">
        <v>2.226382E-2</v>
      </c>
      <c r="AM226" s="230">
        <v>0.21153738518274365</v>
      </c>
      <c r="AN226" s="43">
        <v>0.61652746599999997</v>
      </c>
    </row>
    <row r="227" spans="1:40" x14ac:dyDescent="0.25">
      <c r="A227" s="134">
        <v>217</v>
      </c>
      <c r="B227" s="134" t="s">
        <v>209</v>
      </c>
      <c r="C227" s="134" t="s">
        <v>210</v>
      </c>
      <c r="D227" s="134" t="s">
        <v>211</v>
      </c>
      <c r="E227" s="134">
        <v>414</v>
      </c>
      <c r="F227" s="134">
        <v>713</v>
      </c>
      <c r="G227" s="134">
        <v>28</v>
      </c>
      <c r="H227" s="134">
        <v>1666</v>
      </c>
      <c r="I227" s="200">
        <v>4.3795756683600001E-2</v>
      </c>
      <c r="J227" s="134">
        <v>2379</v>
      </c>
      <c r="K227" s="134">
        <v>54320.3310126</v>
      </c>
      <c r="L227" s="42">
        <v>0.74820644323200003</v>
      </c>
      <c r="M227" s="42">
        <v>0.80096153846200002</v>
      </c>
      <c r="N227" s="134">
        <v>0</v>
      </c>
      <c r="O227" s="43" t="s">
        <v>627</v>
      </c>
      <c r="P227" s="43">
        <f t="shared" si="47"/>
        <v>12.770005646070782</v>
      </c>
      <c r="Q227" s="43">
        <f t="shared" si="48"/>
        <v>0.10270051500000001</v>
      </c>
      <c r="R227" s="43">
        <f t="shared" si="49"/>
        <v>1.6105655E-2</v>
      </c>
      <c r="S227" s="43">
        <f t="shared" si="50"/>
        <v>0.74820644300000005</v>
      </c>
      <c r="T227" s="43">
        <f t="shared" si="51"/>
        <v>2.6606525329999999</v>
      </c>
      <c r="U227" s="43">
        <f t="shared" si="52"/>
        <v>7.001036042</v>
      </c>
      <c r="V227" s="43">
        <f t="shared" si="53"/>
        <v>2.0986273999999999E-2</v>
      </c>
      <c r="W227" s="230">
        <f t="shared" si="54"/>
        <v>0.16101246083003545</v>
      </c>
      <c r="X227" s="43">
        <f t="shared" si="55"/>
        <v>0.719373869</v>
      </c>
      <c r="Y227" s="43">
        <v>199.3574357</v>
      </c>
      <c r="Z227" s="43">
        <f t="shared" si="44"/>
        <v>0</v>
      </c>
      <c r="AA227" s="43">
        <f t="shared" si="45"/>
        <v>478718</v>
      </c>
      <c r="AB227" s="43">
        <f t="shared" si="46"/>
        <v>186107</v>
      </c>
      <c r="AC227" s="43">
        <f t="shared" si="56"/>
        <v>7.5967312731255288E-2</v>
      </c>
      <c r="AD227" s="43">
        <f t="shared" si="57"/>
        <v>0.80847972010000058</v>
      </c>
      <c r="AF227" s="43">
        <v>12.770005646070782</v>
      </c>
      <c r="AG227" s="43">
        <v>0.10270051500000001</v>
      </c>
      <c r="AH227" s="43">
        <v>1.6105655E-2</v>
      </c>
      <c r="AI227" s="43">
        <v>0.74820644300000005</v>
      </c>
      <c r="AJ227" s="43">
        <v>2.6606525329999999</v>
      </c>
      <c r="AK227" s="43">
        <v>7.001036042</v>
      </c>
      <c r="AL227" s="43">
        <v>2.0986273999999999E-2</v>
      </c>
      <c r="AM227" s="230">
        <v>0.16101246083003545</v>
      </c>
      <c r="AN227" s="43">
        <v>0.719373869</v>
      </c>
    </row>
    <row r="228" spans="1:40" x14ac:dyDescent="0.25">
      <c r="A228" s="134">
        <v>218</v>
      </c>
      <c r="B228" s="134" t="s">
        <v>209</v>
      </c>
      <c r="C228" s="134" t="s">
        <v>210</v>
      </c>
      <c r="D228" s="134" t="s">
        <v>211</v>
      </c>
      <c r="E228" s="134">
        <v>690</v>
      </c>
      <c r="F228" s="134">
        <v>1188</v>
      </c>
      <c r="G228" s="134">
        <v>48</v>
      </c>
      <c r="H228" s="134">
        <v>167</v>
      </c>
      <c r="I228" s="200">
        <v>7.5844551671299998E-2</v>
      </c>
      <c r="J228" s="134">
        <v>1355</v>
      </c>
      <c r="K228" s="134">
        <v>17865.488952600001</v>
      </c>
      <c r="L228" s="42">
        <v>0.72629886607899996</v>
      </c>
      <c r="M228" s="42">
        <v>0.19486581096799999</v>
      </c>
      <c r="N228" s="134">
        <v>0</v>
      </c>
      <c r="O228" s="43" t="s">
        <v>627</v>
      </c>
      <c r="P228" s="43">
        <f t="shared" si="47"/>
        <v>10.793837741333373</v>
      </c>
      <c r="Q228" s="43">
        <f t="shared" si="48"/>
        <v>9.8691001E-2</v>
      </c>
      <c r="R228" s="43">
        <f t="shared" si="49"/>
        <v>1.6605185000000001E-2</v>
      </c>
      <c r="S228" s="43">
        <f t="shared" si="50"/>
        <v>0.72629886600000004</v>
      </c>
      <c r="T228" s="43">
        <f t="shared" si="51"/>
        <v>2.4404065290000001</v>
      </c>
      <c r="U228" s="43">
        <f t="shared" si="52"/>
        <v>6.2824360730000004</v>
      </c>
      <c r="V228" s="43">
        <f t="shared" si="53"/>
        <v>1.702596E-2</v>
      </c>
      <c r="W228" s="230">
        <f t="shared" si="54"/>
        <v>0.1965948080533437</v>
      </c>
      <c r="X228" s="43">
        <f t="shared" si="55"/>
        <v>0.66917848099999999</v>
      </c>
      <c r="Y228" s="43">
        <v>116.8565187</v>
      </c>
      <c r="Z228" s="43">
        <f t="shared" si="44"/>
        <v>0</v>
      </c>
      <c r="AA228" s="43">
        <f t="shared" si="45"/>
        <v>478718</v>
      </c>
      <c r="AB228" s="43">
        <f t="shared" si="46"/>
        <v>186107</v>
      </c>
      <c r="AC228" s="43">
        <f t="shared" si="56"/>
        <v>7.5967312731255288E-2</v>
      </c>
      <c r="AD228" s="43">
        <f t="shared" si="57"/>
        <v>0.80847972010000058</v>
      </c>
      <c r="AF228" s="43">
        <v>10.793837741333373</v>
      </c>
      <c r="AG228" s="43">
        <v>9.8691001E-2</v>
      </c>
      <c r="AH228" s="43">
        <v>1.6605185000000001E-2</v>
      </c>
      <c r="AI228" s="43">
        <v>0.72629886600000004</v>
      </c>
      <c r="AJ228" s="43">
        <v>2.4404065290000001</v>
      </c>
      <c r="AK228" s="43">
        <v>6.2824360730000004</v>
      </c>
      <c r="AL228" s="43">
        <v>1.702596E-2</v>
      </c>
      <c r="AM228" s="230">
        <v>0.1965948080533437</v>
      </c>
      <c r="AN228" s="43">
        <v>0.66917848099999999</v>
      </c>
    </row>
    <row r="229" spans="1:40" x14ac:dyDescent="0.25">
      <c r="A229" s="134">
        <v>219</v>
      </c>
      <c r="B229" s="134" t="s">
        <v>209</v>
      </c>
      <c r="C229" s="134" t="s">
        <v>210</v>
      </c>
      <c r="D229" s="134" t="s">
        <v>211</v>
      </c>
      <c r="E229" s="134">
        <v>1</v>
      </c>
      <c r="F229" s="134">
        <v>2</v>
      </c>
      <c r="G229" s="134">
        <v>22</v>
      </c>
      <c r="H229" s="134">
        <v>8328</v>
      </c>
      <c r="I229" s="200">
        <v>3.4559432148400002E-2</v>
      </c>
      <c r="J229" s="134">
        <v>8330</v>
      </c>
      <c r="K229" s="134">
        <v>241034.05299699999</v>
      </c>
      <c r="L229" s="42">
        <v>0.59065458591700004</v>
      </c>
      <c r="M229" s="42">
        <v>0.99987993756799998</v>
      </c>
      <c r="N229" s="134">
        <v>1</v>
      </c>
      <c r="O229" s="43" t="s">
        <v>627</v>
      </c>
      <c r="P229" s="43">
        <f t="shared" si="47"/>
        <v>17.333585575715716</v>
      </c>
      <c r="Q229" s="43">
        <f t="shared" si="48"/>
        <v>0.25682876999999998</v>
      </c>
      <c r="R229" s="43">
        <f t="shared" si="49"/>
        <v>1.1993508999999999E-2</v>
      </c>
      <c r="S229" s="43">
        <f t="shared" si="50"/>
        <v>0.59065458599999998</v>
      </c>
      <c r="T229" s="43">
        <f t="shared" si="51"/>
        <v>2.8304099749999998</v>
      </c>
      <c r="U229" s="43">
        <f t="shared" si="52"/>
        <v>7.082279464</v>
      </c>
      <c r="V229" s="43">
        <f t="shared" si="53"/>
        <v>1.4894951999999999E-2</v>
      </c>
      <c r="W229" s="230">
        <f t="shared" si="54"/>
        <v>0.4644550198948873</v>
      </c>
      <c r="X229" s="43">
        <f t="shared" si="55"/>
        <v>0.427058518</v>
      </c>
      <c r="Y229" s="43">
        <v>91.740541390000004</v>
      </c>
      <c r="Z229" s="43">
        <f t="shared" si="44"/>
        <v>0</v>
      </c>
      <c r="AA229" s="43">
        <f t="shared" si="45"/>
        <v>478718</v>
      </c>
      <c r="AB229" s="43">
        <f t="shared" si="46"/>
        <v>186107</v>
      </c>
      <c r="AC229" s="43">
        <f t="shared" si="56"/>
        <v>7.5967312731255288E-2</v>
      </c>
      <c r="AD229" s="43">
        <f t="shared" si="57"/>
        <v>0.80847972010000058</v>
      </c>
      <c r="AF229" s="43">
        <v>17.333585575715716</v>
      </c>
      <c r="AG229" s="43">
        <v>0.25682876999999998</v>
      </c>
      <c r="AH229" s="43">
        <v>1.1993508999999999E-2</v>
      </c>
      <c r="AI229" s="43">
        <v>0.59065458599999998</v>
      </c>
      <c r="AJ229" s="43">
        <v>2.8304099749999998</v>
      </c>
      <c r="AK229" s="43">
        <v>7.082279464</v>
      </c>
      <c r="AL229" s="43">
        <v>1.4894951999999999E-2</v>
      </c>
      <c r="AM229" s="230">
        <v>0.4644550198948873</v>
      </c>
      <c r="AN229" s="43">
        <v>0.427058518</v>
      </c>
    </row>
    <row r="230" spans="1:40" x14ac:dyDescent="0.25">
      <c r="A230" s="134">
        <v>220</v>
      </c>
      <c r="B230" s="134" t="s">
        <v>209</v>
      </c>
      <c r="C230" s="134" t="s">
        <v>210</v>
      </c>
      <c r="D230" s="134" t="s">
        <v>211</v>
      </c>
      <c r="E230" s="134">
        <v>1</v>
      </c>
      <c r="F230" s="134">
        <v>2</v>
      </c>
      <c r="G230" s="134">
        <v>12</v>
      </c>
      <c r="H230" s="134">
        <v>736</v>
      </c>
      <c r="I230" s="200">
        <v>1.8997765862600002E-2</v>
      </c>
      <c r="J230" s="134">
        <v>738</v>
      </c>
      <c r="K230" s="134">
        <v>38846.673094999998</v>
      </c>
      <c r="L230" s="42">
        <v>0.62493485971700002</v>
      </c>
      <c r="M230" s="42">
        <v>0.99864314789700004</v>
      </c>
      <c r="N230" s="134">
        <v>1</v>
      </c>
      <c r="O230" s="43" t="s">
        <v>627</v>
      </c>
      <c r="P230" s="43">
        <f t="shared" si="47"/>
        <v>16.392997421250765</v>
      </c>
      <c r="Q230" s="43">
        <f t="shared" si="48"/>
        <v>0.21314741000000001</v>
      </c>
      <c r="R230" s="43">
        <f t="shared" si="49"/>
        <v>1.3221376E-2</v>
      </c>
      <c r="S230" s="43">
        <f t="shared" si="50"/>
        <v>0.62493485999999998</v>
      </c>
      <c r="T230" s="43">
        <f t="shared" si="51"/>
        <v>2.8683206110000001</v>
      </c>
      <c r="U230" s="43">
        <f t="shared" si="52"/>
        <v>6.7308643369999999</v>
      </c>
      <c r="V230" s="43">
        <f t="shared" si="53"/>
        <v>1.791655E-2</v>
      </c>
      <c r="W230" s="230">
        <f t="shared" si="54"/>
        <v>0.3679907010301014</v>
      </c>
      <c r="X230" s="43">
        <f t="shared" si="55"/>
        <v>0.50923884699999999</v>
      </c>
      <c r="Y230" s="43">
        <v>80.404692240000003</v>
      </c>
      <c r="Z230" s="43">
        <f t="shared" si="44"/>
        <v>0</v>
      </c>
      <c r="AA230" s="43">
        <f t="shared" si="45"/>
        <v>478718</v>
      </c>
      <c r="AB230" s="43">
        <f t="shared" si="46"/>
        <v>186107</v>
      </c>
      <c r="AC230" s="43">
        <f t="shared" si="56"/>
        <v>7.5967312731255288E-2</v>
      </c>
      <c r="AD230" s="43">
        <f t="shared" si="57"/>
        <v>0.80847972010000058</v>
      </c>
      <c r="AF230" s="43">
        <v>16.392997421250765</v>
      </c>
      <c r="AG230" s="43">
        <v>0.21314741000000001</v>
      </c>
      <c r="AH230" s="43">
        <v>1.3221376E-2</v>
      </c>
      <c r="AI230" s="43">
        <v>0.62493485999999998</v>
      </c>
      <c r="AJ230" s="43">
        <v>2.8683206110000001</v>
      </c>
      <c r="AK230" s="43">
        <v>6.7308643369999999</v>
      </c>
      <c r="AL230" s="43">
        <v>1.791655E-2</v>
      </c>
      <c r="AM230" s="230">
        <v>0.3679907010301014</v>
      </c>
      <c r="AN230" s="43">
        <v>0.50923884699999999</v>
      </c>
    </row>
    <row r="231" spans="1:40" x14ac:dyDescent="0.25">
      <c r="A231" s="134">
        <v>221</v>
      </c>
      <c r="B231" s="134" t="s">
        <v>209</v>
      </c>
      <c r="C231" s="134" t="s">
        <v>210</v>
      </c>
      <c r="D231" s="134" t="s">
        <v>211</v>
      </c>
      <c r="E231" s="134">
        <v>958</v>
      </c>
      <c r="F231" s="134">
        <v>1476</v>
      </c>
      <c r="G231" s="134">
        <v>17</v>
      </c>
      <c r="H231" s="134">
        <v>1046</v>
      </c>
      <c r="I231" s="200">
        <v>2.6532055645E-2</v>
      </c>
      <c r="J231" s="134">
        <v>2522</v>
      </c>
      <c r="K231" s="134">
        <v>95054.828534400003</v>
      </c>
      <c r="L231" s="42">
        <v>0.57753442816900002</v>
      </c>
      <c r="M231" s="42">
        <v>0.52195608782400005</v>
      </c>
      <c r="N231" s="134">
        <v>1</v>
      </c>
      <c r="O231" s="43" t="s">
        <v>627</v>
      </c>
      <c r="P231" s="43">
        <f t="shared" si="47"/>
        <v>14.407254333669735</v>
      </c>
      <c r="Q231" s="43">
        <f t="shared" si="48"/>
        <v>0.18487245199999999</v>
      </c>
      <c r="R231" s="43">
        <f t="shared" si="49"/>
        <v>1.7229675E-2</v>
      </c>
      <c r="S231" s="43">
        <f t="shared" si="50"/>
        <v>0.57753442799999999</v>
      </c>
      <c r="T231" s="43">
        <f t="shared" si="51"/>
        <v>2.55196281</v>
      </c>
      <c r="U231" s="43">
        <f t="shared" si="52"/>
        <v>6.3040843129999997</v>
      </c>
      <c r="V231" s="43">
        <f t="shared" si="53"/>
        <v>3.2641737999999997E-2</v>
      </c>
      <c r="W231" s="230">
        <f t="shared" si="54"/>
        <v>0.29814361184074611</v>
      </c>
      <c r="X231" s="43">
        <f t="shared" si="55"/>
        <v>0.46013487600000003</v>
      </c>
      <c r="Y231" s="43">
        <v>80.451561040000001</v>
      </c>
      <c r="Z231" s="43">
        <f t="shared" si="44"/>
        <v>0</v>
      </c>
      <c r="AA231" s="43">
        <f t="shared" si="45"/>
        <v>478718</v>
      </c>
      <c r="AB231" s="43">
        <f t="shared" si="46"/>
        <v>186107</v>
      </c>
      <c r="AC231" s="43">
        <f t="shared" si="56"/>
        <v>7.5967312731255288E-2</v>
      </c>
      <c r="AD231" s="43">
        <f t="shared" si="57"/>
        <v>0.80847972010000058</v>
      </c>
      <c r="AF231" s="43">
        <v>14.407254333669735</v>
      </c>
      <c r="AG231" s="43">
        <v>0.18487245199999999</v>
      </c>
      <c r="AH231" s="43">
        <v>1.7229675E-2</v>
      </c>
      <c r="AI231" s="43">
        <v>0.57753442799999999</v>
      </c>
      <c r="AJ231" s="43">
        <v>2.55196281</v>
      </c>
      <c r="AK231" s="43">
        <v>6.3040843129999997</v>
      </c>
      <c r="AL231" s="43">
        <v>3.2641737999999997E-2</v>
      </c>
      <c r="AM231" s="230">
        <v>0.29814361184074611</v>
      </c>
      <c r="AN231" s="43">
        <v>0.46013487600000003</v>
      </c>
    </row>
    <row r="232" spans="1:40" x14ac:dyDescent="0.25">
      <c r="A232" s="134">
        <v>222</v>
      </c>
      <c r="B232" s="134" t="s">
        <v>209</v>
      </c>
      <c r="C232" s="134" t="s">
        <v>210</v>
      </c>
      <c r="D232" s="134" t="s">
        <v>211</v>
      </c>
      <c r="E232" s="134">
        <v>3</v>
      </c>
      <c r="F232" s="134">
        <v>4</v>
      </c>
      <c r="G232" s="134">
        <v>13</v>
      </c>
      <c r="H232" s="134">
        <v>5532</v>
      </c>
      <c r="I232" s="200">
        <v>2.06538968441E-2</v>
      </c>
      <c r="J232" s="134">
        <v>5536</v>
      </c>
      <c r="K232" s="134">
        <v>268036.58611199999</v>
      </c>
      <c r="L232" s="42">
        <v>0.58538358848399996</v>
      </c>
      <c r="M232" s="42">
        <v>0.99945799457999995</v>
      </c>
      <c r="N232" s="134">
        <v>1</v>
      </c>
      <c r="O232" s="43" t="s">
        <v>627</v>
      </c>
      <c r="P232" s="43">
        <f t="shared" si="47"/>
        <v>17.38267756940289</v>
      </c>
      <c r="Q232" s="43">
        <f t="shared" si="48"/>
        <v>0.25654922600000002</v>
      </c>
      <c r="R232" s="43">
        <f t="shared" si="49"/>
        <v>1.1975402E-2</v>
      </c>
      <c r="S232" s="43">
        <f t="shared" si="50"/>
        <v>0.58538358800000001</v>
      </c>
      <c r="T232" s="43">
        <f t="shared" si="51"/>
        <v>2.8286516850000001</v>
      </c>
      <c r="U232" s="43">
        <f t="shared" si="52"/>
        <v>6.8227945239999999</v>
      </c>
      <c r="V232" s="43">
        <f t="shared" si="53"/>
        <v>1.5018215999999999E-2</v>
      </c>
      <c r="W232" s="230">
        <f t="shared" si="54"/>
        <v>0.46826381122172145</v>
      </c>
      <c r="X232" s="43">
        <f t="shared" si="55"/>
        <v>0.42402305499999998</v>
      </c>
      <c r="Y232" s="43">
        <v>97.929252480000002</v>
      </c>
      <c r="Z232" s="43">
        <f t="shared" si="44"/>
        <v>0</v>
      </c>
      <c r="AA232" s="43">
        <f t="shared" si="45"/>
        <v>478718</v>
      </c>
      <c r="AB232" s="43">
        <f t="shared" si="46"/>
        <v>186107</v>
      </c>
      <c r="AC232" s="43">
        <f t="shared" si="56"/>
        <v>7.5967312731255288E-2</v>
      </c>
      <c r="AD232" s="43">
        <f t="shared" si="57"/>
        <v>0.80847972010000058</v>
      </c>
      <c r="AF232" s="43">
        <v>17.38267756940289</v>
      </c>
      <c r="AG232" s="43">
        <v>0.25654922600000002</v>
      </c>
      <c r="AH232" s="43">
        <v>1.1975402E-2</v>
      </c>
      <c r="AI232" s="43">
        <v>0.58538358800000001</v>
      </c>
      <c r="AJ232" s="43">
        <v>2.8286516850000001</v>
      </c>
      <c r="AK232" s="43">
        <v>6.8227945239999999</v>
      </c>
      <c r="AL232" s="43">
        <v>1.5018215999999999E-2</v>
      </c>
      <c r="AM232" s="230">
        <v>0.46826381122172145</v>
      </c>
      <c r="AN232" s="43">
        <v>0.42402305499999998</v>
      </c>
    </row>
    <row r="233" spans="1:40" x14ac:dyDescent="0.25">
      <c r="A233" s="134">
        <v>223</v>
      </c>
      <c r="B233" s="134" t="s">
        <v>209</v>
      </c>
      <c r="C233" s="134" t="s">
        <v>210</v>
      </c>
      <c r="D233" s="134" t="s">
        <v>211</v>
      </c>
      <c r="E233" s="134">
        <v>220</v>
      </c>
      <c r="F233" s="134">
        <v>339</v>
      </c>
      <c r="G233" s="134">
        <v>16</v>
      </c>
      <c r="H233" s="134">
        <v>3352</v>
      </c>
      <c r="I233" s="200">
        <v>2.5872244634300001E-2</v>
      </c>
      <c r="J233" s="134">
        <v>3691</v>
      </c>
      <c r="K233" s="134">
        <v>142662.53478099999</v>
      </c>
      <c r="L233" s="42">
        <v>0.58526755949700004</v>
      </c>
      <c r="M233" s="42">
        <v>0.93840985442299996</v>
      </c>
      <c r="N233" s="134">
        <v>1</v>
      </c>
      <c r="O233" s="43" t="s">
        <v>627</v>
      </c>
      <c r="P233" s="43">
        <f t="shared" si="47"/>
        <v>16.981924266115396</v>
      </c>
      <c r="Q233" s="43">
        <f t="shared" si="48"/>
        <v>0.23999352600000001</v>
      </c>
      <c r="R233" s="43">
        <f t="shared" si="49"/>
        <v>1.4026512E-2</v>
      </c>
      <c r="S233" s="43">
        <f t="shared" si="50"/>
        <v>0.58526755900000005</v>
      </c>
      <c r="T233" s="43">
        <f t="shared" si="51"/>
        <v>2.7622651500000002</v>
      </c>
      <c r="U233" s="43">
        <f t="shared" si="52"/>
        <v>7.1931401849999999</v>
      </c>
      <c r="V233" s="43">
        <f t="shared" si="53"/>
        <v>1.8553623000000002E-2</v>
      </c>
      <c r="W233" s="230">
        <f t="shared" si="54"/>
        <v>0.42506993472758758</v>
      </c>
      <c r="X233" s="43">
        <f t="shared" si="55"/>
        <v>0.45292427899999999</v>
      </c>
      <c r="Y233" s="43">
        <v>80.464942579999999</v>
      </c>
      <c r="Z233" s="43">
        <f t="shared" si="44"/>
        <v>0</v>
      </c>
      <c r="AA233" s="43">
        <f t="shared" si="45"/>
        <v>478718</v>
      </c>
      <c r="AB233" s="43">
        <f t="shared" si="46"/>
        <v>186107</v>
      </c>
      <c r="AC233" s="43">
        <f t="shared" si="56"/>
        <v>7.5967312731255288E-2</v>
      </c>
      <c r="AD233" s="43">
        <f t="shared" si="57"/>
        <v>0.80847972010000058</v>
      </c>
      <c r="AF233" s="43">
        <v>16.981924266115396</v>
      </c>
      <c r="AG233" s="43">
        <v>0.23999352600000001</v>
      </c>
      <c r="AH233" s="43">
        <v>1.4026512E-2</v>
      </c>
      <c r="AI233" s="43">
        <v>0.58526755900000005</v>
      </c>
      <c r="AJ233" s="43">
        <v>2.7622651500000002</v>
      </c>
      <c r="AK233" s="43">
        <v>7.1931401849999999</v>
      </c>
      <c r="AL233" s="43">
        <v>1.8553623000000002E-2</v>
      </c>
      <c r="AM233" s="230">
        <v>0.42506993472758758</v>
      </c>
      <c r="AN233" s="43">
        <v>0.45292427899999999</v>
      </c>
    </row>
    <row r="234" spans="1:40" x14ac:dyDescent="0.25">
      <c r="A234" s="134">
        <v>224</v>
      </c>
      <c r="B234" s="134" t="s">
        <v>209</v>
      </c>
      <c r="C234" s="134" t="s">
        <v>210</v>
      </c>
      <c r="D234" s="134" t="s">
        <v>211</v>
      </c>
      <c r="E234" s="134">
        <v>318</v>
      </c>
      <c r="F234" s="134">
        <v>490</v>
      </c>
      <c r="G234" s="134">
        <v>17</v>
      </c>
      <c r="H234" s="134">
        <v>4404</v>
      </c>
      <c r="I234" s="200">
        <v>2.6888868508299999E-2</v>
      </c>
      <c r="J234" s="134">
        <v>4894</v>
      </c>
      <c r="K234" s="134">
        <v>182008.402417</v>
      </c>
      <c r="L234" s="42">
        <v>0.56305893419300002</v>
      </c>
      <c r="M234" s="42">
        <v>0.932655654384</v>
      </c>
      <c r="N234" s="134">
        <v>1</v>
      </c>
      <c r="O234" s="43" t="s">
        <v>627</v>
      </c>
      <c r="P234" s="43">
        <f t="shared" si="47"/>
        <v>17.625092433488387</v>
      </c>
      <c r="Q234" s="43">
        <f t="shared" si="48"/>
        <v>0.26777346400000002</v>
      </c>
      <c r="R234" s="43">
        <f t="shared" si="49"/>
        <v>1.3723961999999999E-2</v>
      </c>
      <c r="S234" s="43">
        <f t="shared" si="50"/>
        <v>0.56305893399999996</v>
      </c>
      <c r="T234" s="43">
        <f t="shared" si="51"/>
        <v>2.8154153989999999</v>
      </c>
      <c r="U234" s="43">
        <f t="shared" si="52"/>
        <v>7.2885276279999998</v>
      </c>
      <c r="V234" s="43">
        <f t="shared" si="53"/>
        <v>1.7481076000000002E-2</v>
      </c>
      <c r="W234" s="230">
        <f t="shared" si="54"/>
        <v>0.4695591739990716</v>
      </c>
      <c r="X234" s="43">
        <f t="shared" si="55"/>
        <v>0.42429664700000003</v>
      </c>
      <c r="Y234" s="43">
        <v>80.376091000000002</v>
      </c>
      <c r="Z234" s="43">
        <f t="shared" si="44"/>
        <v>0</v>
      </c>
      <c r="AA234" s="43">
        <f t="shared" si="45"/>
        <v>478718</v>
      </c>
      <c r="AB234" s="43">
        <f t="shared" si="46"/>
        <v>186107</v>
      </c>
      <c r="AC234" s="43">
        <f t="shared" si="56"/>
        <v>7.5967312731255288E-2</v>
      </c>
      <c r="AD234" s="43">
        <f t="shared" si="57"/>
        <v>0.80847972010000058</v>
      </c>
      <c r="AF234" s="43">
        <v>17.625092433488387</v>
      </c>
      <c r="AG234" s="43">
        <v>0.26777346400000002</v>
      </c>
      <c r="AH234" s="43">
        <v>1.3723961999999999E-2</v>
      </c>
      <c r="AI234" s="43">
        <v>0.56305893399999996</v>
      </c>
      <c r="AJ234" s="43">
        <v>2.8154153989999999</v>
      </c>
      <c r="AK234" s="43">
        <v>7.2885276279999998</v>
      </c>
      <c r="AL234" s="43">
        <v>1.7481076000000002E-2</v>
      </c>
      <c r="AM234" s="230">
        <v>0.4695591739990716</v>
      </c>
      <c r="AN234" s="43">
        <v>0.42429664700000003</v>
      </c>
    </row>
    <row r="235" spans="1:40" x14ac:dyDescent="0.25">
      <c r="A235" s="134">
        <v>225</v>
      </c>
      <c r="B235" s="134" t="s">
        <v>209</v>
      </c>
      <c r="C235" s="134" t="s">
        <v>210</v>
      </c>
      <c r="D235" s="134" t="s">
        <v>211</v>
      </c>
      <c r="E235" s="134">
        <v>75</v>
      </c>
      <c r="F235" s="134">
        <v>123</v>
      </c>
      <c r="G235" s="134">
        <v>8</v>
      </c>
      <c r="H235" s="134">
        <v>3204</v>
      </c>
      <c r="I235" s="200">
        <v>1.3025777777500001E-2</v>
      </c>
      <c r="J235" s="134">
        <v>3327</v>
      </c>
      <c r="K235" s="134">
        <v>255416.60980499999</v>
      </c>
      <c r="L235" s="42">
        <v>0.55351741308199998</v>
      </c>
      <c r="M235" s="42">
        <v>0.97712717291899998</v>
      </c>
      <c r="N235" s="134">
        <v>1</v>
      </c>
      <c r="O235" s="43" t="s">
        <v>627</v>
      </c>
      <c r="P235" s="43">
        <f t="shared" si="47"/>
        <v>17.830524792495879</v>
      </c>
      <c r="Q235" s="43">
        <f t="shared" si="48"/>
        <v>0.28421795500000002</v>
      </c>
      <c r="R235" s="43">
        <f t="shared" si="49"/>
        <v>1.210339E-2</v>
      </c>
      <c r="S235" s="43">
        <f t="shared" si="50"/>
        <v>0.55351741300000001</v>
      </c>
      <c r="T235" s="43">
        <f t="shared" si="51"/>
        <v>2.8248624150000001</v>
      </c>
      <c r="U235" s="43">
        <f t="shared" si="52"/>
        <v>7.5586302820000002</v>
      </c>
      <c r="V235" s="43">
        <f t="shared" si="53"/>
        <v>1.5185550000000001E-2</v>
      </c>
      <c r="W235" s="230">
        <f t="shared" si="54"/>
        <v>0.49431596712945292</v>
      </c>
      <c r="X235" s="43">
        <f t="shared" si="55"/>
        <v>0.39804705600000001</v>
      </c>
      <c r="Y235" s="43">
        <v>157.97438600000001</v>
      </c>
      <c r="Z235" s="43">
        <f t="shared" si="44"/>
        <v>0</v>
      </c>
      <c r="AA235" s="43">
        <f t="shared" si="45"/>
        <v>478718</v>
      </c>
      <c r="AB235" s="43">
        <f t="shared" si="46"/>
        <v>186107</v>
      </c>
      <c r="AC235" s="43">
        <f t="shared" si="56"/>
        <v>7.5967312731255288E-2</v>
      </c>
      <c r="AD235" s="43">
        <f t="shared" si="57"/>
        <v>0.80847972010000058</v>
      </c>
      <c r="AF235" s="43">
        <v>17.830524792495879</v>
      </c>
      <c r="AG235" s="43">
        <v>0.28421795500000002</v>
      </c>
      <c r="AH235" s="43">
        <v>1.210339E-2</v>
      </c>
      <c r="AI235" s="43">
        <v>0.55351741300000001</v>
      </c>
      <c r="AJ235" s="43">
        <v>2.8248624150000001</v>
      </c>
      <c r="AK235" s="43">
        <v>7.5586302820000002</v>
      </c>
      <c r="AL235" s="43">
        <v>1.5185550000000001E-2</v>
      </c>
      <c r="AM235" s="230">
        <v>0.49431596712945292</v>
      </c>
      <c r="AN235" s="43">
        <v>0.39804705600000001</v>
      </c>
    </row>
    <row r="236" spans="1:40" x14ac:dyDescent="0.25">
      <c r="A236" s="134">
        <v>226</v>
      </c>
      <c r="B236" s="134" t="s">
        <v>209</v>
      </c>
      <c r="C236" s="134" t="s">
        <v>210</v>
      </c>
      <c r="D236" s="134" t="s">
        <v>211</v>
      </c>
      <c r="E236" s="134">
        <v>1192</v>
      </c>
      <c r="F236" s="134">
        <v>1957</v>
      </c>
      <c r="G236" s="134">
        <v>21</v>
      </c>
      <c r="H236" s="134">
        <v>5094</v>
      </c>
      <c r="I236" s="200">
        <v>3.4668548286600001E-2</v>
      </c>
      <c r="J236" s="134">
        <v>7051</v>
      </c>
      <c r="K236" s="134">
        <v>203383.19163799999</v>
      </c>
      <c r="L236" s="42">
        <v>0.56851749905799998</v>
      </c>
      <c r="M236" s="42">
        <v>0.81037225580700001</v>
      </c>
      <c r="N236" s="134">
        <v>1</v>
      </c>
      <c r="O236" s="43" t="s">
        <v>627</v>
      </c>
      <c r="P236" s="43">
        <f t="shared" si="47"/>
        <v>16.835482569831697</v>
      </c>
      <c r="Q236" s="43">
        <f t="shared" si="48"/>
        <v>0.24472371200000001</v>
      </c>
      <c r="R236" s="43">
        <f t="shared" si="49"/>
        <v>1.6303394999999998E-2</v>
      </c>
      <c r="S236" s="43">
        <f t="shared" si="50"/>
        <v>0.56851749900000004</v>
      </c>
      <c r="T236" s="43">
        <f t="shared" si="51"/>
        <v>2.901923692</v>
      </c>
      <c r="U236" s="43">
        <f t="shared" si="52"/>
        <v>8.1979771709999998</v>
      </c>
      <c r="V236" s="43">
        <f t="shared" si="53"/>
        <v>2.4007460000000001E-2</v>
      </c>
      <c r="W236" s="230">
        <f t="shared" si="54"/>
        <v>0.41401131881323955</v>
      </c>
      <c r="X236" s="43">
        <f t="shared" si="55"/>
        <v>0.45607957500000001</v>
      </c>
      <c r="Y236" s="43">
        <v>166.9051125</v>
      </c>
      <c r="Z236" s="43">
        <f t="shared" si="44"/>
        <v>0</v>
      </c>
      <c r="AA236" s="43">
        <f t="shared" si="45"/>
        <v>478718</v>
      </c>
      <c r="AB236" s="43">
        <f t="shared" si="46"/>
        <v>186107</v>
      </c>
      <c r="AC236" s="43">
        <f t="shared" si="56"/>
        <v>7.5967312731255288E-2</v>
      </c>
      <c r="AD236" s="43">
        <f t="shared" si="57"/>
        <v>0.80847972010000058</v>
      </c>
      <c r="AF236" s="43">
        <v>16.835482569831697</v>
      </c>
      <c r="AG236" s="43">
        <v>0.24472371200000001</v>
      </c>
      <c r="AH236" s="43">
        <v>1.6303394999999998E-2</v>
      </c>
      <c r="AI236" s="43">
        <v>0.56851749900000004</v>
      </c>
      <c r="AJ236" s="43">
        <v>2.901923692</v>
      </c>
      <c r="AK236" s="43">
        <v>8.1979771709999998</v>
      </c>
      <c r="AL236" s="43">
        <v>2.4007460000000001E-2</v>
      </c>
      <c r="AM236" s="230">
        <v>0.41401131881323955</v>
      </c>
      <c r="AN236" s="43">
        <v>0.45607957500000001</v>
      </c>
    </row>
    <row r="237" spans="1:40" x14ac:dyDescent="0.25">
      <c r="A237" s="134">
        <v>227</v>
      </c>
      <c r="B237" s="134" t="s">
        <v>209</v>
      </c>
      <c r="C237" s="134" t="s">
        <v>210</v>
      </c>
      <c r="D237" s="134" t="s">
        <v>211</v>
      </c>
      <c r="E237" s="134">
        <v>2</v>
      </c>
      <c r="F237" s="134">
        <v>3</v>
      </c>
      <c r="G237" s="134">
        <v>7</v>
      </c>
      <c r="H237" s="134">
        <v>1861</v>
      </c>
      <c r="I237" s="200">
        <v>1.1783162901699999E-2</v>
      </c>
      <c r="J237" s="134">
        <v>1864</v>
      </c>
      <c r="K237" s="134">
        <v>158191.821291</v>
      </c>
      <c r="L237" s="42">
        <v>0.55986050924399999</v>
      </c>
      <c r="M237" s="42">
        <v>0.99892646269499996</v>
      </c>
      <c r="N237" s="134">
        <v>1</v>
      </c>
      <c r="O237" s="43" t="s">
        <v>627</v>
      </c>
      <c r="P237" s="43">
        <f t="shared" si="47"/>
        <v>17.262370346538685</v>
      </c>
      <c r="Q237" s="43">
        <f t="shared" si="48"/>
        <v>0.27994734900000001</v>
      </c>
      <c r="R237" s="43">
        <f t="shared" si="49"/>
        <v>1.2192619999999999E-2</v>
      </c>
      <c r="S237" s="43">
        <f t="shared" si="50"/>
        <v>0.55986050899999995</v>
      </c>
      <c r="T237" s="43">
        <f t="shared" si="51"/>
        <v>2.8554153520000001</v>
      </c>
      <c r="U237" s="43">
        <f t="shared" si="52"/>
        <v>7.873432266</v>
      </c>
      <c r="V237" s="43">
        <f t="shared" si="53"/>
        <v>1.6529963000000002E-2</v>
      </c>
      <c r="W237" s="230">
        <f t="shared" si="54"/>
        <v>0.47262303314362242</v>
      </c>
      <c r="X237" s="43">
        <f t="shared" si="55"/>
        <v>0.41967693299999997</v>
      </c>
      <c r="Y237" s="43">
        <v>162.68680520000001</v>
      </c>
      <c r="Z237" s="43">
        <f t="shared" si="44"/>
        <v>0</v>
      </c>
      <c r="AA237" s="43">
        <f t="shared" si="45"/>
        <v>478718</v>
      </c>
      <c r="AB237" s="43">
        <f t="shared" si="46"/>
        <v>186107</v>
      </c>
      <c r="AC237" s="43">
        <f t="shared" si="56"/>
        <v>7.5967312731255288E-2</v>
      </c>
      <c r="AD237" s="43">
        <f t="shared" si="57"/>
        <v>0.80847972010000058</v>
      </c>
      <c r="AF237" s="43">
        <v>17.262370346538685</v>
      </c>
      <c r="AG237" s="43">
        <v>0.27994734900000001</v>
      </c>
      <c r="AH237" s="43">
        <v>1.2192619999999999E-2</v>
      </c>
      <c r="AI237" s="43">
        <v>0.55986050899999995</v>
      </c>
      <c r="AJ237" s="43">
        <v>2.8554153520000001</v>
      </c>
      <c r="AK237" s="43">
        <v>7.873432266</v>
      </c>
      <c r="AL237" s="43">
        <v>1.6529963000000002E-2</v>
      </c>
      <c r="AM237" s="230">
        <v>0.47262303314362242</v>
      </c>
      <c r="AN237" s="43">
        <v>0.41967693299999997</v>
      </c>
    </row>
    <row r="238" spans="1:40" x14ac:dyDescent="0.25">
      <c r="A238" s="134">
        <v>228</v>
      </c>
      <c r="B238" s="134" t="s">
        <v>209</v>
      </c>
      <c r="C238" s="134" t="s">
        <v>210</v>
      </c>
      <c r="D238" s="134" t="s">
        <v>211</v>
      </c>
      <c r="E238" s="134">
        <v>0</v>
      </c>
      <c r="F238" s="134">
        <v>0</v>
      </c>
      <c r="G238" s="134">
        <v>11</v>
      </c>
      <c r="H238" s="134">
        <v>2290</v>
      </c>
      <c r="I238" s="200">
        <v>1.8486649161500002E-2</v>
      </c>
      <c r="J238" s="134">
        <v>2290</v>
      </c>
      <c r="K238" s="134">
        <v>123873.17896200001</v>
      </c>
      <c r="L238" s="42">
        <v>0.57018289255200005</v>
      </c>
      <c r="M238" s="42">
        <v>1</v>
      </c>
      <c r="N238" s="134">
        <v>1</v>
      </c>
      <c r="O238" s="43" t="s">
        <v>627</v>
      </c>
      <c r="P238" s="43">
        <f t="shared" si="47"/>
        <v>16.487691153640483</v>
      </c>
      <c r="Q238" s="43">
        <f t="shared" si="48"/>
        <v>0.273498882</v>
      </c>
      <c r="R238" s="43">
        <f t="shared" si="49"/>
        <v>1.2618802E-2</v>
      </c>
      <c r="S238" s="43">
        <f t="shared" si="50"/>
        <v>0.57018289300000002</v>
      </c>
      <c r="T238" s="43">
        <f t="shared" si="51"/>
        <v>2.809858239</v>
      </c>
      <c r="U238" s="43">
        <f t="shared" si="52"/>
        <v>6.891103845</v>
      </c>
      <c r="V238" s="43">
        <f t="shared" si="53"/>
        <v>1.6206429000000001E-2</v>
      </c>
      <c r="W238" s="230">
        <f t="shared" si="54"/>
        <v>0.47275672658712053</v>
      </c>
      <c r="X238" s="43">
        <f t="shared" si="55"/>
        <v>0.414056916</v>
      </c>
      <c r="Y238" s="43">
        <v>158.3092891</v>
      </c>
      <c r="Z238" s="43">
        <f t="shared" si="44"/>
        <v>0</v>
      </c>
      <c r="AA238" s="43">
        <f t="shared" si="45"/>
        <v>478718</v>
      </c>
      <c r="AB238" s="43">
        <f t="shared" si="46"/>
        <v>186107</v>
      </c>
      <c r="AC238" s="43">
        <f t="shared" si="56"/>
        <v>7.5967312731255288E-2</v>
      </c>
      <c r="AD238" s="43">
        <f t="shared" si="57"/>
        <v>0.80847972010000058</v>
      </c>
      <c r="AF238" s="43">
        <v>16.487691153640483</v>
      </c>
      <c r="AG238" s="43">
        <v>0.273498882</v>
      </c>
      <c r="AH238" s="43">
        <v>1.2618802E-2</v>
      </c>
      <c r="AI238" s="43">
        <v>0.57018289300000002</v>
      </c>
      <c r="AJ238" s="43">
        <v>2.809858239</v>
      </c>
      <c r="AK238" s="43">
        <v>6.891103845</v>
      </c>
      <c r="AL238" s="43">
        <v>1.6206429000000001E-2</v>
      </c>
      <c r="AM238" s="230">
        <v>0.47275672658712053</v>
      </c>
      <c r="AN238" s="43">
        <v>0.414056916</v>
      </c>
    </row>
    <row r="239" spans="1:40" x14ac:dyDescent="0.25">
      <c r="A239" s="134">
        <v>229</v>
      </c>
      <c r="B239" s="134" t="s">
        <v>209</v>
      </c>
      <c r="C239" s="134" t="s">
        <v>210</v>
      </c>
      <c r="D239" s="134" t="s">
        <v>211</v>
      </c>
      <c r="E239" s="134">
        <v>770</v>
      </c>
      <c r="F239" s="134">
        <v>1264</v>
      </c>
      <c r="G239" s="134">
        <v>22</v>
      </c>
      <c r="H239" s="134">
        <v>1460</v>
      </c>
      <c r="I239" s="200">
        <v>3.5282590279999998E-2</v>
      </c>
      <c r="J239" s="134">
        <v>2724</v>
      </c>
      <c r="K239" s="134">
        <v>77205.215897700007</v>
      </c>
      <c r="L239" s="42">
        <v>0.576308043278</v>
      </c>
      <c r="M239" s="42">
        <v>0.65470852017900005</v>
      </c>
      <c r="N239" s="134">
        <v>1</v>
      </c>
      <c r="O239" s="43" t="s">
        <v>627</v>
      </c>
      <c r="P239" s="43">
        <f t="shared" si="47"/>
        <v>15.032805754039657</v>
      </c>
      <c r="Q239" s="43">
        <f t="shared" si="48"/>
        <v>0.217730122</v>
      </c>
      <c r="R239" s="43">
        <f t="shared" si="49"/>
        <v>1.7447826E-2</v>
      </c>
      <c r="S239" s="43">
        <f t="shared" si="50"/>
        <v>0.57630804300000005</v>
      </c>
      <c r="T239" s="43">
        <f t="shared" si="51"/>
        <v>2.5966643980000002</v>
      </c>
      <c r="U239" s="43">
        <f t="shared" si="52"/>
        <v>7.0961727139999997</v>
      </c>
      <c r="V239" s="43">
        <f t="shared" si="53"/>
        <v>2.8626109E-2</v>
      </c>
      <c r="W239" s="230">
        <f t="shared" si="54"/>
        <v>0.36570818004760874</v>
      </c>
      <c r="X239" s="43">
        <f t="shared" si="55"/>
        <v>0.46862827299999998</v>
      </c>
      <c r="Y239" s="43">
        <v>162.6303393</v>
      </c>
      <c r="Z239" s="43">
        <f t="shared" si="44"/>
        <v>0</v>
      </c>
      <c r="AA239" s="43">
        <f t="shared" si="45"/>
        <v>478718</v>
      </c>
      <c r="AB239" s="43">
        <f t="shared" si="46"/>
        <v>186107</v>
      </c>
      <c r="AC239" s="43">
        <f t="shared" si="56"/>
        <v>7.5967312731255288E-2</v>
      </c>
      <c r="AD239" s="43">
        <f t="shared" si="57"/>
        <v>0.80847972010000058</v>
      </c>
      <c r="AF239" s="43">
        <v>15.032805754039657</v>
      </c>
      <c r="AG239" s="43">
        <v>0.217730122</v>
      </c>
      <c r="AH239" s="43">
        <v>1.7447826E-2</v>
      </c>
      <c r="AI239" s="43">
        <v>0.57630804300000005</v>
      </c>
      <c r="AJ239" s="43">
        <v>2.5966643980000002</v>
      </c>
      <c r="AK239" s="43">
        <v>7.0961727139999997</v>
      </c>
      <c r="AL239" s="43">
        <v>2.8626109E-2</v>
      </c>
      <c r="AM239" s="230">
        <v>0.36570818004760874</v>
      </c>
      <c r="AN239" s="43">
        <v>0.46862827299999998</v>
      </c>
    </row>
    <row r="240" spans="1:40" x14ac:dyDescent="0.25">
      <c r="A240" s="134">
        <v>230</v>
      </c>
      <c r="B240" s="134" t="s">
        <v>209</v>
      </c>
      <c r="C240" s="134" t="s">
        <v>210</v>
      </c>
      <c r="D240" s="134" t="s">
        <v>211</v>
      </c>
      <c r="E240" s="134">
        <v>0</v>
      </c>
      <c r="F240" s="134">
        <v>0</v>
      </c>
      <c r="G240" s="134">
        <v>7</v>
      </c>
      <c r="H240" s="134">
        <v>1467</v>
      </c>
      <c r="I240" s="200">
        <v>1.07970139007E-2</v>
      </c>
      <c r="J240" s="134">
        <v>1467</v>
      </c>
      <c r="K240" s="134">
        <v>135870.90036999999</v>
      </c>
      <c r="L240" s="42">
        <v>0.58498913213899995</v>
      </c>
      <c r="M240" s="42">
        <v>1</v>
      </c>
      <c r="N240" s="134">
        <v>1</v>
      </c>
      <c r="O240" s="43" t="s">
        <v>627</v>
      </c>
      <c r="P240" s="43">
        <f t="shared" si="47"/>
        <v>16.628903932433953</v>
      </c>
      <c r="Q240" s="43">
        <f t="shared" si="48"/>
        <v>0.240731575</v>
      </c>
      <c r="R240" s="43">
        <f t="shared" si="49"/>
        <v>1.1747128000000001E-2</v>
      </c>
      <c r="S240" s="43">
        <f t="shared" si="50"/>
        <v>0.58498913200000002</v>
      </c>
      <c r="T240" s="43">
        <f t="shared" si="51"/>
        <v>2.5817445810000001</v>
      </c>
      <c r="U240" s="43">
        <f t="shared" si="52"/>
        <v>6.141541503</v>
      </c>
      <c r="V240" s="43">
        <f t="shared" si="53"/>
        <v>1.5662472E-2</v>
      </c>
      <c r="W240" s="230">
        <f t="shared" si="54"/>
        <v>0.48797724909272272</v>
      </c>
      <c r="X240" s="43">
        <f t="shared" si="55"/>
        <v>0.40287357499999998</v>
      </c>
      <c r="Y240" s="43">
        <v>155.85957859999999</v>
      </c>
      <c r="Z240" s="43">
        <f t="shared" si="44"/>
        <v>0</v>
      </c>
      <c r="AA240" s="43">
        <f t="shared" si="45"/>
        <v>478718</v>
      </c>
      <c r="AB240" s="43">
        <f t="shared" si="46"/>
        <v>186107</v>
      </c>
      <c r="AC240" s="43">
        <f t="shared" si="56"/>
        <v>7.5967312731255288E-2</v>
      </c>
      <c r="AD240" s="43">
        <f t="shared" si="57"/>
        <v>0.80847972010000058</v>
      </c>
      <c r="AF240" s="43">
        <v>16.628903932433953</v>
      </c>
      <c r="AG240" s="43">
        <v>0.240731575</v>
      </c>
      <c r="AH240" s="43">
        <v>1.1747128000000001E-2</v>
      </c>
      <c r="AI240" s="43">
        <v>0.58498913200000002</v>
      </c>
      <c r="AJ240" s="43">
        <v>2.5817445810000001</v>
      </c>
      <c r="AK240" s="43">
        <v>6.141541503</v>
      </c>
      <c r="AL240" s="43">
        <v>1.5662472E-2</v>
      </c>
      <c r="AM240" s="230">
        <v>0.48797724909272272</v>
      </c>
      <c r="AN240" s="43">
        <v>0.40287357499999998</v>
      </c>
    </row>
    <row r="241" spans="1:40" x14ac:dyDescent="0.25">
      <c r="A241" s="134">
        <v>231</v>
      </c>
      <c r="B241" s="134" t="s">
        <v>209</v>
      </c>
      <c r="C241" s="134" t="s">
        <v>210</v>
      </c>
      <c r="D241" s="134" t="s">
        <v>211</v>
      </c>
      <c r="E241" s="134">
        <v>571</v>
      </c>
      <c r="F241" s="134">
        <v>938</v>
      </c>
      <c r="G241" s="134">
        <v>18</v>
      </c>
      <c r="H241" s="134">
        <v>576</v>
      </c>
      <c r="I241" s="200">
        <v>3.0013947422999999E-2</v>
      </c>
      <c r="J241" s="134">
        <v>1514</v>
      </c>
      <c r="K241" s="134">
        <v>50443.214904799999</v>
      </c>
      <c r="L241" s="42">
        <v>0.56544038954700004</v>
      </c>
      <c r="M241" s="42">
        <v>0.50217959895399999</v>
      </c>
      <c r="N241" s="134">
        <v>1</v>
      </c>
      <c r="O241" s="43" t="s">
        <v>627</v>
      </c>
      <c r="P241" s="43">
        <f t="shared" si="47"/>
        <v>14.883818630234948</v>
      </c>
      <c r="Q241" s="43">
        <f t="shared" si="48"/>
        <v>0.20189869599999999</v>
      </c>
      <c r="R241" s="43">
        <f t="shared" si="49"/>
        <v>1.5992660999999998E-2</v>
      </c>
      <c r="S241" s="43">
        <f t="shared" si="50"/>
        <v>0.56544039000000001</v>
      </c>
      <c r="T241" s="43">
        <f t="shared" si="51"/>
        <v>2.530936681</v>
      </c>
      <c r="U241" s="43">
        <f t="shared" si="52"/>
        <v>6.5811949529999998</v>
      </c>
      <c r="V241" s="43">
        <f t="shared" si="53"/>
        <v>2.9327558E-2</v>
      </c>
      <c r="W241" s="230">
        <f t="shared" si="54"/>
        <v>0.31419204580854759</v>
      </c>
      <c r="X241" s="43">
        <f t="shared" si="55"/>
        <v>0.47048701300000001</v>
      </c>
      <c r="Y241" s="43">
        <v>162.67357809999999</v>
      </c>
      <c r="Z241" s="43">
        <f t="shared" si="44"/>
        <v>0</v>
      </c>
      <c r="AA241" s="43">
        <f t="shared" si="45"/>
        <v>478718</v>
      </c>
      <c r="AB241" s="43">
        <f t="shared" si="46"/>
        <v>186107</v>
      </c>
      <c r="AC241" s="43">
        <f t="shared" si="56"/>
        <v>7.5967312731255288E-2</v>
      </c>
      <c r="AD241" s="43">
        <f t="shared" si="57"/>
        <v>0.80847972010000058</v>
      </c>
      <c r="AF241" s="43">
        <v>14.883818630234948</v>
      </c>
      <c r="AG241" s="43">
        <v>0.20189869599999999</v>
      </c>
      <c r="AH241" s="43">
        <v>1.5992660999999998E-2</v>
      </c>
      <c r="AI241" s="43">
        <v>0.56544039000000001</v>
      </c>
      <c r="AJ241" s="43">
        <v>2.530936681</v>
      </c>
      <c r="AK241" s="43">
        <v>6.5811949529999998</v>
      </c>
      <c r="AL241" s="43">
        <v>2.9327558E-2</v>
      </c>
      <c r="AM241" s="230">
        <v>0.31419204580854759</v>
      </c>
      <c r="AN241" s="43">
        <v>0.47048701300000001</v>
      </c>
    </row>
    <row r="242" spans="1:40" x14ac:dyDescent="0.25">
      <c r="A242" s="134">
        <v>232</v>
      </c>
      <c r="B242" s="134" t="s">
        <v>209</v>
      </c>
      <c r="C242" s="134" t="s">
        <v>210</v>
      </c>
      <c r="D242" s="134" t="s">
        <v>211</v>
      </c>
      <c r="E242" s="134">
        <v>0</v>
      </c>
      <c r="F242" s="134">
        <v>0</v>
      </c>
      <c r="G242" s="134">
        <v>16</v>
      </c>
      <c r="H242" s="134">
        <v>10759</v>
      </c>
      <c r="I242" s="200">
        <v>2.3906558602999999E-2</v>
      </c>
      <c r="J242" s="134">
        <v>10759</v>
      </c>
      <c r="K242" s="134">
        <v>450043.86363799998</v>
      </c>
      <c r="L242" s="42">
        <v>0.51969493369499997</v>
      </c>
      <c r="M242" s="42">
        <v>1</v>
      </c>
      <c r="N242" s="134">
        <v>1</v>
      </c>
      <c r="O242" s="43" t="s">
        <v>627</v>
      </c>
      <c r="P242" s="43">
        <f t="shared" si="47"/>
        <v>18.338310150620369</v>
      </c>
      <c r="Q242" s="43">
        <f t="shared" si="48"/>
        <v>0.32300426199999999</v>
      </c>
      <c r="R242" s="43">
        <f t="shared" si="49"/>
        <v>1.0905003999999999E-2</v>
      </c>
      <c r="S242" s="43">
        <f t="shared" si="50"/>
        <v>0.519694934</v>
      </c>
      <c r="T242" s="43">
        <f t="shared" si="51"/>
        <v>2.8993585930000001</v>
      </c>
      <c r="U242" s="43">
        <f t="shared" si="52"/>
        <v>6.8430847359999998</v>
      </c>
      <c r="V242" s="43">
        <f t="shared" si="53"/>
        <v>1.2686517E-2</v>
      </c>
      <c r="W242" s="230">
        <f t="shared" si="54"/>
        <v>0.55088127440333878</v>
      </c>
      <c r="X242" s="43">
        <f t="shared" si="55"/>
        <v>0.35951760599999999</v>
      </c>
      <c r="Y242" s="43">
        <v>151.252871</v>
      </c>
      <c r="Z242" s="43">
        <f t="shared" si="44"/>
        <v>0</v>
      </c>
      <c r="AA242" s="43">
        <f t="shared" si="45"/>
        <v>478718</v>
      </c>
      <c r="AB242" s="43">
        <f t="shared" si="46"/>
        <v>186107</v>
      </c>
      <c r="AC242" s="43">
        <f t="shared" si="56"/>
        <v>7.5967312731255288E-2</v>
      </c>
      <c r="AD242" s="43">
        <f t="shared" si="57"/>
        <v>0.80847972010000058</v>
      </c>
      <c r="AF242" s="43">
        <v>18.338310150620369</v>
      </c>
      <c r="AG242" s="43">
        <v>0.32300426199999999</v>
      </c>
      <c r="AH242" s="43">
        <v>1.0905003999999999E-2</v>
      </c>
      <c r="AI242" s="43">
        <v>0.519694934</v>
      </c>
      <c r="AJ242" s="43">
        <v>2.8993585930000001</v>
      </c>
      <c r="AK242" s="43">
        <v>6.8430847359999998</v>
      </c>
      <c r="AL242" s="43">
        <v>1.2686517E-2</v>
      </c>
      <c r="AM242" s="230">
        <v>0.55088127440333878</v>
      </c>
      <c r="AN242" s="43">
        <v>0.35951760599999999</v>
      </c>
    </row>
    <row r="243" spans="1:40" x14ac:dyDescent="0.25">
      <c r="A243" s="134">
        <v>233</v>
      </c>
      <c r="B243" s="134" t="s">
        <v>209</v>
      </c>
      <c r="C243" s="134" t="s">
        <v>210</v>
      </c>
      <c r="D243" s="134" t="s">
        <v>211</v>
      </c>
      <c r="E243" s="134">
        <v>0</v>
      </c>
      <c r="F243" s="134">
        <v>0</v>
      </c>
      <c r="G243" s="134">
        <v>15</v>
      </c>
      <c r="H243" s="134">
        <v>7861</v>
      </c>
      <c r="I243" s="200">
        <v>2.3246872980799999E-2</v>
      </c>
      <c r="J243" s="134">
        <v>7861</v>
      </c>
      <c r="K243" s="134">
        <v>338153.00692199997</v>
      </c>
      <c r="L243" s="42">
        <v>0.52631742245799995</v>
      </c>
      <c r="M243" s="42">
        <v>1</v>
      </c>
      <c r="N243" s="134">
        <v>1</v>
      </c>
      <c r="O243" s="43" t="s">
        <v>627</v>
      </c>
      <c r="P243" s="43">
        <f t="shared" si="47"/>
        <v>18.429038764353916</v>
      </c>
      <c r="Q243" s="43">
        <f t="shared" si="48"/>
        <v>0.29593453400000003</v>
      </c>
      <c r="R243" s="43">
        <f t="shared" si="49"/>
        <v>1.1481814999999999E-2</v>
      </c>
      <c r="S243" s="43">
        <f t="shared" si="50"/>
        <v>0.52631742199999998</v>
      </c>
      <c r="T243" s="43">
        <f t="shared" si="51"/>
        <v>2.9943369120000001</v>
      </c>
      <c r="U243" s="43">
        <f t="shared" si="52"/>
        <v>7.9125842530000003</v>
      </c>
      <c r="V243" s="43">
        <f t="shared" si="53"/>
        <v>1.4199629E-2</v>
      </c>
      <c r="W243" s="230">
        <f t="shared" si="54"/>
        <v>0.50318135899825367</v>
      </c>
      <c r="X243" s="43">
        <f t="shared" si="55"/>
        <v>0.40623898800000002</v>
      </c>
      <c r="Y243" s="43">
        <v>152.88837269999999</v>
      </c>
      <c r="Z243" s="43">
        <f t="shared" si="44"/>
        <v>0</v>
      </c>
      <c r="AA243" s="43">
        <f t="shared" si="45"/>
        <v>478718</v>
      </c>
      <c r="AB243" s="43">
        <f t="shared" si="46"/>
        <v>186107</v>
      </c>
      <c r="AC243" s="43">
        <f t="shared" si="56"/>
        <v>7.5967312731255288E-2</v>
      </c>
      <c r="AD243" s="43">
        <f t="shared" si="57"/>
        <v>0.80847972010000058</v>
      </c>
      <c r="AF243" s="43">
        <v>18.429038764353916</v>
      </c>
      <c r="AG243" s="43">
        <v>0.29593453400000003</v>
      </c>
      <c r="AH243" s="43">
        <v>1.1481814999999999E-2</v>
      </c>
      <c r="AI243" s="43">
        <v>0.52631742199999998</v>
      </c>
      <c r="AJ243" s="43">
        <v>2.9943369120000001</v>
      </c>
      <c r="AK243" s="43">
        <v>7.9125842530000003</v>
      </c>
      <c r="AL243" s="43">
        <v>1.4199629E-2</v>
      </c>
      <c r="AM243" s="230">
        <v>0.50318135899825367</v>
      </c>
      <c r="AN243" s="43">
        <v>0.40623898800000002</v>
      </c>
    </row>
    <row r="244" spans="1:40" x14ac:dyDescent="0.25">
      <c r="A244" s="134">
        <v>234</v>
      </c>
      <c r="B244" s="134" t="s">
        <v>209</v>
      </c>
      <c r="C244" s="134" t="s">
        <v>210</v>
      </c>
      <c r="D244" s="134" t="s">
        <v>211</v>
      </c>
      <c r="E244" s="134">
        <v>274</v>
      </c>
      <c r="F244" s="134">
        <v>534</v>
      </c>
      <c r="G244" s="134">
        <v>15</v>
      </c>
      <c r="H244" s="134">
        <v>1952</v>
      </c>
      <c r="I244" s="200">
        <v>2.3158922214999999E-2</v>
      </c>
      <c r="J244" s="134">
        <v>2486</v>
      </c>
      <c r="K244" s="134">
        <v>107345.237266</v>
      </c>
      <c r="L244" s="42">
        <v>0.57828529743299995</v>
      </c>
      <c r="M244" s="42">
        <v>0.87690925426800004</v>
      </c>
      <c r="N244" s="134">
        <v>1</v>
      </c>
      <c r="O244" s="43" t="s">
        <v>627</v>
      </c>
      <c r="P244" s="43">
        <f t="shared" si="47"/>
        <v>16.922002973253495</v>
      </c>
      <c r="Q244" s="43">
        <f t="shared" si="48"/>
        <v>0.24486993300000001</v>
      </c>
      <c r="R244" s="43">
        <f t="shared" si="49"/>
        <v>1.4447025E-2</v>
      </c>
      <c r="S244" s="43">
        <f t="shared" si="50"/>
        <v>0.57828529699999998</v>
      </c>
      <c r="T244" s="43">
        <f t="shared" si="51"/>
        <v>2.8655877209999998</v>
      </c>
      <c r="U244" s="43">
        <f t="shared" si="52"/>
        <v>7.3189575549999999</v>
      </c>
      <c r="V244" s="43">
        <f t="shared" si="53"/>
        <v>1.9672466999999999E-2</v>
      </c>
      <c r="W244" s="230">
        <f t="shared" si="54"/>
        <v>0.42540714391244566</v>
      </c>
      <c r="X244" s="43">
        <f t="shared" si="55"/>
        <v>0.45775136100000002</v>
      </c>
      <c r="Y244" s="43">
        <v>152.03551709999999</v>
      </c>
      <c r="Z244" s="43">
        <f t="shared" si="44"/>
        <v>0</v>
      </c>
      <c r="AA244" s="43">
        <f t="shared" si="45"/>
        <v>478718</v>
      </c>
      <c r="AB244" s="43">
        <f t="shared" si="46"/>
        <v>186107</v>
      </c>
      <c r="AC244" s="43">
        <f t="shared" si="56"/>
        <v>7.5967312731255288E-2</v>
      </c>
      <c r="AD244" s="43">
        <f t="shared" si="57"/>
        <v>0.80847972010000058</v>
      </c>
      <c r="AF244" s="43">
        <v>16.922002973253495</v>
      </c>
      <c r="AG244" s="43">
        <v>0.24486993300000001</v>
      </c>
      <c r="AH244" s="43">
        <v>1.4447025E-2</v>
      </c>
      <c r="AI244" s="43">
        <v>0.57828529699999998</v>
      </c>
      <c r="AJ244" s="43">
        <v>2.8655877209999998</v>
      </c>
      <c r="AK244" s="43">
        <v>7.3189575549999999</v>
      </c>
      <c r="AL244" s="43">
        <v>1.9672466999999999E-2</v>
      </c>
      <c r="AM244" s="230">
        <v>0.42540714391244566</v>
      </c>
      <c r="AN244" s="43">
        <v>0.45775136100000002</v>
      </c>
    </row>
    <row r="245" spans="1:40" x14ac:dyDescent="0.25">
      <c r="A245" s="134">
        <v>235</v>
      </c>
      <c r="B245" s="134" t="s">
        <v>209</v>
      </c>
      <c r="C245" s="134" t="s">
        <v>210</v>
      </c>
      <c r="D245" s="134" t="s">
        <v>211</v>
      </c>
      <c r="E245" s="134">
        <v>500</v>
      </c>
      <c r="F245" s="134">
        <v>971</v>
      </c>
      <c r="G245" s="134">
        <v>15</v>
      </c>
      <c r="H245" s="134">
        <v>719</v>
      </c>
      <c r="I245" s="200">
        <v>2.2799884216300002E-2</v>
      </c>
      <c r="J245" s="134">
        <v>1690</v>
      </c>
      <c r="K245" s="134">
        <v>74123.183432399994</v>
      </c>
      <c r="L245" s="42">
        <v>0.59176429075500003</v>
      </c>
      <c r="M245" s="42">
        <v>0.589827727646</v>
      </c>
      <c r="N245" s="134">
        <v>1</v>
      </c>
      <c r="O245" s="43" t="s">
        <v>627</v>
      </c>
      <c r="P245" s="43">
        <f t="shared" si="47"/>
        <v>15.367568652262108</v>
      </c>
      <c r="Q245" s="43">
        <f t="shared" si="48"/>
        <v>0.19727946399999999</v>
      </c>
      <c r="R245" s="43">
        <f t="shared" si="49"/>
        <v>1.6951305999999999E-2</v>
      </c>
      <c r="S245" s="43">
        <f t="shared" si="50"/>
        <v>0.59176429100000005</v>
      </c>
      <c r="T245" s="43">
        <f t="shared" si="51"/>
        <v>2.758355023</v>
      </c>
      <c r="U245" s="43">
        <f t="shared" si="52"/>
        <v>6.9063328149999998</v>
      </c>
      <c r="V245" s="43">
        <f t="shared" si="53"/>
        <v>2.6578648E-2</v>
      </c>
      <c r="W245" s="230">
        <f t="shared" si="54"/>
        <v>0.32277604707511254</v>
      </c>
      <c r="X245" s="43">
        <f t="shared" si="55"/>
        <v>0.498726697</v>
      </c>
      <c r="Y245" s="43">
        <v>152.92255750000001</v>
      </c>
      <c r="Z245" s="43">
        <f t="shared" si="44"/>
        <v>0</v>
      </c>
      <c r="AA245" s="43">
        <f t="shared" si="45"/>
        <v>478718</v>
      </c>
      <c r="AB245" s="43">
        <f t="shared" si="46"/>
        <v>186107</v>
      </c>
      <c r="AC245" s="43">
        <f t="shared" si="56"/>
        <v>7.5967312731255288E-2</v>
      </c>
      <c r="AD245" s="43">
        <f t="shared" si="57"/>
        <v>0.80847972010000058</v>
      </c>
      <c r="AF245" s="43">
        <v>15.367568652262108</v>
      </c>
      <c r="AG245" s="43">
        <v>0.19727946399999999</v>
      </c>
      <c r="AH245" s="43">
        <v>1.6951305999999999E-2</v>
      </c>
      <c r="AI245" s="43">
        <v>0.59176429100000005</v>
      </c>
      <c r="AJ245" s="43">
        <v>2.758355023</v>
      </c>
      <c r="AK245" s="43">
        <v>6.9063328149999998</v>
      </c>
      <c r="AL245" s="43">
        <v>2.6578648E-2</v>
      </c>
      <c r="AM245" s="230">
        <v>0.32277604707511254</v>
      </c>
      <c r="AN245" s="43">
        <v>0.498726697</v>
      </c>
    </row>
    <row r="246" spans="1:40" x14ac:dyDescent="0.25">
      <c r="A246" s="134">
        <v>236</v>
      </c>
      <c r="B246" s="134" t="s">
        <v>209</v>
      </c>
      <c r="C246" s="134" t="s">
        <v>210</v>
      </c>
      <c r="D246" s="134" t="s">
        <v>211</v>
      </c>
      <c r="E246" s="134">
        <v>99</v>
      </c>
      <c r="F246" s="134">
        <v>192</v>
      </c>
      <c r="G246" s="134">
        <v>12</v>
      </c>
      <c r="H246" s="134">
        <v>2044</v>
      </c>
      <c r="I246" s="200">
        <v>1.87426077297E-2</v>
      </c>
      <c r="J246" s="134">
        <v>2236</v>
      </c>
      <c r="K246" s="134">
        <v>119300.36803</v>
      </c>
      <c r="L246" s="42">
        <v>0.60190413657300001</v>
      </c>
      <c r="M246" s="42">
        <v>0.95380307979500001</v>
      </c>
      <c r="N246" s="134">
        <v>1</v>
      </c>
      <c r="O246" s="43" t="s">
        <v>627</v>
      </c>
      <c r="P246" s="43">
        <f t="shared" si="47"/>
        <v>17.395516589242508</v>
      </c>
      <c r="Q246" s="43">
        <f t="shared" si="48"/>
        <v>0.2445174</v>
      </c>
      <c r="R246" s="43">
        <f t="shared" si="49"/>
        <v>1.4355638E-2</v>
      </c>
      <c r="S246" s="43">
        <f t="shared" si="50"/>
        <v>0.60190413700000001</v>
      </c>
      <c r="T246" s="43">
        <f t="shared" si="51"/>
        <v>3.0077083330000001</v>
      </c>
      <c r="U246" s="43">
        <f t="shared" si="52"/>
        <v>8.6467406679999996</v>
      </c>
      <c r="V246" s="43">
        <f t="shared" si="53"/>
        <v>1.8734567000000001E-2</v>
      </c>
      <c r="W246" s="230">
        <f t="shared" si="54"/>
        <v>0.40461326586947688</v>
      </c>
      <c r="X246" s="43">
        <f t="shared" si="55"/>
        <v>0.49965115399999999</v>
      </c>
      <c r="Y246" s="43">
        <v>152.91760360000001</v>
      </c>
      <c r="Z246" s="43">
        <f t="shared" si="44"/>
        <v>0</v>
      </c>
      <c r="AA246" s="43">
        <f t="shared" si="45"/>
        <v>478718</v>
      </c>
      <c r="AB246" s="43">
        <f t="shared" si="46"/>
        <v>186107</v>
      </c>
      <c r="AC246" s="43">
        <f t="shared" si="56"/>
        <v>7.5967312731255288E-2</v>
      </c>
      <c r="AD246" s="43">
        <f t="shared" si="57"/>
        <v>0.80847972010000058</v>
      </c>
      <c r="AF246" s="43">
        <v>17.395516589242508</v>
      </c>
      <c r="AG246" s="43">
        <v>0.2445174</v>
      </c>
      <c r="AH246" s="43">
        <v>1.4355638E-2</v>
      </c>
      <c r="AI246" s="43">
        <v>0.60190413700000001</v>
      </c>
      <c r="AJ246" s="43">
        <v>3.0077083330000001</v>
      </c>
      <c r="AK246" s="43">
        <v>8.6467406679999996</v>
      </c>
      <c r="AL246" s="43">
        <v>1.8734567000000001E-2</v>
      </c>
      <c r="AM246" s="230">
        <v>0.40461326586947688</v>
      </c>
      <c r="AN246" s="43">
        <v>0.49965115399999999</v>
      </c>
    </row>
    <row r="247" spans="1:40" x14ac:dyDescent="0.25">
      <c r="A247" s="134">
        <v>237</v>
      </c>
      <c r="B247" s="134" t="s">
        <v>209</v>
      </c>
      <c r="C247" s="134" t="s">
        <v>210</v>
      </c>
      <c r="D247" s="134" t="s">
        <v>211</v>
      </c>
      <c r="E247" s="134">
        <v>291</v>
      </c>
      <c r="F247" s="134">
        <v>566</v>
      </c>
      <c r="G247" s="134">
        <v>12</v>
      </c>
      <c r="H247" s="134">
        <v>297</v>
      </c>
      <c r="I247" s="200">
        <v>1.89128332847E-2</v>
      </c>
      <c r="J247" s="134">
        <v>863</v>
      </c>
      <c r="K247" s="134">
        <v>45630.392179199996</v>
      </c>
      <c r="L247" s="42">
        <v>0.68156472296399995</v>
      </c>
      <c r="M247" s="42">
        <v>0.50510204081599996</v>
      </c>
      <c r="N247" s="134">
        <v>1</v>
      </c>
      <c r="O247" s="43" t="s">
        <v>627</v>
      </c>
      <c r="P247" s="43">
        <f t="shared" si="47"/>
        <v>13.844836247808798</v>
      </c>
      <c r="Q247" s="43">
        <f t="shared" si="48"/>
        <v>0.112253987</v>
      </c>
      <c r="R247" s="43">
        <f t="shared" si="49"/>
        <v>1.5709457E-2</v>
      </c>
      <c r="S247" s="43">
        <f t="shared" si="50"/>
        <v>0.68156472300000004</v>
      </c>
      <c r="T247" s="43">
        <f t="shared" si="51"/>
        <v>2.631619938</v>
      </c>
      <c r="U247" s="43">
        <f t="shared" si="52"/>
        <v>6.8712958310000003</v>
      </c>
      <c r="V247" s="43">
        <f t="shared" si="53"/>
        <v>2.1968634000000001E-2</v>
      </c>
      <c r="W247" s="230">
        <f t="shared" si="54"/>
        <v>0.19353756026118263</v>
      </c>
      <c r="X247" s="43">
        <f t="shared" si="55"/>
        <v>0.61258924800000003</v>
      </c>
      <c r="Y247" s="43">
        <v>153.1517857</v>
      </c>
      <c r="Z247" s="43">
        <f t="shared" si="44"/>
        <v>0</v>
      </c>
      <c r="AA247" s="43">
        <f t="shared" si="45"/>
        <v>478718</v>
      </c>
      <c r="AB247" s="43">
        <f t="shared" si="46"/>
        <v>186107</v>
      </c>
      <c r="AC247" s="43">
        <f t="shared" si="56"/>
        <v>7.5967312731255288E-2</v>
      </c>
      <c r="AD247" s="43">
        <f t="shared" si="57"/>
        <v>0.80847972010000058</v>
      </c>
      <c r="AF247" s="43">
        <v>13.844836247808798</v>
      </c>
      <c r="AG247" s="43">
        <v>0.112253987</v>
      </c>
      <c r="AH247" s="43">
        <v>1.5709457E-2</v>
      </c>
      <c r="AI247" s="43">
        <v>0.68156472300000004</v>
      </c>
      <c r="AJ247" s="43">
        <v>2.631619938</v>
      </c>
      <c r="AK247" s="43">
        <v>6.8712958310000003</v>
      </c>
      <c r="AL247" s="43">
        <v>2.1968634000000001E-2</v>
      </c>
      <c r="AM247" s="230">
        <v>0.19353756026118263</v>
      </c>
      <c r="AN247" s="43">
        <v>0.61258924800000003</v>
      </c>
    </row>
    <row r="248" spans="1:40" x14ac:dyDescent="0.25">
      <c r="A248" s="134">
        <v>238</v>
      </c>
      <c r="B248" s="134" t="s">
        <v>209</v>
      </c>
      <c r="C248" s="134" t="s">
        <v>210</v>
      </c>
      <c r="D248" s="134" t="s">
        <v>211</v>
      </c>
      <c r="E248" s="134">
        <v>614</v>
      </c>
      <c r="F248" s="134">
        <v>1143</v>
      </c>
      <c r="G248" s="134">
        <v>14</v>
      </c>
      <c r="H248" s="134">
        <v>1449</v>
      </c>
      <c r="I248" s="200">
        <v>2.2635039683899998E-2</v>
      </c>
      <c r="J248" s="134">
        <v>2592</v>
      </c>
      <c r="K248" s="134">
        <v>114512.721701</v>
      </c>
      <c r="L248" s="42">
        <v>0.55539902678899999</v>
      </c>
      <c r="M248" s="42">
        <v>0.70237518177400005</v>
      </c>
      <c r="N248" s="134">
        <v>1</v>
      </c>
      <c r="O248" s="43" t="s">
        <v>627</v>
      </c>
      <c r="P248" s="43">
        <f t="shared" si="47"/>
        <v>14.57765425279001</v>
      </c>
      <c r="Q248" s="43">
        <f t="shared" si="48"/>
        <v>0.22579112400000001</v>
      </c>
      <c r="R248" s="43">
        <f t="shared" si="49"/>
        <v>1.6555001E-2</v>
      </c>
      <c r="S248" s="43">
        <f t="shared" si="50"/>
        <v>0.55539902699999999</v>
      </c>
      <c r="T248" s="43">
        <f t="shared" si="51"/>
        <v>2.5560935730000001</v>
      </c>
      <c r="U248" s="43">
        <f t="shared" si="52"/>
        <v>6.1119871269999999</v>
      </c>
      <c r="V248" s="43">
        <f t="shared" si="53"/>
        <v>2.6775426000000001E-2</v>
      </c>
      <c r="W248" s="230">
        <f t="shared" si="54"/>
        <v>0.37554450158783687</v>
      </c>
      <c r="X248" s="43">
        <f t="shared" si="55"/>
        <v>0.43985892100000001</v>
      </c>
      <c r="Y248" s="43">
        <v>86.736311079999993</v>
      </c>
      <c r="Z248" s="43">
        <f t="shared" si="44"/>
        <v>0</v>
      </c>
      <c r="AA248" s="43">
        <f t="shared" si="45"/>
        <v>478718</v>
      </c>
      <c r="AB248" s="43">
        <f t="shared" si="46"/>
        <v>186107</v>
      </c>
      <c r="AC248" s="43">
        <f t="shared" si="56"/>
        <v>7.5967312731255288E-2</v>
      </c>
      <c r="AD248" s="43">
        <f t="shared" si="57"/>
        <v>0.80847972010000058</v>
      </c>
      <c r="AF248" s="43">
        <v>14.57765425279001</v>
      </c>
      <c r="AG248" s="43">
        <v>0.22579112400000001</v>
      </c>
      <c r="AH248" s="43">
        <v>1.6555001E-2</v>
      </c>
      <c r="AI248" s="43">
        <v>0.55539902699999999</v>
      </c>
      <c r="AJ248" s="43">
        <v>2.5560935730000001</v>
      </c>
      <c r="AK248" s="43">
        <v>6.1119871269999999</v>
      </c>
      <c r="AL248" s="43">
        <v>2.6775426000000001E-2</v>
      </c>
      <c r="AM248" s="230">
        <v>0.37554450158783687</v>
      </c>
      <c r="AN248" s="43">
        <v>0.43985892100000001</v>
      </c>
    </row>
    <row r="249" spans="1:40" x14ac:dyDescent="0.25">
      <c r="A249" s="134">
        <v>239</v>
      </c>
      <c r="B249" s="134" t="s">
        <v>209</v>
      </c>
      <c r="C249" s="134" t="s">
        <v>210</v>
      </c>
      <c r="D249" s="134" t="s">
        <v>211</v>
      </c>
      <c r="E249" s="134">
        <v>223</v>
      </c>
      <c r="F249" s="134">
        <v>416</v>
      </c>
      <c r="G249" s="134">
        <v>15</v>
      </c>
      <c r="H249" s="134">
        <v>3483</v>
      </c>
      <c r="I249" s="200">
        <v>2.280485984E-2</v>
      </c>
      <c r="J249" s="134">
        <v>3899</v>
      </c>
      <c r="K249" s="134">
        <v>170972.32902800001</v>
      </c>
      <c r="L249" s="42">
        <v>0.54865152420200003</v>
      </c>
      <c r="M249" s="42">
        <v>0.93982730706999995</v>
      </c>
      <c r="N249" s="134">
        <v>1</v>
      </c>
      <c r="O249" s="43" t="s">
        <v>627</v>
      </c>
      <c r="P249" s="43">
        <f t="shared" si="47"/>
        <v>16.639455152931674</v>
      </c>
      <c r="Q249" s="43">
        <f t="shared" si="48"/>
        <v>0.289218647</v>
      </c>
      <c r="R249" s="43">
        <f t="shared" si="49"/>
        <v>1.3710620999999999E-2</v>
      </c>
      <c r="S249" s="43">
        <f t="shared" si="50"/>
        <v>0.54865152399999995</v>
      </c>
      <c r="T249" s="43">
        <f t="shared" si="51"/>
        <v>2.741970539</v>
      </c>
      <c r="U249" s="43">
        <f t="shared" si="52"/>
        <v>7.1424888019999999</v>
      </c>
      <c r="V249" s="43">
        <f t="shared" si="53"/>
        <v>1.7795591999999999E-2</v>
      </c>
      <c r="W249" s="230">
        <f t="shared" si="54"/>
        <v>0.48943420243424529</v>
      </c>
      <c r="X249" s="43">
        <f t="shared" si="55"/>
        <v>0.400109412</v>
      </c>
      <c r="Y249" s="43">
        <v>92.69385011</v>
      </c>
      <c r="Z249" s="43">
        <f t="shared" si="44"/>
        <v>0</v>
      </c>
      <c r="AA249" s="43">
        <f t="shared" si="45"/>
        <v>478718</v>
      </c>
      <c r="AB249" s="43">
        <f t="shared" si="46"/>
        <v>186107</v>
      </c>
      <c r="AC249" s="43">
        <f t="shared" si="56"/>
        <v>7.5967312731255288E-2</v>
      </c>
      <c r="AD249" s="43">
        <f t="shared" si="57"/>
        <v>0.80847972010000058</v>
      </c>
      <c r="AF249" s="43">
        <v>16.639455152931674</v>
      </c>
      <c r="AG249" s="43">
        <v>0.289218647</v>
      </c>
      <c r="AH249" s="43">
        <v>1.3710620999999999E-2</v>
      </c>
      <c r="AI249" s="43">
        <v>0.54865152399999995</v>
      </c>
      <c r="AJ249" s="43">
        <v>2.741970539</v>
      </c>
      <c r="AK249" s="43">
        <v>7.1424888019999999</v>
      </c>
      <c r="AL249" s="43">
        <v>1.7795591999999999E-2</v>
      </c>
      <c r="AM249" s="230">
        <v>0.48943420243424529</v>
      </c>
      <c r="AN249" s="43">
        <v>0.400109412</v>
      </c>
    </row>
    <row r="250" spans="1:40" x14ac:dyDescent="0.25">
      <c r="A250" s="134">
        <v>240</v>
      </c>
      <c r="B250" s="134" t="s">
        <v>209</v>
      </c>
      <c r="C250" s="134" t="s">
        <v>210</v>
      </c>
      <c r="D250" s="134" t="s">
        <v>211</v>
      </c>
      <c r="E250" s="134">
        <v>46</v>
      </c>
      <c r="F250" s="134">
        <v>86</v>
      </c>
      <c r="G250" s="134">
        <v>15</v>
      </c>
      <c r="H250" s="134">
        <v>943</v>
      </c>
      <c r="I250" s="200">
        <v>2.30853421395E-2</v>
      </c>
      <c r="J250" s="134">
        <v>1029</v>
      </c>
      <c r="K250" s="134">
        <v>44573.738339299998</v>
      </c>
      <c r="L250" s="42">
        <v>0.71346210927700005</v>
      </c>
      <c r="M250" s="42">
        <v>0.95348837209299997</v>
      </c>
      <c r="N250" s="134">
        <v>1</v>
      </c>
      <c r="O250" s="43" t="s">
        <v>627</v>
      </c>
      <c r="P250" s="43">
        <f t="shared" si="47"/>
        <v>14.134356047799663</v>
      </c>
      <c r="Q250" s="43">
        <f t="shared" si="48"/>
        <v>0.117074229</v>
      </c>
      <c r="R250" s="43">
        <f t="shared" si="49"/>
        <v>1.3185835E-2</v>
      </c>
      <c r="S250" s="43">
        <f t="shared" si="50"/>
        <v>0.71346210899999996</v>
      </c>
      <c r="T250" s="43">
        <f t="shared" si="51"/>
        <v>2.5076823199999998</v>
      </c>
      <c r="U250" s="43">
        <f t="shared" si="52"/>
        <v>6.6495562420000001</v>
      </c>
      <c r="V250" s="43">
        <f t="shared" si="53"/>
        <v>1.5891690999999999E-2</v>
      </c>
      <c r="W250" s="230">
        <f t="shared" si="54"/>
        <v>0.2012208638123007</v>
      </c>
      <c r="X250" s="43">
        <f t="shared" si="55"/>
        <v>0.68886729099999999</v>
      </c>
      <c r="Y250" s="43">
        <v>86.731424090000004</v>
      </c>
      <c r="Z250" s="43">
        <f t="shared" si="44"/>
        <v>0</v>
      </c>
      <c r="AA250" s="43">
        <f t="shared" si="45"/>
        <v>478718</v>
      </c>
      <c r="AB250" s="43">
        <f t="shared" si="46"/>
        <v>186107</v>
      </c>
      <c r="AC250" s="43">
        <f t="shared" si="56"/>
        <v>7.5967312731255288E-2</v>
      </c>
      <c r="AD250" s="43">
        <f t="shared" si="57"/>
        <v>0.80847972010000058</v>
      </c>
      <c r="AF250" s="43">
        <v>14.134356047799663</v>
      </c>
      <c r="AG250" s="43">
        <v>0.117074229</v>
      </c>
      <c r="AH250" s="43">
        <v>1.3185835E-2</v>
      </c>
      <c r="AI250" s="43">
        <v>0.71346210899999996</v>
      </c>
      <c r="AJ250" s="43">
        <v>2.5076823199999998</v>
      </c>
      <c r="AK250" s="43">
        <v>6.6495562420000001</v>
      </c>
      <c r="AL250" s="43">
        <v>1.5891690999999999E-2</v>
      </c>
      <c r="AM250" s="230">
        <v>0.2012208638123007</v>
      </c>
      <c r="AN250" s="43">
        <v>0.68886729099999999</v>
      </c>
    </row>
    <row r="251" spans="1:40" x14ac:dyDescent="0.25">
      <c r="A251" s="134">
        <v>241</v>
      </c>
      <c r="B251" s="134" t="s">
        <v>209</v>
      </c>
      <c r="C251" s="134" t="s">
        <v>210</v>
      </c>
      <c r="D251" s="134" t="s">
        <v>211</v>
      </c>
      <c r="E251" s="134">
        <v>677</v>
      </c>
      <c r="F251" s="134">
        <v>1260</v>
      </c>
      <c r="G251" s="134">
        <v>15</v>
      </c>
      <c r="H251" s="134">
        <v>2167</v>
      </c>
      <c r="I251" s="200">
        <v>2.3720278301699999E-2</v>
      </c>
      <c r="J251" s="134">
        <v>3427</v>
      </c>
      <c r="K251" s="134">
        <v>144475.53930100001</v>
      </c>
      <c r="L251" s="42">
        <v>0.63727911429299999</v>
      </c>
      <c r="M251" s="42">
        <v>0.76195499296799996</v>
      </c>
      <c r="N251" s="134">
        <v>1</v>
      </c>
      <c r="O251" s="43" t="s">
        <v>627</v>
      </c>
      <c r="P251" s="43">
        <f t="shared" si="47"/>
        <v>14.335524522759645</v>
      </c>
      <c r="Q251" s="43">
        <f t="shared" si="48"/>
        <v>0.15054505900000001</v>
      </c>
      <c r="R251" s="43">
        <f t="shared" si="49"/>
        <v>1.5059131E-2</v>
      </c>
      <c r="S251" s="43">
        <f t="shared" si="50"/>
        <v>0.63727911400000004</v>
      </c>
      <c r="T251" s="43">
        <f t="shared" si="51"/>
        <v>2.5413925439999998</v>
      </c>
      <c r="U251" s="43">
        <f t="shared" si="52"/>
        <v>7.0838910879999997</v>
      </c>
      <c r="V251" s="43">
        <f t="shared" si="53"/>
        <v>2.2978180000000001E-2</v>
      </c>
      <c r="W251" s="230">
        <f t="shared" si="54"/>
        <v>0.26772416727736936</v>
      </c>
      <c r="X251" s="43">
        <f t="shared" si="55"/>
        <v>0.57646391299999999</v>
      </c>
      <c r="Y251" s="43">
        <v>92.692516139999995</v>
      </c>
      <c r="Z251" s="43">
        <f t="shared" si="44"/>
        <v>0</v>
      </c>
      <c r="AA251" s="43">
        <f t="shared" si="45"/>
        <v>478718</v>
      </c>
      <c r="AB251" s="43">
        <f t="shared" si="46"/>
        <v>186107</v>
      </c>
      <c r="AC251" s="43">
        <f t="shared" si="56"/>
        <v>7.5967312731255288E-2</v>
      </c>
      <c r="AD251" s="43">
        <f t="shared" si="57"/>
        <v>0.80847972010000058</v>
      </c>
      <c r="AF251" s="43">
        <v>14.335524522759645</v>
      </c>
      <c r="AG251" s="43">
        <v>0.15054505900000001</v>
      </c>
      <c r="AH251" s="43">
        <v>1.5059131E-2</v>
      </c>
      <c r="AI251" s="43">
        <v>0.63727911400000004</v>
      </c>
      <c r="AJ251" s="43">
        <v>2.5413925439999998</v>
      </c>
      <c r="AK251" s="43">
        <v>7.0838910879999997</v>
      </c>
      <c r="AL251" s="43">
        <v>2.2978180000000001E-2</v>
      </c>
      <c r="AM251" s="230">
        <v>0.26772416727736936</v>
      </c>
      <c r="AN251" s="43">
        <v>0.57646391299999999</v>
      </c>
    </row>
    <row r="252" spans="1:40" x14ac:dyDescent="0.25">
      <c r="A252" s="134">
        <v>242</v>
      </c>
      <c r="B252" s="134" t="s">
        <v>209</v>
      </c>
      <c r="C252" s="134" t="s">
        <v>210</v>
      </c>
      <c r="D252" s="134" t="s">
        <v>211</v>
      </c>
      <c r="E252" s="134">
        <v>351</v>
      </c>
      <c r="F252" s="134">
        <v>653</v>
      </c>
      <c r="G252" s="134">
        <v>12</v>
      </c>
      <c r="H252" s="134">
        <v>1049</v>
      </c>
      <c r="I252" s="200">
        <v>1.9446243989600001E-2</v>
      </c>
      <c r="J252" s="134">
        <v>1702</v>
      </c>
      <c r="K252" s="134">
        <v>87523.328459199998</v>
      </c>
      <c r="L252" s="42">
        <v>0.59140062225000001</v>
      </c>
      <c r="M252" s="42">
        <v>0.74928571428599999</v>
      </c>
      <c r="N252" s="134">
        <v>1</v>
      </c>
      <c r="O252" s="43" t="s">
        <v>627</v>
      </c>
      <c r="P252" s="43">
        <f t="shared" si="47"/>
        <v>15.413526617555682</v>
      </c>
      <c r="Q252" s="43">
        <f t="shared" si="48"/>
        <v>0.213224206</v>
      </c>
      <c r="R252" s="43">
        <f t="shared" si="49"/>
        <v>1.6478402999999999E-2</v>
      </c>
      <c r="S252" s="43">
        <f t="shared" si="50"/>
        <v>0.59140062199999999</v>
      </c>
      <c r="T252" s="43">
        <f t="shared" si="51"/>
        <v>2.7549680169999999</v>
      </c>
      <c r="U252" s="43">
        <f t="shared" si="52"/>
        <v>6.9656870169999996</v>
      </c>
      <c r="V252" s="43">
        <f t="shared" si="53"/>
        <v>2.4970958000000001E-2</v>
      </c>
      <c r="W252" s="230">
        <f t="shared" si="54"/>
        <v>0.37589199425999859</v>
      </c>
      <c r="X252" s="43">
        <f t="shared" si="55"/>
        <v>0.479817257</v>
      </c>
      <c r="Y252" s="43">
        <v>89.671386339999998</v>
      </c>
      <c r="Z252" s="43">
        <f t="shared" si="44"/>
        <v>0</v>
      </c>
      <c r="AA252" s="43">
        <f t="shared" si="45"/>
        <v>478718</v>
      </c>
      <c r="AB252" s="43">
        <f t="shared" si="46"/>
        <v>186107</v>
      </c>
      <c r="AC252" s="43">
        <f t="shared" si="56"/>
        <v>7.5967312731255288E-2</v>
      </c>
      <c r="AD252" s="43">
        <f t="shared" si="57"/>
        <v>0.80847972010000058</v>
      </c>
      <c r="AF252" s="43">
        <v>15.413526617555682</v>
      </c>
      <c r="AG252" s="43">
        <v>0.213224206</v>
      </c>
      <c r="AH252" s="43">
        <v>1.6478402999999999E-2</v>
      </c>
      <c r="AI252" s="43">
        <v>0.59140062199999999</v>
      </c>
      <c r="AJ252" s="43">
        <v>2.7549680169999999</v>
      </c>
      <c r="AK252" s="43">
        <v>6.9656870169999996</v>
      </c>
      <c r="AL252" s="43">
        <v>2.4970958000000001E-2</v>
      </c>
      <c r="AM252" s="230">
        <v>0.37589199425999859</v>
      </c>
      <c r="AN252" s="43">
        <v>0.479817257</v>
      </c>
    </row>
    <row r="253" spans="1:40" x14ac:dyDescent="0.25">
      <c r="A253" s="134">
        <v>243</v>
      </c>
      <c r="B253" s="134" t="s">
        <v>209</v>
      </c>
      <c r="C253" s="134" t="s">
        <v>210</v>
      </c>
      <c r="D253" s="134" t="s">
        <v>211</v>
      </c>
      <c r="E253" s="134">
        <v>64</v>
      </c>
      <c r="F253" s="134">
        <v>119</v>
      </c>
      <c r="G253" s="134">
        <v>12</v>
      </c>
      <c r="H253" s="134">
        <v>904</v>
      </c>
      <c r="I253" s="200">
        <v>1.80047123632E-2</v>
      </c>
      <c r="J253" s="134">
        <v>1023</v>
      </c>
      <c r="K253" s="134">
        <v>56818.458377299998</v>
      </c>
      <c r="L253" s="42">
        <v>0.60892719684600005</v>
      </c>
      <c r="M253" s="42">
        <v>0.933884297521</v>
      </c>
      <c r="N253" s="134">
        <v>1</v>
      </c>
      <c r="O253" s="43" t="s">
        <v>627</v>
      </c>
      <c r="P253" s="43">
        <f t="shared" si="47"/>
        <v>15.400487572789254</v>
      </c>
      <c r="Q253" s="43">
        <f t="shared" si="48"/>
        <v>0.21981284700000001</v>
      </c>
      <c r="R253" s="43">
        <f t="shared" si="49"/>
        <v>1.5861378999999998E-2</v>
      </c>
      <c r="S253" s="43">
        <f t="shared" si="50"/>
        <v>0.60892719699999998</v>
      </c>
      <c r="T253" s="43">
        <f t="shared" si="51"/>
        <v>2.726535342</v>
      </c>
      <c r="U253" s="43">
        <f t="shared" si="52"/>
        <v>6.6411880090000004</v>
      </c>
      <c r="V253" s="43">
        <f t="shared" si="53"/>
        <v>2.227577E-2</v>
      </c>
      <c r="W253" s="230">
        <f t="shared" si="54"/>
        <v>0.37119894850696206</v>
      </c>
      <c r="X253" s="43">
        <f t="shared" si="55"/>
        <v>0.50312846600000005</v>
      </c>
      <c r="Y253" s="43">
        <v>86.727041479999997</v>
      </c>
      <c r="Z253" s="43">
        <f t="shared" si="44"/>
        <v>0</v>
      </c>
      <c r="AA253" s="43">
        <f t="shared" si="45"/>
        <v>478718</v>
      </c>
      <c r="AB253" s="43">
        <f t="shared" si="46"/>
        <v>186107</v>
      </c>
      <c r="AC253" s="43">
        <f t="shared" si="56"/>
        <v>7.5967312731255288E-2</v>
      </c>
      <c r="AD253" s="43">
        <f t="shared" si="57"/>
        <v>0.80847972010000058</v>
      </c>
      <c r="AF253" s="43">
        <v>15.400487572789254</v>
      </c>
      <c r="AG253" s="43">
        <v>0.21981284700000001</v>
      </c>
      <c r="AH253" s="43">
        <v>1.5861378999999998E-2</v>
      </c>
      <c r="AI253" s="43">
        <v>0.60892719699999998</v>
      </c>
      <c r="AJ253" s="43">
        <v>2.726535342</v>
      </c>
      <c r="AK253" s="43">
        <v>6.6411880090000004</v>
      </c>
      <c r="AL253" s="43">
        <v>2.227577E-2</v>
      </c>
      <c r="AM253" s="230">
        <v>0.37119894850696206</v>
      </c>
      <c r="AN253" s="43">
        <v>0.50312846600000005</v>
      </c>
    </row>
    <row r="254" spans="1:40" x14ac:dyDescent="0.25">
      <c r="A254" s="134">
        <v>244</v>
      </c>
      <c r="B254" s="134" t="s">
        <v>209</v>
      </c>
      <c r="C254" s="134" t="s">
        <v>210</v>
      </c>
      <c r="D254" s="134" t="s">
        <v>211</v>
      </c>
      <c r="E254" s="134">
        <v>9</v>
      </c>
      <c r="F254" s="134">
        <v>15</v>
      </c>
      <c r="G254" s="134">
        <v>19</v>
      </c>
      <c r="H254" s="134">
        <v>1043</v>
      </c>
      <c r="I254" s="200">
        <v>3.8031473630599999E-2</v>
      </c>
      <c r="J254" s="134">
        <v>1058</v>
      </c>
      <c r="K254" s="134">
        <v>27819.064027799999</v>
      </c>
      <c r="L254" s="42">
        <v>0.75971467607200005</v>
      </c>
      <c r="M254" s="42">
        <v>0.99144486692</v>
      </c>
      <c r="N254" s="134">
        <v>0</v>
      </c>
      <c r="O254" s="43" t="s">
        <v>627</v>
      </c>
      <c r="P254" s="43">
        <f t="shared" si="47"/>
        <v>14.890076757957594</v>
      </c>
      <c r="Q254" s="43">
        <f t="shared" si="48"/>
        <v>0.114073968</v>
      </c>
      <c r="R254" s="43">
        <f t="shared" si="49"/>
        <v>1.1907031E-2</v>
      </c>
      <c r="S254" s="43">
        <f t="shared" si="50"/>
        <v>0.75971467599999998</v>
      </c>
      <c r="T254" s="43">
        <f t="shared" si="51"/>
        <v>3.0882548110000001</v>
      </c>
      <c r="U254" s="43">
        <f t="shared" si="52"/>
        <v>8.7107621300000009</v>
      </c>
      <c r="V254" s="43">
        <f t="shared" si="53"/>
        <v>1.4679832E-2</v>
      </c>
      <c r="W254" s="230">
        <f t="shared" si="54"/>
        <v>0.15513177960227359</v>
      </c>
      <c r="X254" s="43">
        <f t="shared" si="55"/>
        <v>0.76415225099999995</v>
      </c>
      <c r="Y254" s="43">
        <v>188.3987899</v>
      </c>
      <c r="Z254" s="43">
        <f t="shared" si="44"/>
        <v>0</v>
      </c>
      <c r="AA254" s="43">
        <f t="shared" si="45"/>
        <v>478718</v>
      </c>
      <c r="AB254" s="43">
        <f t="shared" si="46"/>
        <v>186107</v>
      </c>
      <c r="AC254" s="43">
        <f t="shared" si="56"/>
        <v>7.5967312731255288E-2</v>
      </c>
      <c r="AD254" s="43">
        <f t="shared" si="57"/>
        <v>0.80847972010000058</v>
      </c>
      <c r="AF254" s="43">
        <v>14.890076757957594</v>
      </c>
      <c r="AG254" s="43">
        <v>0.114073968</v>
      </c>
      <c r="AH254" s="43">
        <v>1.1907031E-2</v>
      </c>
      <c r="AI254" s="43">
        <v>0.75971467599999998</v>
      </c>
      <c r="AJ254" s="43">
        <v>3.0882548110000001</v>
      </c>
      <c r="AK254" s="43">
        <v>8.7107621300000009</v>
      </c>
      <c r="AL254" s="43">
        <v>1.4679832E-2</v>
      </c>
      <c r="AM254" s="230">
        <v>0.15513177960227359</v>
      </c>
      <c r="AN254" s="43">
        <v>0.76415225099999995</v>
      </c>
    </row>
    <row r="255" spans="1:40" x14ac:dyDescent="0.25">
      <c r="A255" s="134">
        <v>245</v>
      </c>
      <c r="B255" s="134" t="s">
        <v>209</v>
      </c>
      <c r="C255" s="134" t="s">
        <v>210</v>
      </c>
      <c r="D255" s="134" t="s">
        <v>211</v>
      </c>
      <c r="E255" s="134">
        <v>431</v>
      </c>
      <c r="F255" s="134">
        <v>767</v>
      </c>
      <c r="G255" s="134">
        <v>16</v>
      </c>
      <c r="H255" s="134">
        <v>1887</v>
      </c>
      <c r="I255" s="200">
        <v>3.3614836095099999E-2</v>
      </c>
      <c r="J255" s="134">
        <v>2654</v>
      </c>
      <c r="K255" s="134">
        <v>78953.233402400001</v>
      </c>
      <c r="L255" s="42">
        <v>0.69186436804600004</v>
      </c>
      <c r="M255" s="42">
        <v>0.81406384814499999</v>
      </c>
      <c r="N255" s="134">
        <v>1</v>
      </c>
      <c r="O255" s="43" t="s">
        <v>627</v>
      </c>
      <c r="P255" s="43">
        <f t="shared" si="47"/>
        <v>14.396893091630936</v>
      </c>
      <c r="Q255" s="43">
        <f t="shared" si="48"/>
        <v>0.134989216</v>
      </c>
      <c r="R255" s="43">
        <f t="shared" si="49"/>
        <v>1.6299353999999999E-2</v>
      </c>
      <c r="S255" s="43">
        <f t="shared" si="50"/>
        <v>0.69186436799999995</v>
      </c>
      <c r="T255" s="43">
        <f t="shared" si="51"/>
        <v>2.8132825659999998</v>
      </c>
      <c r="U255" s="43">
        <f t="shared" si="52"/>
        <v>7.7296212000000004</v>
      </c>
      <c r="V255" s="43">
        <f t="shared" si="53"/>
        <v>2.4845174000000001E-2</v>
      </c>
      <c r="W255" s="230">
        <f t="shared" si="54"/>
        <v>0.21144645562554817</v>
      </c>
      <c r="X255" s="43">
        <f t="shared" si="55"/>
        <v>0.65650001300000005</v>
      </c>
      <c r="Y255" s="43">
        <v>193.38826470000001</v>
      </c>
      <c r="Z255" s="43">
        <f t="shared" si="44"/>
        <v>0</v>
      </c>
      <c r="AA255" s="43">
        <f t="shared" si="45"/>
        <v>478718</v>
      </c>
      <c r="AB255" s="43">
        <f t="shared" si="46"/>
        <v>186107</v>
      </c>
      <c r="AC255" s="43">
        <f t="shared" si="56"/>
        <v>7.5967312731255288E-2</v>
      </c>
      <c r="AD255" s="43">
        <f t="shared" si="57"/>
        <v>0.80847972010000058</v>
      </c>
      <c r="AF255" s="43">
        <v>14.396893091630936</v>
      </c>
      <c r="AG255" s="43">
        <v>0.134989216</v>
      </c>
      <c r="AH255" s="43">
        <v>1.6299353999999999E-2</v>
      </c>
      <c r="AI255" s="43">
        <v>0.69186436799999995</v>
      </c>
      <c r="AJ255" s="43">
        <v>2.8132825659999998</v>
      </c>
      <c r="AK255" s="43">
        <v>7.7296212000000004</v>
      </c>
      <c r="AL255" s="43">
        <v>2.4845174000000001E-2</v>
      </c>
      <c r="AM255" s="230">
        <v>0.21144645562554817</v>
      </c>
      <c r="AN255" s="43">
        <v>0.65650001300000005</v>
      </c>
    </row>
    <row r="256" spans="1:40" x14ac:dyDescent="0.25">
      <c r="A256" s="134">
        <v>246</v>
      </c>
      <c r="B256" s="134" t="s">
        <v>209</v>
      </c>
      <c r="C256" s="134" t="s">
        <v>210</v>
      </c>
      <c r="D256" s="134" t="s">
        <v>211</v>
      </c>
      <c r="E256" s="134">
        <v>9</v>
      </c>
      <c r="F256" s="134">
        <v>15</v>
      </c>
      <c r="G256" s="134">
        <v>12</v>
      </c>
      <c r="H256" s="134">
        <v>276</v>
      </c>
      <c r="I256" s="200">
        <v>2.5322487470500001E-2</v>
      </c>
      <c r="J256" s="134">
        <v>291</v>
      </c>
      <c r="K256" s="134">
        <v>11491.7620293</v>
      </c>
      <c r="L256" s="42">
        <v>0.74318990196900003</v>
      </c>
      <c r="M256" s="42">
        <v>0.96842105263199996</v>
      </c>
      <c r="N256" s="134">
        <v>0</v>
      </c>
      <c r="O256" s="43" t="s">
        <v>627</v>
      </c>
      <c r="P256" s="43">
        <f t="shared" si="47"/>
        <v>14.577995044614612</v>
      </c>
      <c r="Q256" s="43">
        <f t="shared" si="48"/>
        <v>9.3270147999999997E-2</v>
      </c>
      <c r="R256" s="43">
        <f t="shared" si="49"/>
        <v>1.1787542E-2</v>
      </c>
      <c r="S256" s="43">
        <f t="shared" si="50"/>
        <v>0.74318990200000001</v>
      </c>
      <c r="T256" s="43">
        <f t="shared" si="51"/>
        <v>2.7566089329999999</v>
      </c>
      <c r="U256" s="43">
        <f t="shared" si="52"/>
        <v>7.0182039500000002</v>
      </c>
      <c r="V256" s="43">
        <f t="shared" si="53"/>
        <v>1.3957307E-2</v>
      </c>
      <c r="W256" s="230">
        <f t="shared" si="54"/>
        <v>0.11226053639846745</v>
      </c>
      <c r="X256" s="43">
        <f t="shared" si="55"/>
        <v>0.75210728000000004</v>
      </c>
      <c r="Y256" s="43">
        <v>191.40883940000001</v>
      </c>
      <c r="Z256" s="43">
        <f t="shared" si="44"/>
        <v>0</v>
      </c>
      <c r="AA256" s="43">
        <f t="shared" si="45"/>
        <v>478718</v>
      </c>
      <c r="AB256" s="43">
        <f t="shared" si="46"/>
        <v>186107</v>
      </c>
      <c r="AC256" s="43">
        <f t="shared" si="56"/>
        <v>7.5967312731255288E-2</v>
      </c>
      <c r="AD256" s="43">
        <f t="shared" si="57"/>
        <v>0.80847972010000058</v>
      </c>
      <c r="AF256" s="43">
        <v>14.577995044614612</v>
      </c>
      <c r="AG256" s="43">
        <v>9.3270147999999997E-2</v>
      </c>
      <c r="AH256" s="43">
        <v>1.1787542E-2</v>
      </c>
      <c r="AI256" s="43">
        <v>0.74318990200000001</v>
      </c>
      <c r="AJ256" s="43">
        <v>2.7566089329999999</v>
      </c>
      <c r="AK256" s="43">
        <v>7.0182039500000002</v>
      </c>
      <c r="AL256" s="43">
        <v>1.3957307E-2</v>
      </c>
      <c r="AM256" s="230">
        <v>0.11226053639846745</v>
      </c>
      <c r="AN256" s="43">
        <v>0.75210728000000004</v>
      </c>
    </row>
    <row r="257" spans="1:40" x14ac:dyDescent="0.25">
      <c r="A257" s="134">
        <v>247</v>
      </c>
      <c r="B257" s="134" t="s">
        <v>209</v>
      </c>
      <c r="C257" s="134" t="s">
        <v>210</v>
      </c>
      <c r="D257" s="134" t="s">
        <v>211</v>
      </c>
      <c r="E257" s="134">
        <v>0</v>
      </c>
      <c r="F257" s="134">
        <v>0</v>
      </c>
      <c r="G257" s="134">
        <v>16</v>
      </c>
      <c r="H257" s="134">
        <v>368</v>
      </c>
      <c r="I257" s="200">
        <v>3.27183341795E-2</v>
      </c>
      <c r="J257" s="134">
        <v>368</v>
      </c>
      <c r="K257" s="134">
        <v>11247.516391900001</v>
      </c>
      <c r="L257" s="42">
        <v>0.77471295239399995</v>
      </c>
      <c r="M257" s="42">
        <v>1</v>
      </c>
      <c r="N257" s="134">
        <v>0</v>
      </c>
      <c r="O257" s="43" t="s">
        <v>664</v>
      </c>
      <c r="P257" s="43">
        <f t="shared" si="47"/>
        <v>14.77381050221609</v>
      </c>
      <c r="Q257" s="43">
        <f t="shared" si="48"/>
        <v>7.8278386000000005E-2</v>
      </c>
      <c r="R257" s="43">
        <f t="shared" si="49"/>
        <v>1.1065601E-2</v>
      </c>
      <c r="S257" s="43">
        <f t="shared" si="50"/>
        <v>0.77471295200000001</v>
      </c>
      <c r="T257" s="43">
        <f t="shared" si="51"/>
        <v>3.0642256899999998</v>
      </c>
      <c r="U257" s="43">
        <f t="shared" si="52"/>
        <v>7.3003054760000001</v>
      </c>
      <c r="V257" s="43">
        <f t="shared" si="53"/>
        <v>1.2375572E-2</v>
      </c>
      <c r="W257" s="230">
        <f t="shared" si="54"/>
        <v>0.11347861178369653</v>
      </c>
      <c r="X257" s="43">
        <f t="shared" si="55"/>
        <v>0.77993005100000001</v>
      </c>
      <c r="Y257" s="43">
        <v>193.51687620000001</v>
      </c>
      <c r="Z257" s="43">
        <f t="shared" si="44"/>
        <v>0</v>
      </c>
      <c r="AA257" s="43">
        <f t="shared" si="45"/>
        <v>478718</v>
      </c>
      <c r="AB257" s="43">
        <f t="shared" si="46"/>
        <v>186107</v>
      </c>
      <c r="AC257" s="43">
        <f t="shared" si="56"/>
        <v>7.5967312731255288E-2</v>
      </c>
      <c r="AD257" s="43">
        <f t="shared" si="57"/>
        <v>0.80847972010000058</v>
      </c>
      <c r="AF257" s="43">
        <v>14.77381050221609</v>
      </c>
      <c r="AG257" s="43">
        <v>7.8278386000000005E-2</v>
      </c>
      <c r="AH257" s="43">
        <v>1.1065601E-2</v>
      </c>
      <c r="AI257" s="43">
        <v>0.77471295200000001</v>
      </c>
      <c r="AJ257" s="43">
        <v>3.0642256899999998</v>
      </c>
      <c r="AK257" s="43">
        <v>7.3003054760000001</v>
      </c>
      <c r="AL257" s="43">
        <v>1.2375572E-2</v>
      </c>
      <c r="AM257" s="230">
        <v>0.11347861178369653</v>
      </c>
      <c r="AN257" s="43">
        <v>0.77993005100000001</v>
      </c>
    </row>
    <row r="258" spans="1:40" x14ac:dyDescent="0.25">
      <c r="A258" s="134">
        <v>248</v>
      </c>
      <c r="B258" s="134" t="s">
        <v>209</v>
      </c>
      <c r="C258" s="134" t="s">
        <v>210</v>
      </c>
      <c r="D258" s="134" t="s">
        <v>211</v>
      </c>
      <c r="E258" s="134">
        <v>384</v>
      </c>
      <c r="F258" s="134">
        <v>683</v>
      </c>
      <c r="G258" s="134">
        <v>9</v>
      </c>
      <c r="H258" s="134">
        <v>957</v>
      </c>
      <c r="I258" s="200">
        <v>1.7517079313700001E-2</v>
      </c>
      <c r="J258" s="134">
        <v>1640</v>
      </c>
      <c r="K258" s="134">
        <v>93622.913422600002</v>
      </c>
      <c r="L258" s="42">
        <v>0.69545011364700005</v>
      </c>
      <c r="M258" s="42">
        <v>0.71364653243800003</v>
      </c>
      <c r="N258" s="134">
        <v>0</v>
      </c>
      <c r="O258" s="43" t="s">
        <v>627</v>
      </c>
      <c r="P258" s="43">
        <f t="shared" si="47"/>
        <v>13.999787803816922</v>
      </c>
      <c r="Q258" s="43">
        <f t="shared" si="48"/>
        <v>0.126768144</v>
      </c>
      <c r="R258" s="43">
        <f t="shared" si="49"/>
        <v>1.6322751999999999E-2</v>
      </c>
      <c r="S258" s="43">
        <f t="shared" si="50"/>
        <v>0.69545011400000001</v>
      </c>
      <c r="T258" s="43">
        <f t="shared" si="51"/>
        <v>2.8572101349999999</v>
      </c>
      <c r="U258" s="43">
        <f t="shared" si="52"/>
        <v>7.8095015249999999</v>
      </c>
      <c r="V258" s="43">
        <f t="shared" si="53"/>
        <v>2.9940188E-2</v>
      </c>
      <c r="W258" s="230">
        <f t="shared" si="54"/>
        <v>0.21980200288745788</v>
      </c>
      <c r="X258" s="43">
        <f t="shared" si="55"/>
        <v>0.62844604299999995</v>
      </c>
      <c r="Y258" s="43">
        <v>193.51687620000001</v>
      </c>
      <c r="Z258" s="43">
        <f t="shared" si="44"/>
        <v>0</v>
      </c>
      <c r="AA258" s="43">
        <f t="shared" si="45"/>
        <v>478718</v>
      </c>
      <c r="AB258" s="43">
        <f t="shared" si="46"/>
        <v>186107</v>
      </c>
      <c r="AC258" s="43">
        <f t="shared" si="56"/>
        <v>7.5967312731255288E-2</v>
      </c>
      <c r="AD258" s="43">
        <f t="shared" si="57"/>
        <v>0.80847972010000058</v>
      </c>
      <c r="AF258" s="43">
        <v>13.999787803816922</v>
      </c>
      <c r="AG258" s="43">
        <v>0.126768144</v>
      </c>
      <c r="AH258" s="43">
        <v>1.6322751999999999E-2</v>
      </c>
      <c r="AI258" s="43">
        <v>0.69545011400000001</v>
      </c>
      <c r="AJ258" s="43">
        <v>2.8572101349999999</v>
      </c>
      <c r="AK258" s="43">
        <v>7.8095015249999999</v>
      </c>
      <c r="AL258" s="43">
        <v>2.9940188E-2</v>
      </c>
      <c r="AM258" s="230">
        <v>0.21980200288745788</v>
      </c>
      <c r="AN258" s="43">
        <v>0.62844604299999995</v>
      </c>
    </row>
    <row r="259" spans="1:40" x14ac:dyDescent="0.25">
      <c r="A259" s="134">
        <v>249</v>
      </c>
      <c r="B259" s="134" t="s">
        <v>209</v>
      </c>
      <c r="C259" s="134" t="s">
        <v>210</v>
      </c>
      <c r="D259" s="134" t="s">
        <v>211</v>
      </c>
      <c r="E259" s="134">
        <v>219</v>
      </c>
      <c r="F259" s="134">
        <v>390</v>
      </c>
      <c r="G259" s="134">
        <v>19</v>
      </c>
      <c r="H259" s="134">
        <v>955</v>
      </c>
      <c r="I259" s="200">
        <v>3.9922048642600003E-2</v>
      </c>
      <c r="J259" s="134">
        <v>1345</v>
      </c>
      <c r="K259" s="134">
        <v>33690.655808800002</v>
      </c>
      <c r="L259" s="42">
        <v>0.704375831678</v>
      </c>
      <c r="M259" s="42">
        <v>0.81345826235100005</v>
      </c>
      <c r="N259" s="134">
        <v>1</v>
      </c>
      <c r="O259" s="43" t="s">
        <v>627</v>
      </c>
      <c r="P259" s="43">
        <f t="shared" si="47"/>
        <v>13.924463809774823</v>
      </c>
      <c r="Q259" s="43">
        <f t="shared" si="48"/>
        <v>0.117100264</v>
      </c>
      <c r="R259" s="43">
        <f t="shared" si="49"/>
        <v>1.4806279E-2</v>
      </c>
      <c r="S259" s="43">
        <f t="shared" si="50"/>
        <v>0.70437583199999998</v>
      </c>
      <c r="T259" s="43">
        <f t="shared" si="51"/>
        <v>2.6254474449999998</v>
      </c>
      <c r="U259" s="43">
        <f t="shared" si="52"/>
        <v>7.7157748079999999</v>
      </c>
      <c r="V259" s="43">
        <f t="shared" si="53"/>
        <v>2.0242448999999999E-2</v>
      </c>
      <c r="W259" s="230">
        <f t="shared" si="54"/>
        <v>0.18085215211887165</v>
      </c>
      <c r="X259" s="43">
        <f t="shared" si="55"/>
        <v>0.68101838800000003</v>
      </c>
      <c r="Y259" s="43">
        <v>181.17294140000001</v>
      </c>
      <c r="Z259" s="43">
        <f t="shared" si="44"/>
        <v>0</v>
      </c>
      <c r="AA259" s="43">
        <f t="shared" si="45"/>
        <v>478718</v>
      </c>
      <c r="AB259" s="43">
        <f t="shared" si="46"/>
        <v>186107</v>
      </c>
      <c r="AC259" s="43">
        <f t="shared" si="56"/>
        <v>7.5967312731255288E-2</v>
      </c>
      <c r="AD259" s="43">
        <f t="shared" si="57"/>
        <v>0.80847972010000058</v>
      </c>
      <c r="AF259" s="43">
        <v>13.924463809774823</v>
      </c>
      <c r="AG259" s="43">
        <v>0.117100264</v>
      </c>
      <c r="AH259" s="43">
        <v>1.4806279E-2</v>
      </c>
      <c r="AI259" s="43">
        <v>0.70437583199999998</v>
      </c>
      <c r="AJ259" s="43">
        <v>2.6254474449999998</v>
      </c>
      <c r="AK259" s="43">
        <v>7.7157748079999999</v>
      </c>
      <c r="AL259" s="43">
        <v>2.0242448999999999E-2</v>
      </c>
      <c r="AM259" s="230">
        <v>0.18085215211887165</v>
      </c>
      <c r="AN259" s="43">
        <v>0.68101838800000003</v>
      </c>
    </row>
    <row r="260" spans="1:40" x14ac:dyDescent="0.25">
      <c r="A260" s="134">
        <v>250</v>
      </c>
      <c r="B260" s="134" t="s">
        <v>209</v>
      </c>
      <c r="C260" s="134" t="s">
        <v>210</v>
      </c>
      <c r="D260" s="134" t="s">
        <v>211</v>
      </c>
      <c r="E260" s="134">
        <v>2</v>
      </c>
      <c r="F260" s="134">
        <v>4</v>
      </c>
      <c r="G260" s="134">
        <v>48</v>
      </c>
      <c r="H260" s="134">
        <v>812</v>
      </c>
      <c r="I260" s="200">
        <v>8.1118896041099994E-2</v>
      </c>
      <c r="J260" s="134">
        <v>816</v>
      </c>
      <c r="K260" s="134">
        <v>10059.3084944</v>
      </c>
      <c r="L260" s="42">
        <v>0.83416380216499997</v>
      </c>
      <c r="M260" s="42">
        <v>0.99754299754300002</v>
      </c>
      <c r="N260" s="134">
        <v>1</v>
      </c>
      <c r="O260" s="43" t="s">
        <v>664</v>
      </c>
      <c r="P260" s="43">
        <f t="shared" si="47"/>
        <v>15.927339457117336</v>
      </c>
      <c r="Q260" s="43">
        <f t="shared" si="48"/>
        <v>9.2895088000000001E-2</v>
      </c>
      <c r="R260" s="43">
        <f t="shared" si="49"/>
        <v>9.4940479999999997E-3</v>
      </c>
      <c r="S260" s="43">
        <f t="shared" si="50"/>
        <v>0.83416380199999995</v>
      </c>
      <c r="T260" s="43">
        <f t="shared" si="51"/>
        <v>3.7460984389999998</v>
      </c>
      <c r="U260" s="43">
        <f t="shared" si="52"/>
        <v>10.20219758</v>
      </c>
      <c r="V260" s="43">
        <f t="shared" si="53"/>
        <v>1.2185176000000001E-2</v>
      </c>
      <c r="W260" s="230">
        <f t="shared" si="54"/>
        <v>9.9232429839289996E-2</v>
      </c>
      <c r="X260" s="43">
        <f t="shared" si="55"/>
        <v>0.84519069300000005</v>
      </c>
      <c r="Y260" s="43">
        <v>111.4604617</v>
      </c>
      <c r="Z260" s="43">
        <f t="shared" si="44"/>
        <v>0</v>
      </c>
      <c r="AA260" s="43">
        <f t="shared" si="45"/>
        <v>478718</v>
      </c>
      <c r="AB260" s="43">
        <f t="shared" si="46"/>
        <v>186107</v>
      </c>
      <c r="AC260" s="43">
        <f t="shared" si="56"/>
        <v>7.5967312731255288E-2</v>
      </c>
      <c r="AD260" s="43">
        <f t="shared" si="57"/>
        <v>0.80847972010000058</v>
      </c>
      <c r="AF260" s="43">
        <v>15.927339457117336</v>
      </c>
      <c r="AG260" s="43">
        <v>9.2895088000000001E-2</v>
      </c>
      <c r="AH260" s="43">
        <v>9.4940479999999997E-3</v>
      </c>
      <c r="AI260" s="43">
        <v>0.83416380199999995</v>
      </c>
      <c r="AJ260" s="43">
        <v>3.7460984389999998</v>
      </c>
      <c r="AK260" s="43">
        <v>10.20219758</v>
      </c>
      <c r="AL260" s="43">
        <v>1.2185176000000001E-2</v>
      </c>
      <c r="AM260" s="230">
        <v>9.9232429839289996E-2</v>
      </c>
      <c r="AN260" s="43">
        <v>0.84519069300000005</v>
      </c>
    </row>
    <row r="261" spans="1:40" x14ac:dyDescent="0.25">
      <c r="A261" s="134">
        <v>251</v>
      </c>
      <c r="B261" s="134" t="s">
        <v>209</v>
      </c>
      <c r="C261" s="134" t="s">
        <v>210</v>
      </c>
      <c r="D261" s="134" t="s">
        <v>211</v>
      </c>
      <c r="E261" s="134">
        <v>32</v>
      </c>
      <c r="F261" s="134">
        <v>68</v>
      </c>
      <c r="G261" s="134">
        <v>13</v>
      </c>
      <c r="H261" s="134">
        <v>89</v>
      </c>
      <c r="I261" s="200">
        <v>2.1892353219800001E-2</v>
      </c>
      <c r="J261" s="134">
        <v>157</v>
      </c>
      <c r="K261" s="134">
        <v>7171.4538142199999</v>
      </c>
      <c r="L261" s="42">
        <v>0.79978783304099998</v>
      </c>
      <c r="M261" s="42">
        <v>0.735537190083</v>
      </c>
      <c r="N261" s="134">
        <v>0</v>
      </c>
      <c r="O261" s="43" t="s">
        <v>664</v>
      </c>
      <c r="P261" s="43">
        <f t="shared" si="47"/>
        <v>13.920589532822886</v>
      </c>
      <c r="Q261" s="43">
        <f t="shared" si="48"/>
        <v>7.8420171999999996E-2</v>
      </c>
      <c r="R261" s="43">
        <f t="shared" si="49"/>
        <v>9.9555270000000005E-3</v>
      </c>
      <c r="S261" s="43">
        <f t="shared" si="50"/>
        <v>0.799787833</v>
      </c>
      <c r="T261" s="43">
        <f t="shared" si="51"/>
        <v>4.0291060290000003</v>
      </c>
      <c r="U261" s="43">
        <f t="shared" si="52"/>
        <v>8.9620864269999991</v>
      </c>
      <c r="V261" s="43">
        <f t="shared" si="53"/>
        <v>9.1743120000000004E-3</v>
      </c>
      <c r="W261" s="230">
        <f t="shared" si="54"/>
        <v>9.2982891148028768E-2</v>
      </c>
      <c r="X261" s="43">
        <f t="shared" si="55"/>
        <v>0.74857426199999999</v>
      </c>
      <c r="Y261" s="43">
        <v>112.3842715</v>
      </c>
      <c r="Z261" s="43">
        <f t="shared" si="44"/>
        <v>0</v>
      </c>
      <c r="AA261" s="43">
        <f t="shared" si="45"/>
        <v>478718</v>
      </c>
      <c r="AB261" s="43">
        <f t="shared" si="46"/>
        <v>186107</v>
      </c>
      <c r="AC261" s="43">
        <f t="shared" si="56"/>
        <v>7.5967312731255288E-2</v>
      </c>
      <c r="AD261" s="43">
        <f t="shared" si="57"/>
        <v>0.80847972010000058</v>
      </c>
      <c r="AF261" s="43">
        <v>13.920589532822886</v>
      </c>
      <c r="AG261" s="43">
        <v>7.8420171999999996E-2</v>
      </c>
      <c r="AH261" s="43">
        <v>9.9555270000000005E-3</v>
      </c>
      <c r="AI261" s="43">
        <v>0.799787833</v>
      </c>
      <c r="AJ261" s="43">
        <v>4.0291060290000003</v>
      </c>
      <c r="AK261" s="43">
        <v>8.9620864269999991</v>
      </c>
      <c r="AL261" s="43">
        <v>9.1743120000000004E-3</v>
      </c>
      <c r="AM261" s="230">
        <v>9.2982891148028768E-2</v>
      </c>
      <c r="AN261" s="43">
        <v>0.74857426199999999</v>
      </c>
    </row>
    <row r="262" spans="1:40" x14ac:dyDescent="0.25">
      <c r="A262" s="134">
        <v>252</v>
      </c>
      <c r="B262" s="134" t="s">
        <v>209</v>
      </c>
      <c r="C262" s="134" t="s">
        <v>210</v>
      </c>
      <c r="D262" s="134" t="s">
        <v>211</v>
      </c>
      <c r="E262" s="134">
        <v>7</v>
      </c>
      <c r="F262" s="134">
        <v>15</v>
      </c>
      <c r="G262" s="134">
        <v>17</v>
      </c>
      <c r="H262" s="134">
        <v>242</v>
      </c>
      <c r="I262" s="200">
        <v>2.86281228309E-2</v>
      </c>
      <c r="J262" s="134">
        <v>257</v>
      </c>
      <c r="K262" s="134">
        <v>8977.1865769100004</v>
      </c>
      <c r="L262" s="42">
        <v>0.82469068824699998</v>
      </c>
      <c r="M262" s="42">
        <v>0.97188755020100004</v>
      </c>
      <c r="N262" s="134">
        <v>0</v>
      </c>
      <c r="O262" s="43" t="s">
        <v>664</v>
      </c>
      <c r="P262" s="43">
        <f t="shared" si="47"/>
        <v>15.316913679690741</v>
      </c>
      <c r="Q262" s="43">
        <f t="shared" si="48"/>
        <v>6.4499601000000004E-2</v>
      </c>
      <c r="R262" s="43">
        <f t="shared" si="49"/>
        <v>9.4036799999999993E-3</v>
      </c>
      <c r="S262" s="43">
        <f t="shared" si="50"/>
        <v>0.82469068800000001</v>
      </c>
      <c r="T262" s="43">
        <f t="shared" si="51"/>
        <v>3.4242902210000001</v>
      </c>
      <c r="U262" s="43">
        <f t="shared" si="52"/>
        <v>9.1005638369999993</v>
      </c>
      <c r="V262" s="43">
        <f t="shared" si="53"/>
        <v>1.0624E-2</v>
      </c>
      <c r="W262" s="230">
        <f t="shared" si="54"/>
        <v>6.4383999999999997E-2</v>
      </c>
      <c r="X262" s="43">
        <f t="shared" si="55"/>
        <v>0.83238400000000001</v>
      </c>
      <c r="Y262" s="43">
        <v>111.0384614</v>
      </c>
      <c r="Z262" s="43">
        <f t="shared" si="44"/>
        <v>0</v>
      </c>
      <c r="AA262" s="43">
        <f t="shared" si="45"/>
        <v>478718</v>
      </c>
      <c r="AB262" s="43">
        <f t="shared" si="46"/>
        <v>186107</v>
      </c>
      <c r="AC262" s="43">
        <f t="shared" si="56"/>
        <v>7.5967312731255288E-2</v>
      </c>
      <c r="AD262" s="43">
        <f t="shared" si="57"/>
        <v>0.80847972010000058</v>
      </c>
      <c r="AF262" s="43">
        <v>15.316913679690741</v>
      </c>
      <c r="AG262" s="43">
        <v>6.4499601000000004E-2</v>
      </c>
      <c r="AH262" s="43">
        <v>9.4036799999999993E-3</v>
      </c>
      <c r="AI262" s="43">
        <v>0.82469068800000001</v>
      </c>
      <c r="AJ262" s="43">
        <v>3.4242902210000001</v>
      </c>
      <c r="AK262" s="43">
        <v>9.1005638369999993</v>
      </c>
      <c r="AL262" s="43">
        <v>1.0624E-2</v>
      </c>
      <c r="AM262" s="230">
        <v>6.4383999999999997E-2</v>
      </c>
      <c r="AN262" s="43">
        <v>0.83238400000000001</v>
      </c>
    </row>
    <row r="263" spans="1:40" x14ac:dyDescent="0.25">
      <c r="A263" s="134">
        <v>253</v>
      </c>
      <c r="B263" s="134" t="s">
        <v>209</v>
      </c>
      <c r="C263" s="134" t="s">
        <v>210</v>
      </c>
      <c r="D263" s="134" t="s">
        <v>211</v>
      </c>
      <c r="E263" s="134">
        <v>0</v>
      </c>
      <c r="F263" s="134">
        <v>0</v>
      </c>
      <c r="G263" s="134">
        <v>55</v>
      </c>
      <c r="H263" s="134">
        <v>164</v>
      </c>
      <c r="I263" s="200">
        <v>9.3429774171699995E-2</v>
      </c>
      <c r="J263" s="134">
        <v>164</v>
      </c>
      <c r="K263" s="134">
        <v>1755.3290849099999</v>
      </c>
      <c r="L263" s="42">
        <v>0.89722180051599998</v>
      </c>
      <c r="M263" s="42">
        <v>1</v>
      </c>
      <c r="N263" s="134">
        <v>0</v>
      </c>
      <c r="O263" s="43" t="s">
        <v>664</v>
      </c>
      <c r="P263" s="43">
        <f t="shared" si="47"/>
        <v>15.534846143037798</v>
      </c>
      <c r="Q263" s="43">
        <f t="shared" si="48"/>
        <v>1.7838165999999999E-2</v>
      </c>
      <c r="R263" s="43">
        <f t="shared" si="49"/>
        <v>9.0329439999999993E-3</v>
      </c>
      <c r="S263" s="43">
        <f t="shared" si="50"/>
        <v>0.89722180100000004</v>
      </c>
      <c r="T263" s="43">
        <f t="shared" si="51"/>
        <v>4.9890909089999997</v>
      </c>
      <c r="U263" s="43">
        <f t="shared" si="52"/>
        <v>9.3392884879999993</v>
      </c>
      <c r="V263" s="43">
        <f t="shared" si="53"/>
        <v>1.0128913E-2</v>
      </c>
      <c r="W263" s="230">
        <f t="shared" si="54"/>
        <v>1.2175158583998365E-2</v>
      </c>
      <c r="X263" s="43">
        <f t="shared" si="55"/>
        <v>0.884489462</v>
      </c>
      <c r="Y263" s="43">
        <v>112.11582439999999</v>
      </c>
      <c r="Z263" s="43">
        <f t="shared" si="44"/>
        <v>0</v>
      </c>
      <c r="AA263" s="43">
        <f t="shared" si="45"/>
        <v>478718</v>
      </c>
      <c r="AB263" s="43">
        <f t="shared" si="46"/>
        <v>186107</v>
      </c>
      <c r="AC263" s="43">
        <f t="shared" si="56"/>
        <v>7.5967312731255288E-2</v>
      </c>
      <c r="AD263" s="43">
        <f t="shared" si="57"/>
        <v>0.80847972010000058</v>
      </c>
      <c r="AF263" s="43">
        <v>15.534846143037798</v>
      </c>
      <c r="AG263" s="43">
        <v>1.7838165999999999E-2</v>
      </c>
      <c r="AH263" s="43">
        <v>9.0329439999999993E-3</v>
      </c>
      <c r="AI263" s="43">
        <v>0.89722180100000004</v>
      </c>
      <c r="AJ263" s="43">
        <v>4.9890909089999997</v>
      </c>
      <c r="AK263" s="43">
        <v>9.3392884879999993</v>
      </c>
      <c r="AL263" s="43">
        <v>1.0128913E-2</v>
      </c>
      <c r="AM263" s="230">
        <v>1.2175158583998365E-2</v>
      </c>
      <c r="AN263" s="43">
        <v>0.884489462</v>
      </c>
    </row>
    <row r="264" spans="1:40" x14ac:dyDescent="0.25">
      <c r="A264" s="134">
        <v>254</v>
      </c>
      <c r="B264" s="134" t="s">
        <v>209</v>
      </c>
      <c r="C264" s="134" t="s">
        <v>210</v>
      </c>
      <c r="D264" s="134" t="s">
        <v>211</v>
      </c>
      <c r="E264" s="134">
        <v>0</v>
      </c>
      <c r="F264" s="134">
        <v>0</v>
      </c>
      <c r="G264" s="134">
        <v>147</v>
      </c>
      <c r="H264" s="134">
        <v>231</v>
      </c>
      <c r="I264" s="200">
        <v>0.25150411670599998</v>
      </c>
      <c r="J264" s="134">
        <v>231</v>
      </c>
      <c r="K264" s="134">
        <v>918.47403145999999</v>
      </c>
      <c r="L264" s="42">
        <v>0.95493398193199996</v>
      </c>
      <c r="M264" s="42">
        <v>1</v>
      </c>
      <c r="N264" s="134">
        <v>0</v>
      </c>
      <c r="O264" s="43" t="s">
        <v>666</v>
      </c>
      <c r="P264" s="43">
        <f t="shared" si="47"/>
        <v>16.184292431439005</v>
      </c>
      <c r="Q264" s="43">
        <f t="shared" si="48"/>
        <v>9.6554169653521107E-2</v>
      </c>
      <c r="R264" s="43">
        <f t="shared" si="49"/>
        <v>9.3467689999999996E-3</v>
      </c>
      <c r="S264" s="43">
        <f t="shared" si="50"/>
        <v>0.95493398200000001</v>
      </c>
      <c r="T264" s="43">
        <f t="shared" si="51"/>
        <v>5.2830882350000001</v>
      </c>
      <c r="U264" s="43">
        <f t="shared" si="52"/>
        <v>52.168120450000004</v>
      </c>
      <c r="V264" s="43">
        <f t="shared" si="53"/>
        <v>1.2525224E-2</v>
      </c>
      <c r="W264" s="230">
        <f t="shared" si="54"/>
        <v>0.17543463575789031</v>
      </c>
      <c r="X264" s="43">
        <f t="shared" si="55"/>
        <v>0.93361631099999998</v>
      </c>
      <c r="Y264" s="43">
        <v>112.5084638</v>
      </c>
      <c r="Z264" s="43">
        <f t="shared" si="44"/>
        <v>0</v>
      </c>
      <c r="AA264" s="43">
        <f t="shared" si="45"/>
        <v>478718</v>
      </c>
      <c r="AB264" s="43">
        <f t="shared" si="46"/>
        <v>186107</v>
      </c>
      <c r="AC264" s="43">
        <f t="shared" si="56"/>
        <v>7.5967312731255288E-2</v>
      </c>
      <c r="AD264" s="43">
        <f t="shared" si="57"/>
        <v>0.80847972010000058</v>
      </c>
      <c r="AF264" s="43">
        <v>16.184292431439005</v>
      </c>
      <c r="AG264" s="43">
        <v>0</v>
      </c>
      <c r="AH264" s="43">
        <v>9.3467689999999996E-3</v>
      </c>
      <c r="AI264" s="43">
        <v>0.95493398200000001</v>
      </c>
      <c r="AJ264" s="43">
        <v>5.2830882350000001</v>
      </c>
      <c r="AK264" s="43">
        <v>52.168120450000004</v>
      </c>
      <c r="AL264" s="43">
        <v>1.2525224E-2</v>
      </c>
      <c r="AM264" s="230">
        <v>0</v>
      </c>
      <c r="AN264" s="43">
        <v>0.93361631099999998</v>
      </c>
    </row>
    <row r="265" spans="1:40" x14ac:dyDescent="0.25">
      <c r="A265" s="134">
        <v>255</v>
      </c>
      <c r="B265" s="134" t="s">
        <v>209</v>
      </c>
      <c r="C265" s="134" t="s">
        <v>210</v>
      </c>
      <c r="D265" s="134" t="s">
        <v>211</v>
      </c>
      <c r="E265" s="134">
        <v>1531</v>
      </c>
      <c r="F265" s="134">
        <v>4520</v>
      </c>
      <c r="G265" s="134">
        <v>57</v>
      </c>
      <c r="H265" s="134">
        <v>771</v>
      </c>
      <c r="I265" s="200">
        <v>9.4751386986899999E-2</v>
      </c>
      <c r="J265" s="134">
        <v>5291</v>
      </c>
      <c r="K265" s="134">
        <v>55840.8712342</v>
      </c>
      <c r="L265" s="42">
        <v>0.66157712480499997</v>
      </c>
      <c r="M265" s="42">
        <v>0.33492615117300001</v>
      </c>
      <c r="N265" s="134">
        <v>1</v>
      </c>
      <c r="O265" s="43" t="s">
        <v>627</v>
      </c>
      <c r="P265" s="43">
        <f t="shared" si="47"/>
        <v>16.78723862637403</v>
      </c>
      <c r="Q265" s="43">
        <f t="shared" si="48"/>
        <v>0.23140878000000001</v>
      </c>
      <c r="R265" s="43">
        <f t="shared" si="49"/>
        <v>1.9753737E-2</v>
      </c>
      <c r="S265" s="43">
        <f t="shared" si="50"/>
        <v>0.66157712499999999</v>
      </c>
      <c r="T265" s="43">
        <f t="shared" si="51"/>
        <v>3.905741597</v>
      </c>
      <c r="U265" s="43">
        <f t="shared" si="52"/>
        <v>10.68698833</v>
      </c>
      <c r="V265" s="43">
        <f t="shared" si="53"/>
        <v>2.6931863E-2</v>
      </c>
      <c r="W265" s="230">
        <f t="shared" si="54"/>
        <v>0.37704229826631569</v>
      </c>
      <c r="X265" s="43">
        <f t="shared" si="55"/>
        <v>0.55837190999999997</v>
      </c>
      <c r="Y265" s="43">
        <v>146.2898912</v>
      </c>
      <c r="Z265" s="43">
        <f t="shared" si="44"/>
        <v>0</v>
      </c>
      <c r="AA265" s="43">
        <f t="shared" si="45"/>
        <v>478718</v>
      </c>
      <c r="AB265" s="43">
        <f t="shared" si="46"/>
        <v>186107</v>
      </c>
      <c r="AC265" s="43">
        <f t="shared" si="56"/>
        <v>7.5967312731255288E-2</v>
      </c>
      <c r="AD265" s="43">
        <f t="shared" si="57"/>
        <v>0.80847972010000058</v>
      </c>
      <c r="AF265" s="43">
        <v>16.78723862637403</v>
      </c>
      <c r="AG265" s="43">
        <v>0.23140878000000001</v>
      </c>
      <c r="AH265" s="43">
        <v>1.9753737E-2</v>
      </c>
      <c r="AI265" s="43">
        <v>0.66157712499999999</v>
      </c>
      <c r="AJ265" s="43">
        <v>3.905741597</v>
      </c>
      <c r="AK265" s="43">
        <v>10.68698833</v>
      </c>
      <c r="AL265" s="43">
        <v>2.6931863E-2</v>
      </c>
      <c r="AM265" s="230">
        <v>0.37704229826631569</v>
      </c>
      <c r="AN265" s="43">
        <v>0.55837190999999997</v>
      </c>
    </row>
    <row r="266" spans="1:40" x14ac:dyDescent="0.25">
      <c r="A266" s="134">
        <v>256</v>
      </c>
      <c r="B266" s="134" t="s">
        <v>209</v>
      </c>
      <c r="C266" s="134" t="s">
        <v>210</v>
      </c>
      <c r="D266" s="134" t="s">
        <v>211</v>
      </c>
      <c r="E266" s="134">
        <v>0</v>
      </c>
      <c r="F266" s="134">
        <v>0</v>
      </c>
      <c r="G266" s="134">
        <v>33</v>
      </c>
      <c r="H266" s="134">
        <v>584</v>
      </c>
      <c r="I266" s="200">
        <v>5.4220846237900001E-2</v>
      </c>
      <c r="J266" s="134">
        <v>584</v>
      </c>
      <c r="K266" s="134">
        <v>10770.765130399999</v>
      </c>
      <c r="L266" s="42">
        <v>0.84977096611799996</v>
      </c>
      <c r="M266" s="42">
        <v>1</v>
      </c>
      <c r="N266" s="134">
        <v>1</v>
      </c>
      <c r="O266" s="43" t="s">
        <v>664</v>
      </c>
      <c r="P266" s="43">
        <f t="shared" si="47"/>
        <v>16.829194829442919</v>
      </c>
      <c r="Q266" s="43">
        <f t="shared" si="48"/>
        <v>9.4057399999999999E-2</v>
      </c>
      <c r="R266" s="43">
        <f t="shared" si="49"/>
        <v>8.3508330000000002E-3</v>
      </c>
      <c r="S266" s="43">
        <f t="shared" si="50"/>
        <v>0.84977096600000002</v>
      </c>
      <c r="T266" s="43">
        <f t="shared" si="51"/>
        <v>4.3950073420000004</v>
      </c>
      <c r="U266" s="43">
        <f t="shared" si="52"/>
        <v>11.40442957</v>
      </c>
      <c r="V266" s="43">
        <f t="shared" si="53"/>
        <v>9.6775249999999993E-3</v>
      </c>
      <c r="W266" s="230">
        <f t="shared" si="54"/>
        <v>7.1908932847816812E-2</v>
      </c>
      <c r="X266" s="43">
        <f t="shared" si="55"/>
        <v>0.869829085</v>
      </c>
      <c r="Y266" s="43">
        <v>144.26655289999999</v>
      </c>
      <c r="Z266" s="43">
        <f t="shared" si="44"/>
        <v>0</v>
      </c>
      <c r="AA266" s="43">
        <f t="shared" si="45"/>
        <v>478718</v>
      </c>
      <c r="AB266" s="43">
        <f t="shared" si="46"/>
        <v>186107</v>
      </c>
      <c r="AC266" s="43">
        <f t="shared" si="56"/>
        <v>7.5967312731255288E-2</v>
      </c>
      <c r="AD266" s="43">
        <f t="shared" si="57"/>
        <v>0.80847972010000058</v>
      </c>
      <c r="AF266" s="43">
        <v>16.829194829442919</v>
      </c>
      <c r="AG266" s="43">
        <v>9.4057399999999999E-2</v>
      </c>
      <c r="AH266" s="43">
        <v>8.3508330000000002E-3</v>
      </c>
      <c r="AI266" s="43">
        <v>0.84977096600000002</v>
      </c>
      <c r="AJ266" s="43">
        <v>4.3950073420000004</v>
      </c>
      <c r="AK266" s="43">
        <v>11.40442957</v>
      </c>
      <c r="AL266" s="43">
        <v>9.6775249999999993E-3</v>
      </c>
      <c r="AM266" s="230">
        <v>7.1908932847816812E-2</v>
      </c>
      <c r="AN266" s="43">
        <v>0.869829085</v>
      </c>
    </row>
    <row r="267" spans="1:40" x14ac:dyDescent="0.25">
      <c r="A267" s="134">
        <v>257</v>
      </c>
      <c r="B267" s="134" t="s">
        <v>209</v>
      </c>
      <c r="C267" s="134" t="s">
        <v>210</v>
      </c>
      <c r="D267" s="134" t="s">
        <v>211</v>
      </c>
      <c r="E267" s="134">
        <v>114</v>
      </c>
      <c r="F267" s="134">
        <v>336</v>
      </c>
      <c r="G267" s="134">
        <v>274</v>
      </c>
      <c r="H267" s="134">
        <v>447</v>
      </c>
      <c r="I267" s="200">
        <v>0.45317404103600001</v>
      </c>
      <c r="J267" s="134">
        <v>783</v>
      </c>
      <c r="K267" s="134">
        <v>1727.8130014000001</v>
      </c>
      <c r="L267" s="42">
        <v>0.93939508399500005</v>
      </c>
      <c r="M267" s="42">
        <v>0.79679144385</v>
      </c>
      <c r="N267" s="134">
        <v>1</v>
      </c>
      <c r="O267" s="43" t="s">
        <v>666</v>
      </c>
      <c r="P267" s="43">
        <f t="shared" si="47"/>
        <v>15.439829673934508</v>
      </c>
      <c r="Q267" s="43">
        <f t="shared" si="48"/>
        <v>1.2578021999999999E-2</v>
      </c>
      <c r="R267" s="43">
        <f t="shared" si="49"/>
        <v>1.6175789999999999E-2</v>
      </c>
      <c r="S267" s="43">
        <f t="shared" si="50"/>
        <v>0.93939508400000005</v>
      </c>
      <c r="T267" s="43">
        <f t="shared" si="51"/>
        <v>4.6353801170000004</v>
      </c>
      <c r="U267" s="43">
        <f t="shared" si="52"/>
        <v>11.396085810000001</v>
      </c>
      <c r="V267" s="43">
        <f t="shared" si="53"/>
        <v>1.4559150999999999E-2</v>
      </c>
      <c r="W267" s="230">
        <f t="shared" si="54"/>
        <v>8.7663267328913462E-3</v>
      </c>
      <c r="X267" s="43">
        <f t="shared" si="55"/>
        <v>0.95220369599999999</v>
      </c>
      <c r="Y267" s="43">
        <v>157.27339520000001</v>
      </c>
      <c r="Z267" s="43">
        <f t="shared" ref="Z267:Z330" si="58">IF(B267="Berkeley",1,0)</f>
        <v>0</v>
      </c>
      <c r="AA267" s="43">
        <f t="shared" ref="AA267:AA330" si="59">SUMIFS(F:F,B:B,B267)</f>
        <v>478718</v>
      </c>
      <c r="AB267" s="43">
        <f t="shared" ref="AB267:AB330" si="60">SUMIFS(E:E,B:B,B267)</f>
        <v>186107</v>
      </c>
      <c r="AC267" s="43">
        <f t="shared" si="56"/>
        <v>7.5967312731255288E-2</v>
      </c>
      <c r="AD267" s="43">
        <f t="shared" si="57"/>
        <v>0.80847972010000058</v>
      </c>
      <c r="AF267" s="43">
        <v>15.439829673934508</v>
      </c>
      <c r="AG267" s="43">
        <v>1.2578021999999999E-2</v>
      </c>
      <c r="AH267" s="43">
        <v>1.6175789999999999E-2</v>
      </c>
      <c r="AI267" s="43">
        <v>0.93939508400000005</v>
      </c>
      <c r="AJ267" s="43">
        <v>4.6353801170000004</v>
      </c>
      <c r="AK267" s="43">
        <v>11.396085810000001</v>
      </c>
      <c r="AL267" s="43">
        <v>1.4559150999999999E-2</v>
      </c>
      <c r="AM267" s="230">
        <v>8.7663267328913462E-3</v>
      </c>
      <c r="AN267" s="43">
        <v>0.95220369599999999</v>
      </c>
    </row>
    <row r="268" spans="1:40" x14ac:dyDescent="0.25">
      <c r="A268" s="134">
        <v>258</v>
      </c>
      <c r="B268" s="134" t="s">
        <v>209</v>
      </c>
      <c r="C268" s="134" t="s">
        <v>210</v>
      </c>
      <c r="D268" s="134" t="s">
        <v>211</v>
      </c>
      <c r="E268" s="134">
        <v>0</v>
      </c>
      <c r="F268" s="134">
        <v>0</v>
      </c>
      <c r="G268" s="134">
        <v>332</v>
      </c>
      <c r="H268" s="134">
        <v>100</v>
      </c>
      <c r="I268" s="200">
        <v>0.548316744917</v>
      </c>
      <c r="J268" s="134">
        <v>100</v>
      </c>
      <c r="K268" s="134">
        <v>182.37633799599999</v>
      </c>
      <c r="L268" s="42">
        <v>0.95026331187799995</v>
      </c>
      <c r="M268" s="42">
        <v>1</v>
      </c>
      <c r="N268" s="134">
        <v>0</v>
      </c>
      <c r="O268" s="43" t="s">
        <v>665</v>
      </c>
      <c r="P268" s="43">
        <f t="shared" ref="P268:P331" si="61">IF(OR(IFERROR(AF268=0,TRUE),ISERROR(AF268)),AVERAGEIFS(AF:AF,$B:$B,$B268,AF:AF,"&gt;0"),AF268)</f>
        <v>17.400705802016219</v>
      </c>
      <c r="Q268" s="43">
        <f t="shared" ref="Q268:Q331" si="62">IF(OR(IFERROR(AG268=0,TRUE),ISERROR(AG268)),AVERAGEIFS(AG:AG,$B:$B,$B268,AG:AG,"&gt;0"),AG268)</f>
        <v>9.6554169653521107E-2</v>
      </c>
      <c r="R268" s="43">
        <f t="shared" ref="R268:R331" si="63">IF(OR(IFERROR(AH268=0,TRUE),ISERROR(AH268)),AVERAGEIFS(AH:AH,$B:$B,$B268,AH:AH,"&gt;0"),AH268)</f>
        <v>4.8273839999999997E-3</v>
      </c>
      <c r="S268" s="43">
        <f t="shared" ref="S268:S331" si="64">IF(OR(IFERROR(AI268=0,TRUE),ISERROR(AI268)),AVERAGEIFS(AI:AI,$B:$B,$B268,AI:AI,"&gt;0"),AI268)</f>
        <v>0.95026331200000003</v>
      </c>
      <c r="T268" s="43">
        <f t="shared" ref="T268:T331" si="65">IF(OR(IFERROR(AJ268=0,TRUE),ISERROR(AJ268)),AVERAGEIFS(AJ:AJ,$B:$B,$B268,AJ:AJ,"&gt;0"),AJ268)</f>
        <v>7.9679487179999997</v>
      </c>
      <c r="U268" s="43">
        <f t="shared" ref="U268:U331" si="66">IF(OR(IFERROR(AK268=0,TRUE),ISERROR(AK268)),AVERAGEIFS(AK:AK,$B:$B,$B268,AK:AK,"&gt;0"),AK268)</f>
        <v>38.638281319999997</v>
      </c>
      <c r="V268" s="43">
        <f t="shared" ref="V268:V331" si="67">IF(OR(IFERROR(AL268=0,TRUE),ISERROR(AL268)),AVERAGEIFS(AL:AL,$B:$B,$B268,AL:AL,"&gt;0"),AL268)</f>
        <v>5.4112550000000002E-3</v>
      </c>
      <c r="W268" s="230">
        <f t="shared" ref="W268:W331" si="68">IF(OR(IFERROR(AM268=0,TRUE),ISERROR(AM268)),AVERAGEIFS(AM:AM,$B:$B,$B268,AM:AM,"&gt;0"),AM268)</f>
        <v>0.17543463575789031</v>
      </c>
      <c r="X268" s="43">
        <f t="shared" ref="X268:X331" si="69">IF(OR(IFERROR(AN268=0,TRUE),ISERROR(AN268)),AVERAGEIFS(AN:AN,$B:$B,$B268,AN:AN,"&gt;0"),AN268)</f>
        <v>0.88945578199999997</v>
      </c>
      <c r="Y268" s="43">
        <v>157.26665439999999</v>
      </c>
      <c r="Z268" s="43">
        <f t="shared" si="58"/>
        <v>0</v>
      </c>
      <c r="AA268" s="43">
        <f t="shared" si="59"/>
        <v>478718</v>
      </c>
      <c r="AB268" s="43">
        <f t="shared" si="60"/>
        <v>186107</v>
      </c>
      <c r="AC268" s="43">
        <f t="shared" ref="AC268:AC331" si="70">AVERAGEIFS(Q:Q,B:B,B268,N:N,0,Q:Q,"&gt;0")</f>
        <v>7.5967312731255288E-2</v>
      </c>
      <c r="AD268" s="43">
        <f t="shared" ref="AD268:AD331" si="71">AVERAGEIFS(S:S,B:B,B268,N:N,0,S:S,"&gt;0")</f>
        <v>0.80847972010000058</v>
      </c>
      <c r="AF268" s="43">
        <v>17.400705802016219</v>
      </c>
      <c r="AG268" s="43">
        <v>0</v>
      </c>
      <c r="AH268" s="43">
        <v>4.8273839999999997E-3</v>
      </c>
      <c r="AI268" s="43">
        <v>0.95026331200000003</v>
      </c>
      <c r="AJ268" s="43">
        <v>7.9679487179999997</v>
      </c>
      <c r="AK268" s="43">
        <v>38.638281319999997</v>
      </c>
      <c r="AL268" s="43">
        <v>5.4112550000000002E-3</v>
      </c>
      <c r="AM268" s="230">
        <v>0</v>
      </c>
      <c r="AN268" s="43">
        <v>0.88945578199999997</v>
      </c>
    </row>
    <row r="269" spans="1:40" x14ac:dyDescent="0.25">
      <c r="A269" s="134">
        <v>259</v>
      </c>
      <c r="B269" s="134" t="s">
        <v>209</v>
      </c>
      <c r="C269" s="134" t="s">
        <v>210</v>
      </c>
      <c r="D269" s="134" t="s">
        <v>211</v>
      </c>
      <c r="E269" s="134">
        <v>0</v>
      </c>
      <c r="F269" s="134">
        <v>0</v>
      </c>
      <c r="G269" s="134">
        <v>201</v>
      </c>
      <c r="H269" s="134">
        <v>219</v>
      </c>
      <c r="I269" s="200">
        <v>0.33267659500300001</v>
      </c>
      <c r="J269" s="134">
        <v>219</v>
      </c>
      <c r="K269" s="134">
        <v>658.29698659099995</v>
      </c>
      <c r="L269" s="42">
        <v>0.97627026537499995</v>
      </c>
      <c r="M269" s="42">
        <v>1</v>
      </c>
      <c r="N269" s="134">
        <v>0</v>
      </c>
      <c r="O269" s="43" t="s">
        <v>665</v>
      </c>
      <c r="P269" s="43">
        <f t="shared" si="61"/>
        <v>19.316826625285533</v>
      </c>
      <c r="Q269" s="43">
        <f t="shared" si="62"/>
        <v>9.6554169653521107E-2</v>
      </c>
      <c r="R269" s="43">
        <f t="shared" si="63"/>
        <v>5.1021950000000003E-3</v>
      </c>
      <c r="S269" s="43">
        <f t="shared" si="64"/>
        <v>0.97627026500000003</v>
      </c>
      <c r="T269" s="43">
        <f t="shared" si="65"/>
        <v>8.7472222219999995</v>
      </c>
      <c r="U269" s="43">
        <f t="shared" si="66"/>
        <v>50.666626899999997</v>
      </c>
      <c r="V269" s="43">
        <f t="shared" si="67"/>
        <v>6.3533319999999997E-3</v>
      </c>
      <c r="W269" s="230">
        <f t="shared" si="68"/>
        <v>0.17543463575789031</v>
      </c>
      <c r="X269" s="43">
        <f t="shared" si="69"/>
        <v>0.94346978599999998</v>
      </c>
      <c r="Y269" s="43">
        <v>145.4930037</v>
      </c>
      <c r="Z269" s="43">
        <f t="shared" si="58"/>
        <v>0</v>
      </c>
      <c r="AA269" s="43">
        <f t="shared" si="59"/>
        <v>478718</v>
      </c>
      <c r="AB269" s="43">
        <f t="shared" si="60"/>
        <v>186107</v>
      </c>
      <c r="AC269" s="43">
        <f t="shared" si="70"/>
        <v>7.5967312731255288E-2</v>
      </c>
      <c r="AD269" s="43">
        <f t="shared" si="71"/>
        <v>0.80847972010000058</v>
      </c>
      <c r="AF269" s="43">
        <v>19.316826625285533</v>
      </c>
      <c r="AG269" s="43">
        <v>0</v>
      </c>
      <c r="AH269" s="43">
        <v>5.1021950000000003E-3</v>
      </c>
      <c r="AI269" s="43">
        <v>0.97627026500000003</v>
      </c>
      <c r="AJ269" s="43">
        <v>8.7472222219999995</v>
      </c>
      <c r="AK269" s="43">
        <v>50.666626899999997</v>
      </c>
      <c r="AL269" s="43">
        <v>6.3533319999999997E-3</v>
      </c>
      <c r="AM269" s="230">
        <v>0</v>
      </c>
      <c r="AN269" s="43">
        <v>0.94346978599999998</v>
      </c>
    </row>
    <row r="270" spans="1:40" x14ac:dyDescent="0.25">
      <c r="A270" s="134">
        <v>260</v>
      </c>
      <c r="B270" s="134" t="s">
        <v>209</v>
      </c>
      <c r="C270" s="134" t="s">
        <v>210</v>
      </c>
      <c r="D270" s="134" t="s">
        <v>211</v>
      </c>
      <c r="E270" s="134">
        <v>0</v>
      </c>
      <c r="F270" s="134">
        <v>0</v>
      </c>
      <c r="G270" s="134">
        <v>120</v>
      </c>
      <c r="H270" s="134">
        <v>160</v>
      </c>
      <c r="I270" s="200">
        <v>0.197819312803</v>
      </c>
      <c r="J270" s="134">
        <v>160</v>
      </c>
      <c r="K270" s="134">
        <v>808.81890515400005</v>
      </c>
      <c r="L270" s="42">
        <v>0.92566964285700004</v>
      </c>
      <c r="M270" s="42">
        <v>1</v>
      </c>
      <c r="N270" s="134">
        <v>0</v>
      </c>
      <c r="O270" s="43" t="s">
        <v>665</v>
      </c>
      <c r="P270" s="43">
        <f t="shared" si="61"/>
        <v>17.074657311357107</v>
      </c>
      <c r="Q270" s="43">
        <f t="shared" si="62"/>
        <v>1.3169643E-2</v>
      </c>
      <c r="R270" s="43">
        <f t="shared" si="63"/>
        <v>6.9196429999999996E-3</v>
      </c>
      <c r="S270" s="43">
        <f t="shared" si="64"/>
        <v>0.92566964299999999</v>
      </c>
      <c r="T270" s="43">
        <f t="shared" si="65"/>
        <v>6.4222222220000003</v>
      </c>
      <c r="U270" s="43">
        <f t="shared" si="66"/>
        <v>34.600575900000003</v>
      </c>
      <c r="V270" s="43">
        <f t="shared" si="67"/>
        <v>7.2767149999999996E-3</v>
      </c>
      <c r="W270" s="230">
        <f t="shared" si="68"/>
        <v>1.9936204146730465E-3</v>
      </c>
      <c r="X270" s="43">
        <f t="shared" si="69"/>
        <v>0.91517145099999997</v>
      </c>
      <c r="Y270" s="43">
        <v>158.16662600000001</v>
      </c>
      <c r="Z270" s="43">
        <f t="shared" si="58"/>
        <v>0</v>
      </c>
      <c r="AA270" s="43">
        <f t="shared" si="59"/>
        <v>478718</v>
      </c>
      <c r="AB270" s="43">
        <f t="shared" si="60"/>
        <v>186107</v>
      </c>
      <c r="AC270" s="43">
        <f t="shared" si="70"/>
        <v>7.5967312731255288E-2</v>
      </c>
      <c r="AD270" s="43">
        <f t="shared" si="71"/>
        <v>0.80847972010000058</v>
      </c>
      <c r="AF270" s="43">
        <v>17.074657311357107</v>
      </c>
      <c r="AG270" s="43">
        <v>1.3169643E-2</v>
      </c>
      <c r="AH270" s="43">
        <v>6.9196429999999996E-3</v>
      </c>
      <c r="AI270" s="43">
        <v>0.92566964299999999</v>
      </c>
      <c r="AJ270" s="43">
        <v>6.4222222220000003</v>
      </c>
      <c r="AK270" s="43">
        <v>34.600575900000003</v>
      </c>
      <c r="AL270" s="43">
        <v>7.2767149999999996E-3</v>
      </c>
      <c r="AM270" s="230">
        <v>1.9936204146730465E-3</v>
      </c>
      <c r="AN270" s="43">
        <v>0.91517145099999997</v>
      </c>
    </row>
    <row r="271" spans="1:40" x14ac:dyDescent="0.25">
      <c r="A271" s="134">
        <v>261</v>
      </c>
      <c r="B271" s="134" t="s">
        <v>209</v>
      </c>
      <c r="C271" s="134" t="s">
        <v>210</v>
      </c>
      <c r="D271" s="134" t="s">
        <v>211</v>
      </c>
      <c r="E271" s="134">
        <v>621</v>
      </c>
      <c r="F271" s="134">
        <v>1417</v>
      </c>
      <c r="G271" s="134">
        <v>23</v>
      </c>
      <c r="H271" s="134">
        <v>407</v>
      </c>
      <c r="I271" s="200">
        <v>4.2140478704100003E-2</v>
      </c>
      <c r="J271" s="134">
        <v>1824</v>
      </c>
      <c r="K271" s="134">
        <v>43283.798762899998</v>
      </c>
      <c r="L271" s="42">
        <v>0.67616234468299996</v>
      </c>
      <c r="M271" s="42">
        <v>0.39591439688699998</v>
      </c>
      <c r="N271" s="134">
        <v>0</v>
      </c>
      <c r="O271" s="43" t="s">
        <v>627</v>
      </c>
      <c r="P271" s="43">
        <f t="shared" si="61"/>
        <v>11.464862884678162</v>
      </c>
      <c r="Q271" s="43">
        <f t="shared" si="62"/>
        <v>0.13245927199999999</v>
      </c>
      <c r="R271" s="43">
        <f t="shared" si="63"/>
        <v>2.1745827999999998E-2</v>
      </c>
      <c r="S271" s="43">
        <f t="shared" si="64"/>
        <v>0.67616234500000005</v>
      </c>
      <c r="T271" s="43">
        <f t="shared" si="65"/>
        <v>2.8375503960000001</v>
      </c>
      <c r="U271" s="43">
        <f t="shared" si="66"/>
        <v>6.577332663</v>
      </c>
      <c r="V271" s="43">
        <f t="shared" si="67"/>
        <v>3.2421186999999997E-2</v>
      </c>
      <c r="W271" s="230">
        <f t="shared" si="68"/>
        <v>0.25572365778551348</v>
      </c>
      <c r="X271" s="43">
        <f t="shared" si="69"/>
        <v>0.57806111400000004</v>
      </c>
      <c r="Y271" s="43">
        <v>175.11049080000001</v>
      </c>
      <c r="Z271" s="43">
        <f t="shared" si="58"/>
        <v>0</v>
      </c>
      <c r="AA271" s="43">
        <f t="shared" si="59"/>
        <v>478718</v>
      </c>
      <c r="AB271" s="43">
        <f t="shared" si="60"/>
        <v>186107</v>
      </c>
      <c r="AC271" s="43">
        <f t="shared" si="70"/>
        <v>7.5967312731255288E-2</v>
      </c>
      <c r="AD271" s="43">
        <f t="shared" si="71"/>
        <v>0.80847972010000058</v>
      </c>
      <c r="AF271" s="43">
        <v>11.464862884678162</v>
      </c>
      <c r="AG271" s="43">
        <v>0.13245927199999999</v>
      </c>
      <c r="AH271" s="43">
        <v>2.1745827999999998E-2</v>
      </c>
      <c r="AI271" s="43">
        <v>0.67616234500000005</v>
      </c>
      <c r="AJ271" s="43">
        <v>2.8375503960000001</v>
      </c>
      <c r="AK271" s="43">
        <v>6.577332663</v>
      </c>
      <c r="AL271" s="43">
        <v>3.2421186999999997E-2</v>
      </c>
      <c r="AM271" s="230">
        <v>0.25572365778551348</v>
      </c>
      <c r="AN271" s="43">
        <v>0.57806111400000004</v>
      </c>
    </row>
    <row r="272" spans="1:40" x14ac:dyDescent="0.25">
      <c r="A272" s="134">
        <v>262</v>
      </c>
      <c r="B272" s="134" t="s">
        <v>209</v>
      </c>
      <c r="C272" s="134" t="s">
        <v>210</v>
      </c>
      <c r="D272" s="134" t="s">
        <v>211</v>
      </c>
      <c r="E272" s="134">
        <v>1586</v>
      </c>
      <c r="F272" s="134">
        <v>3621</v>
      </c>
      <c r="G272" s="134">
        <v>28</v>
      </c>
      <c r="H272" s="134">
        <v>1485</v>
      </c>
      <c r="I272" s="200">
        <v>5.1354503657199999E-2</v>
      </c>
      <c r="J272" s="134">
        <v>5106</v>
      </c>
      <c r="K272" s="134">
        <v>99426.528081700002</v>
      </c>
      <c r="L272" s="42">
        <v>0.63091543454099996</v>
      </c>
      <c r="M272" s="42">
        <v>0.483555845002</v>
      </c>
      <c r="N272" s="134">
        <v>1</v>
      </c>
      <c r="O272" s="43" t="s">
        <v>627</v>
      </c>
      <c r="P272" s="43">
        <f t="shared" si="61"/>
        <v>12.330019926146175</v>
      </c>
      <c r="Q272" s="43">
        <f t="shared" si="62"/>
        <v>0.15976649800000001</v>
      </c>
      <c r="R272" s="43">
        <f t="shared" si="63"/>
        <v>2.5366080999999999E-2</v>
      </c>
      <c r="S272" s="43">
        <f t="shared" si="64"/>
        <v>0.63091543500000002</v>
      </c>
      <c r="T272" s="43">
        <f t="shared" si="65"/>
        <v>2.855167115</v>
      </c>
      <c r="U272" s="43">
        <f t="shared" si="66"/>
        <v>7.0006683509999998</v>
      </c>
      <c r="V272" s="43">
        <f t="shared" si="67"/>
        <v>4.1961166000000001E-2</v>
      </c>
      <c r="W272" s="230">
        <f t="shared" si="68"/>
        <v>0.30011527792787923</v>
      </c>
      <c r="X272" s="43">
        <f t="shared" si="69"/>
        <v>0.51510861299999999</v>
      </c>
      <c r="Y272" s="43">
        <v>174.17241870000001</v>
      </c>
      <c r="Z272" s="43">
        <f t="shared" si="58"/>
        <v>0</v>
      </c>
      <c r="AA272" s="43">
        <f t="shared" si="59"/>
        <v>478718</v>
      </c>
      <c r="AB272" s="43">
        <f t="shared" si="60"/>
        <v>186107</v>
      </c>
      <c r="AC272" s="43">
        <f t="shared" si="70"/>
        <v>7.5967312731255288E-2</v>
      </c>
      <c r="AD272" s="43">
        <f t="shared" si="71"/>
        <v>0.80847972010000058</v>
      </c>
      <c r="AF272" s="43">
        <v>12.330019926146175</v>
      </c>
      <c r="AG272" s="43">
        <v>0.15976649800000001</v>
      </c>
      <c r="AH272" s="43">
        <v>2.5366080999999999E-2</v>
      </c>
      <c r="AI272" s="43">
        <v>0.63091543500000002</v>
      </c>
      <c r="AJ272" s="43">
        <v>2.855167115</v>
      </c>
      <c r="AK272" s="43">
        <v>7.0006683509999998</v>
      </c>
      <c r="AL272" s="43">
        <v>4.1961166000000001E-2</v>
      </c>
      <c r="AM272" s="230">
        <v>0.30011527792787923</v>
      </c>
      <c r="AN272" s="43">
        <v>0.51510861299999999</v>
      </c>
    </row>
    <row r="273" spans="1:40" x14ac:dyDescent="0.25">
      <c r="A273" s="134">
        <v>263</v>
      </c>
      <c r="B273" s="134" t="s">
        <v>209</v>
      </c>
      <c r="C273" s="134" t="s">
        <v>210</v>
      </c>
      <c r="D273" s="134" t="s">
        <v>211</v>
      </c>
      <c r="E273" s="134">
        <v>0</v>
      </c>
      <c r="F273" s="134">
        <v>0</v>
      </c>
      <c r="G273" s="134">
        <v>40</v>
      </c>
      <c r="H273" s="134">
        <v>254</v>
      </c>
      <c r="I273" s="200">
        <v>7.4753525942700003E-2</v>
      </c>
      <c r="J273" s="134">
        <v>254</v>
      </c>
      <c r="K273" s="134">
        <v>3397.8330359299998</v>
      </c>
      <c r="L273" s="42">
        <v>0.75196193397099997</v>
      </c>
      <c r="M273" s="42">
        <v>1</v>
      </c>
      <c r="N273" s="134">
        <v>1</v>
      </c>
      <c r="O273" s="43" t="s">
        <v>627</v>
      </c>
      <c r="P273" s="43">
        <f t="shared" si="61"/>
        <v>12.726822382498428</v>
      </c>
      <c r="Q273" s="43">
        <f t="shared" si="62"/>
        <v>5.1574057E-2</v>
      </c>
      <c r="R273" s="43">
        <f t="shared" si="63"/>
        <v>1.0508750000000001E-2</v>
      </c>
      <c r="S273" s="43">
        <f t="shared" si="64"/>
        <v>0.751961934</v>
      </c>
      <c r="T273" s="43">
        <f t="shared" si="65"/>
        <v>2.9681668499999998</v>
      </c>
      <c r="U273" s="43">
        <f t="shared" si="66"/>
        <v>6.555066837</v>
      </c>
      <c r="V273" s="43">
        <f t="shared" si="67"/>
        <v>1.4702764E-2</v>
      </c>
      <c r="W273" s="230">
        <f t="shared" si="68"/>
        <v>5.1813105251996894E-2</v>
      </c>
      <c r="X273" s="43">
        <f t="shared" si="69"/>
        <v>0.77387432</v>
      </c>
      <c r="Y273" s="43">
        <v>157.03847039999999</v>
      </c>
      <c r="Z273" s="43">
        <f t="shared" si="58"/>
        <v>0</v>
      </c>
      <c r="AA273" s="43">
        <f t="shared" si="59"/>
        <v>478718</v>
      </c>
      <c r="AB273" s="43">
        <f t="shared" si="60"/>
        <v>186107</v>
      </c>
      <c r="AC273" s="43">
        <f t="shared" si="70"/>
        <v>7.5967312731255288E-2</v>
      </c>
      <c r="AD273" s="43">
        <f t="shared" si="71"/>
        <v>0.80847972010000058</v>
      </c>
      <c r="AF273" s="43">
        <v>12.726822382498428</v>
      </c>
      <c r="AG273" s="43">
        <v>5.1574057E-2</v>
      </c>
      <c r="AH273" s="43">
        <v>1.0508750000000001E-2</v>
      </c>
      <c r="AI273" s="43">
        <v>0.751961934</v>
      </c>
      <c r="AJ273" s="43">
        <v>2.9681668499999998</v>
      </c>
      <c r="AK273" s="43">
        <v>6.555066837</v>
      </c>
      <c r="AL273" s="43">
        <v>1.4702764E-2</v>
      </c>
      <c r="AM273" s="230">
        <v>5.1813105251996894E-2</v>
      </c>
      <c r="AN273" s="43">
        <v>0.77387432</v>
      </c>
    </row>
    <row r="274" spans="1:40" x14ac:dyDescent="0.25">
      <c r="A274" s="134">
        <v>264</v>
      </c>
      <c r="B274" s="134" t="s">
        <v>209</v>
      </c>
      <c r="C274" s="134" t="s">
        <v>210</v>
      </c>
      <c r="D274" s="134" t="s">
        <v>211</v>
      </c>
      <c r="E274" s="134">
        <v>928</v>
      </c>
      <c r="F274" s="134">
        <v>2120</v>
      </c>
      <c r="G274" s="134">
        <v>77</v>
      </c>
      <c r="H274" s="134">
        <v>902</v>
      </c>
      <c r="I274" s="200">
        <v>0.143177557229</v>
      </c>
      <c r="J274" s="134">
        <v>3022</v>
      </c>
      <c r="K274" s="134">
        <v>21106.659859899999</v>
      </c>
      <c r="L274" s="42">
        <v>0.71719222250299997</v>
      </c>
      <c r="M274" s="42">
        <v>0.49289617486300003</v>
      </c>
      <c r="N274" s="134">
        <v>0</v>
      </c>
      <c r="O274" s="43" t="s">
        <v>627</v>
      </c>
      <c r="P274" s="43">
        <f t="shared" si="61"/>
        <v>11.613732911166755</v>
      </c>
      <c r="Q274" s="43">
        <f t="shared" si="62"/>
        <v>0.115173892</v>
      </c>
      <c r="R274" s="43">
        <f t="shared" si="63"/>
        <v>2.0805898E-2</v>
      </c>
      <c r="S274" s="43">
        <f t="shared" si="64"/>
        <v>0.71719222299999996</v>
      </c>
      <c r="T274" s="43">
        <f t="shared" si="65"/>
        <v>2.8667392390000002</v>
      </c>
      <c r="U274" s="43">
        <f t="shared" si="66"/>
        <v>7.1618758580000002</v>
      </c>
      <c r="V274" s="43">
        <f t="shared" si="67"/>
        <v>2.6369488999999999E-2</v>
      </c>
      <c r="W274" s="230">
        <f t="shared" si="68"/>
        <v>0.20384899553178762</v>
      </c>
      <c r="X274" s="43">
        <f t="shared" si="69"/>
        <v>0.66204599600000003</v>
      </c>
      <c r="Y274" s="43">
        <v>138.6964711</v>
      </c>
      <c r="Z274" s="43">
        <f t="shared" si="58"/>
        <v>0</v>
      </c>
      <c r="AA274" s="43">
        <f t="shared" si="59"/>
        <v>478718</v>
      </c>
      <c r="AB274" s="43">
        <f t="shared" si="60"/>
        <v>186107</v>
      </c>
      <c r="AC274" s="43">
        <f t="shared" si="70"/>
        <v>7.5967312731255288E-2</v>
      </c>
      <c r="AD274" s="43">
        <f t="shared" si="71"/>
        <v>0.80847972010000058</v>
      </c>
      <c r="AF274" s="43">
        <v>11.613732911166755</v>
      </c>
      <c r="AG274" s="43">
        <v>0.115173892</v>
      </c>
      <c r="AH274" s="43">
        <v>2.0805898E-2</v>
      </c>
      <c r="AI274" s="43">
        <v>0.71719222299999996</v>
      </c>
      <c r="AJ274" s="43">
        <v>2.8667392390000002</v>
      </c>
      <c r="AK274" s="43">
        <v>7.1618758580000002</v>
      </c>
      <c r="AL274" s="43">
        <v>2.6369488999999999E-2</v>
      </c>
      <c r="AM274" s="230">
        <v>0.20384899553178762</v>
      </c>
      <c r="AN274" s="43">
        <v>0.66204599600000003</v>
      </c>
    </row>
    <row r="275" spans="1:40" x14ac:dyDescent="0.25">
      <c r="A275" s="134">
        <v>265</v>
      </c>
      <c r="B275" s="134" t="s">
        <v>209</v>
      </c>
      <c r="C275" s="134" t="s">
        <v>210</v>
      </c>
      <c r="D275" s="134" t="s">
        <v>211</v>
      </c>
      <c r="E275" s="134">
        <v>2846</v>
      </c>
      <c r="F275" s="134">
        <v>6497</v>
      </c>
      <c r="G275" s="134">
        <v>72</v>
      </c>
      <c r="H275" s="134">
        <v>455</v>
      </c>
      <c r="I275" s="200">
        <v>0.13424948816500001</v>
      </c>
      <c r="J275" s="134">
        <v>6952</v>
      </c>
      <c r="K275" s="134">
        <v>51784.1825322</v>
      </c>
      <c r="L275" s="42">
        <v>0.67721868919799999</v>
      </c>
      <c r="M275" s="42">
        <v>0.13783701908500001</v>
      </c>
      <c r="N275" s="134">
        <v>0</v>
      </c>
      <c r="O275" s="43" t="s">
        <v>664</v>
      </c>
      <c r="P275" s="43">
        <f t="shared" si="61"/>
        <v>11.386702331872828</v>
      </c>
      <c r="Q275" s="43">
        <f t="shared" si="62"/>
        <v>0.14925702499999999</v>
      </c>
      <c r="R275" s="43">
        <f t="shared" si="63"/>
        <v>2.3862532999999998E-2</v>
      </c>
      <c r="S275" s="43">
        <f t="shared" si="64"/>
        <v>0.67721868900000004</v>
      </c>
      <c r="T275" s="43">
        <f t="shared" si="65"/>
        <v>3.307752647</v>
      </c>
      <c r="U275" s="43">
        <f t="shared" si="66"/>
        <v>7.3274794820000002</v>
      </c>
      <c r="V275" s="43">
        <f t="shared" si="67"/>
        <v>3.4037834000000003E-2</v>
      </c>
      <c r="W275" s="230">
        <f t="shared" si="68"/>
        <v>0.26009902749044395</v>
      </c>
      <c r="X275" s="43">
        <f t="shared" si="69"/>
        <v>0.61474409299999999</v>
      </c>
      <c r="Y275" s="43">
        <v>90.495239609999999</v>
      </c>
      <c r="Z275" s="43">
        <f t="shared" si="58"/>
        <v>0</v>
      </c>
      <c r="AA275" s="43">
        <f t="shared" si="59"/>
        <v>478718</v>
      </c>
      <c r="AB275" s="43">
        <f t="shared" si="60"/>
        <v>186107</v>
      </c>
      <c r="AC275" s="43">
        <f t="shared" si="70"/>
        <v>7.5967312731255288E-2</v>
      </c>
      <c r="AD275" s="43">
        <f t="shared" si="71"/>
        <v>0.80847972010000058</v>
      </c>
      <c r="AF275" s="43">
        <v>11.386702331872828</v>
      </c>
      <c r="AG275" s="43">
        <v>0.14925702499999999</v>
      </c>
      <c r="AH275" s="43">
        <v>2.3862532999999998E-2</v>
      </c>
      <c r="AI275" s="43">
        <v>0.67721868900000004</v>
      </c>
      <c r="AJ275" s="43">
        <v>3.307752647</v>
      </c>
      <c r="AK275" s="43">
        <v>7.3274794820000002</v>
      </c>
      <c r="AL275" s="43">
        <v>3.4037834000000003E-2</v>
      </c>
      <c r="AM275" s="230">
        <v>0.26009902749044395</v>
      </c>
      <c r="AN275" s="43">
        <v>0.61474409299999999</v>
      </c>
    </row>
    <row r="276" spans="1:40" x14ac:dyDescent="0.25">
      <c r="A276" s="134">
        <v>266</v>
      </c>
      <c r="B276" s="134" t="s">
        <v>209</v>
      </c>
      <c r="C276" s="134" t="s">
        <v>210</v>
      </c>
      <c r="D276" s="134" t="s">
        <v>211</v>
      </c>
      <c r="E276" s="134">
        <v>173</v>
      </c>
      <c r="F276" s="134">
        <v>394</v>
      </c>
      <c r="G276" s="134">
        <v>33</v>
      </c>
      <c r="H276" s="134">
        <v>436</v>
      </c>
      <c r="I276" s="200">
        <v>6.2418181256600001E-2</v>
      </c>
      <c r="J276" s="134">
        <v>830</v>
      </c>
      <c r="K276" s="134">
        <v>13297.407634900001</v>
      </c>
      <c r="L276" s="42">
        <v>0.78678486161500005</v>
      </c>
      <c r="M276" s="42">
        <v>0.71592775041099999</v>
      </c>
      <c r="N276" s="134">
        <v>0</v>
      </c>
      <c r="O276" s="43" t="s">
        <v>664</v>
      </c>
      <c r="P276" s="43">
        <f t="shared" si="61"/>
        <v>11.774243883244454</v>
      </c>
      <c r="Q276" s="43">
        <f t="shared" si="62"/>
        <v>8.0886903999999996E-2</v>
      </c>
      <c r="R276" s="43">
        <f t="shared" si="63"/>
        <v>1.7434491999999999E-2</v>
      </c>
      <c r="S276" s="43">
        <f t="shared" si="64"/>
        <v>0.78678486199999997</v>
      </c>
      <c r="T276" s="43">
        <f t="shared" si="65"/>
        <v>2.951939292</v>
      </c>
      <c r="U276" s="43">
        <f t="shared" si="66"/>
        <v>7.1216098509999997</v>
      </c>
      <c r="V276" s="43">
        <f t="shared" si="67"/>
        <v>1.9493222000000001E-2</v>
      </c>
      <c r="W276" s="230">
        <f t="shared" si="68"/>
        <v>0.14627971738279902</v>
      </c>
      <c r="X276" s="43">
        <f t="shared" si="69"/>
        <v>0.74334307600000005</v>
      </c>
      <c r="Y276" s="43">
        <v>90.581574579999995</v>
      </c>
      <c r="Z276" s="43">
        <f t="shared" si="58"/>
        <v>0</v>
      </c>
      <c r="AA276" s="43">
        <f t="shared" si="59"/>
        <v>478718</v>
      </c>
      <c r="AB276" s="43">
        <f t="shared" si="60"/>
        <v>186107</v>
      </c>
      <c r="AC276" s="43">
        <f t="shared" si="70"/>
        <v>7.5967312731255288E-2</v>
      </c>
      <c r="AD276" s="43">
        <f t="shared" si="71"/>
        <v>0.80847972010000058</v>
      </c>
      <c r="AF276" s="43">
        <v>11.774243883244454</v>
      </c>
      <c r="AG276" s="43">
        <v>8.0886903999999996E-2</v>
      </c>
      <c r="AH276" s="43">
        <v>1.7434491999999999E-2</v>
      </c>
      <c r="AI276" s="43">
        <v>0.78678486199999997</v>
      </c>
      <c r="AJ276" s="43">
        <v>2.951939292</v>
      </c>
      <c r="AK276" s="43">
        <v>7.1216098509999997</v>
      </c>
      <c r="AL276" s="43">
        <v>1.9493222000000001E-2</v>
      </c>
      <c r="AM276" s="230">
        <v>0.14627971738279902</v>
      </c>
      <c r="AN276" s="43">
        <v>0.74334307600000005</v>
      </c>
    </row>
    <row r="277" spans="1:40" x14ac:dyDescent="0.25">
      <c r="A277" s="134">
        <v>267</v>
      </c>
      <c r="B277" s="134" t="s">
        <v>209</v>
      </c>
      <c r="C277" s="134" t="s">
        <v>210</v>
      </c>
      <c r="D277" s="134" t="s">
        <v>211</v>
      </c>
      <c r="E277" s="134">
        <v>177</v>
      </c>
      <c r="F277" s="134">
        <v>405</v>
      </c>
      <c r="G277" s="134">
        <v>35</v>
      </c>
      <c r="H277" s="134">
        <v>723</v>
      </c>
      <c r="I277" s="200">
        <v>6.4393814610699998E-2</v>
      </c>
      <c r="J277" s="134">
        <v>1128</v>
      </c>
      <c r="K277" s="134">
        <v>17517.210415599999</v>
      </c>
      <c r="L277" s="42">
        <v>0.79604367848599999</v>
      </c>
      <c r="M277" s="42">
        <v>0.80333333333300005</v>
      </c>
      <c r="N277" s="134">
        <v>0</v>
      </c>
      <c r="O277" s="43" t="s">
        <v>664</v>
      </c>
      <c r="P277" s="43">
        <f t="shared" si="61"/>
        <v>12.236050251897895</v>
      </c>
      <c r="Q277" s="43">
        <f t="shared" si="62"/>
        <v>8.0351213000000005E-2</v>
      </c>
      <c r="R277" s="43">
        <f t="shared" si="63"/>
        <v>1.6564511000000001E-2</v>
      </c>
      <c r="S277" s="43">
        <f t="shared" si="64"/>
        <v>0.79604367799999998</v>
      </c>
      <c r="T277" s="43">
        <f t="shared" si="65"/>
        <v>3.0213947409999999</v>
      </c>
      <c r="U277" s="43">
        <f t="shared" si="66"/>
        <v>7.7325546620000001</v>
      </c>
      <c r="V277" s="43">
        <f t="shared" si="67"/>
        <v>2.0399347000000002E-2</v>
      </c>
      <c r="W277" s="230">
        <f t="shared" si="68"/>
        <v>0.13103580685418068</v>
      </c>
      <c r="X277" s="43">
        <f t="shared" si="69"/>
        <v>0.766487472</v>
      </c>
      <c r="Y277" s="43">
        <v>90.489547700000003</v>
      </c>
      <c r="Z277" s="43">
        <f t="shared" si="58"/>
        <v>0</v>
      </c>
      <c r="AA277" s="43">
        <f t="shared" si="59"/>
        <v>478718</v>
      </c>
      <c r="AB277" s="43">
        <f t="shared" si="60"/>
        <v>186107</v>
      </c>
      <c r="AC277" s="43">
        <f t="shared" si="70"/>
        <v>7.5967312731255288E-2</v>
      </c>
      <c r="AD277" s="43">
        <f t="shared" si="71"/>
        <v>0.80847972010000058</v>
      </c>
      <c r="AF277" s="43">
        <v>12.236050251897895</v>
      </c>
      <c r="AG277" s="43">
        <v>8.0351213000000005E-2</v>
      </c>
      <c r="AH277" s="43">
        <v>1.6564511000000001E-2</v>
      </c>
      <c r="AI277" s="43">
        <v>0.79604367799999998</v>
      </c>
      <c r="AJ277" s="43">
        <v>3.0213947409999999</v>
      </c>
      <c r="AK277" s="43">
        <v>7.7325546620000001</v>
      </c>
      <c r="AL277" s="43">
        <v>2.0399347000000002E-2</v>
      </c>
      <c r="AM277" s="230">
        <v>0.13103580685418068</v>
      </c>
      <c r="AN277" s="43">
        <v>0.766487472</v>
      </c>
    </row>
    <row r="278" spans="1:40" x14ac:dyDescent="0.25">
      <c r="A278" s="134">
        <v>268</v>
      </c>
      <c r="B278" s="134" t="s">
        <v>209</v>
      </c>
      <c r="C278" s="134" t="s">
        <v>210</v>
      </c>
      <c r="D278" s="134" t="s">
        <v>211</v>
      </c>
      <c r="E278" s="134">
        <v>96</v>
      </c>
      <c r="F278" s="134">
        <v>218</v>
      </c>
      <c r="G278" s="134">
        <v>42</v>
      </c>
      <c r="H278" s="134">
        <v>1330</v>
      </c>
      <c r="I278" s="200">
        <v>7.7553075282599998E-2</v>
      </c>
      <c r="J278" s="134">
        <v>1548</v>
      </c>
      <c r="K278" s="134">
        <v>19960.523736300001</v>
      </c>
      <c r="L278" s="42">
        <v>0.84652607811400005</v>
      </c>
      <c r="M278" s="42">
        <v>0.93267882187899998</v>
      </c>
      <c r="N278" s="134">
        <v>0</v>
      </c>
      <c r="O278" s="43" t="s">
        <v>664</v>
      </c>
      <c r="P278" s="43">
        <f t="shared" si="61"/>
        <v>13.164015057383541</v>
      </c>
      <c r="Q278" s="43">
        <f t="shared" si="62"/>
        <v>6.3437208999999994E-2</v>
      </c>
      <c r="R278" s="43">
        <f t="shared" si="63"/>
        <v>1.471957E-2</v>
      </c>
      <c r="S278" s="43">
        <f t="shared" si="64"/>
        <v>0.84652607800000002</v>
      </c>
      <c r="T278" s="43">
        <f t="shared" si="65"/>
        <v>3.2539378769999998</v>
      </c>
      <c r="U278" s="43">
        <f t="shared" si="66"/>
        <v>8.4690698219999998</v>
      </c>
      <c r="V278" s="43">
        <f t="shared" si="67"/>
        <v>1.7992940999999998E-2</v>
      </c>
      <c r="W278" s="230">
        <f t="shared" si="68"/>
        <v>9.4292256627872773E-2</v>
      </c>
      <c r="X278" s="43">
        <f t="shared" si="69"/>
        <v>0.82903029299999997</v>
      </c>
      <c r="Y278" s="43">
        <v>90.489547700000003</v>
      </c>
      <c r="Z278" s="43">
        <f t="shared" si="58"/>
        <v>0</v>
      </c>
      <c r="AA278" s="43">
        <f t="shared" si="59"/>
        <v>478718</v>
      </c>
      <c r="AB278" s="43">
        <f t="shared" si="60"/>
        <v>186107</v>
      </c>
      <c r="AC278" s="43">
        <f t="shared" si="70"/>
        <v>7.5967312731255288E-2</v>
      </c>
      <c r="AD278" s="43">
        <f t="shared" si="71"/>
        <v>0.80847972010000058</v>
      </c>
      <c r="AF278" s="43">
        <v>13.164015057383541</v>
      </c>
      <c r="AG278" s="43">
        <v>6.3437208999999994E-2</v>
      </c>
      <c r="AH278" s="43">
        <v>1.471957E-2</v>
      </c>
      <c r="AI278" s="43">
        <v>0.84652607800000002</v>
      </c>
      <c r="AJ278" s="43">
        <v>3.2539378769999998</v>
      </c>
      <c r="AK278" s="43">
        <v>8.4690698219999998</v>
      </c>
      <c r="AL278" s="43">
        <v>1.7992940999999998E-2</v>
      </c>
      <c r="AM278" s="230">
        <v>9.4292256627872773E-2</v>
      </c>
      <c r="AN278" s="43">
        <v>0.82903029299999997</v>
      </c>
    </row>
    <row r="279" spans="1:40" x14ac:dyDescent="0.25">
      <c r="A279" s="134">
        <v>269</v>
      </c>
      <c r="B279" s="134" t="s">
        <v>209</v>
      </c>
      <c r="C279" s="134" t="s">
        <v>210</v>
      </c>
      <c r="D279" s="134" t="s">
        <v>211</v>
      </c>
      <c r="E279" s="134">
        <v>471</v>
      </c>
      <c r="F279" s="134">
        <v>1076</v>
      </c>
      <c r="G279" s="134">
        <v>87</v>
      </c>
      <c r="H279" s="134">
        <v>1699</v>
      </c>
      <c r="I279" s="200">
        <v>0.16242057640099999</v>
      </c>
      <c r="J279" s="134">
        <v>2775</v>
      </c>
      <c r="K279" s="134">
        <v>17085.273685700002</v>
      </c>
      <c r="L279" s="42">
        <v>0.84202949429899998</v>
      </c>
      <c r="M279" s="42">
        <v>0.782949308756</v>
      </c>
      <c r="N279" s="134">
        <v>0</v>
      </c>
      <c r="O279" s="43" t="s">
        <v>664</v>
      </c>
      <c r="P279" s="43">
        <f t="shared" si="61"/>
        <v>12.778358227721309</v>
      </c>
      <c r="Q279" s="43">
        <f t="shared" si="62"/>
        <v>5.8055562999999998E-2</v>
      </c>
      <c r="R279" s="43">
        <f t="shared" si="63"/>
        <v>1.6641494999999999E-2</v>
      </c>
      <c r="S279" s="43">
        <f t="shared" si="64"/>
        <v>0.84202949400000004</v>
      </c>
      <c r="T279" s="43">
        <f t="shared" si="65"/>
        <v>3.3097125869999999</v>
      </c>
      <c r="U279" s="43">
        <f t="shared" si="66"/>
        <v>8.4884399990000006</v>
      </c>
      <c r="V279" s="43">
        <f t="shared" si="67"/>
        <v>2.0774951E-2</v>
      </c>
      <c r="W279" s="230">
        <f t="shared" si="68"/>
        <v>8.0750487014037642E-2</v>
      </c>
      <c r="X279" s="43">
        <f t="shared" si="69"/>
        <v>0.84293878200000005</v>
      </c>
      <c r="Y279" s="43">
        <v>90.646141200000002</v>
      </c>
      <c r="Z279" s="43">
        <f t="shared" si="58"/>
        <v>0</v>
      </c>
      <c r="AA279" s="43">
        <f t="shared" si="59"/>
        <v>478718</v>
      </c>
      <c r="AB279" s="43">
        <f t="shared" si="60"/>
        <v>186107</v>
      </c>
      <c r="AC279" s="43">
        <f t="shared" si="70"/>
        <v>7.5967312731255288E-2</v>
      </c>
      <c r="AD279" s="43">
        <f t="shared" si="71"/>
        <v>0.80847972010000058</v>
      </c>
      <c r="AF279" s="43">
        <v>12.778358227721309</v>
      </c>
      <c r="AG279" s="43">
        <v>5.8055562999999998E-2</v>
      </c>
      <c r="AH279" s="43">
        <v>1.6641494999999999E-2</v>
      </c>
      <c r="AI279" s="43">
        <v>0.84202949400000004</v>
      </c>
      <c r="AJ279" s="43">
        <v>3.3097125869999999</v>
      </c>
      <c r="AK279" s="43">
        <v>8.4884399990000006</v>
      </c>
      <c r="AL279" s="43">
        <v>2.0774951E-2</v>
      </c>
      <c r="AM279" s="230">
        <v>8.0750487014037642E-2</v>
      </c>
      <c r="AN279" s="43">
        <v>0.84293878200000005</v>
      </c>
    </row>
    <row r="280" spans="1:40" x14ac:dyDescent="0.25">
      <c r="A280" s="134">
        <v>270</v>
      </c>
      <c r="B280" s="134" t="s">
        <v>209</v>
      </c>
      <c r="C280" s="134" t="s">
        <v>210</v>
      </c>
      <c r="D280" s="134" t="s">
        <v>211</v>
      </c>
      <c r="E280" s="134">
        <v>518</v>
      </c>
      <c r="F280" s="134">
        <v>1026</v>
      </c>
      <c r="G280" s="134">
        <v>31</v>
      </c>
      <c r="H280" s="134">
        <v>198</v>
      </c>
      <c r="I280" s="200">
        <v>5.7149421013899998E-2</v>
      </c>
      <c r="J280" s="134">
        <v>1224</v>
      </c>
      <c r="K280" s="134">
        <v>21417.5398155</v>
      </c>
      <c r="L280" s="42">
        <v>0.68960326304099995</v>
      </c>
      <c r="M280" s="42">
        <v>0.27653631284899999</v>
      </c>
      <c r="N280" s="134">
        <v>1</v>
      </c>
      <c r="O280" s="43" t="s">
        <v>627</v>
      </c>
      <c r="P280" s="43">
        <f t="shared" si="61"/>
        <v>11.576437257032467</v>
      </c>
      <c r="Q280" s="43">
        <f t="shared" si="62"/>
        <v>0.127187099</v>
      </c>
      <c r="R280" s="43">
        <f t="shared" si="63"/>
        <v>1.8522800999999998E-2</v>
      </c>
      <c r="S280" s="43">
        <f t="shared" si="64"/>
        <v>0.68960326299999997</v>
      </c>
      <c r="T280" s="43">
        <f t="shared" si="65"/>
        <v>2.7742412189999999</v>
      </c>
      <c r="U280" s="43">
        <f t="shared" si="66"/>
        <v>6.9327981269999999</v>
      </c>
      <c r="V280" s="43">
        <f t="shared" si="67"/>
        <v>2.1857465E-2</v>
      </c>
      <c r="W280" s="230">
        <f t="shared" si="68"/>
        <v>0.22096749366805199</v>
      </c>
      <c r="X280" s="43">
        <f t="shared" si="69"/>
        <v>0.61945342299999995</v>
      </c>
      <c r="Y280" s="43">
        <v>107.6414642</v>
      </c>
      <c r="Z280" s="43">
        <f t="shared" si="58"/>
        <v>0</v>
      </c>
      <c r="AA280" s="43">
        <f t="shared" si="59"/>
        <v>478718</v>
      </c>
      <c r="AB280" s="43">
        <f t="shared" si="60"/>
        <v>186107</v>
      </c>
      <c r="AC280" s="43">
        <f t="shared" si="70"/>
        <v>7.5967312731255288E-2</v>
      </c>
      <c r="AD280" s="43">
        <f t="shared" si="71"/>
        <v>0.80847972010000058</v>
      </c>
      <c r="AF280" s="43">
        <v>11.576437257032467</v>
      </c>
      <c r="AG280" s="43">
        <v>0.127187099</v>
      </c>
      <c r="AH280" s="43">
        <v>1.8522800999999998E-2</v>
      </c>
      <c r="AI280" s="43">
        <v>0.68960326299999997</v>
      </c>
      <c r="AJ280" s="43">
        <v>2.7742412189999999</v>
      </c>
      <c r="AK280" s="43">
        <v>6.9327981269999999</v>
      </c>
      <c r="AL280" s="43">
        <v>2.1857465E-2</v>
      </c>
      <c r="AM280" s="230">
        <v>0.22096749366805199</v>
      </c>
      <c r="AN280" s="43">
        <v>0.61945342299999995</v>
      </c>
    </row>
    <row r="281" spans="1:40" x14ac:dyDescent="0.25">
      <c r="A281" s="134">
        <v>271</v>
      </c>
      <c r="B281" s="134" t="s">
        <v>209</v>
      </c>
      <c r="C281" s="134" t="s">
        <v>210</v>
      </c>
      <c r="D281" s="134" t="s">
        <v>211</v>
      </c>
      <c r="E281" s="134">
        <v>162</v>
      </c>
      <c r="F281" s="134">
        <v>321</v>
      </c>
      <c r="G281" s="134">
        <v>13</v>
      </c>
      <c r="H281" s="134">
        <v>532</v>
      </c>
      <c r="I281" s="200">
        <v>2.5630115100599999E-2</v>
      </c>
      <c r="J281" s="134">
        <v>853</v>
      </c>
      <c r="K281" s="134">
        <v>33281.161502900002</v>
      </c>
      <c r="L281" s="42">
        <v>0.69514331641600002</v>
      </c>
      <c r="M281" s="42">
        <v>0.76657060518700004</v>
      </c>
      <c r="N281" s="134">
        <v>1</v>
      </c>
      <c r="O281" s="43" t="s">
        <v>627</v>
      </c>
      <c r="P281" s="43">
        <f t="shared" si="61"/>
        <v>13.113757263734875</v>
      </c>
      <c r="Q281" s="43">
        <f t="shared" si="62"/>
        <v>0.125607311</v>
      </c>
      <c r="R281" s="43">
        <f t="shared" si="63"/>
        <v>1.9045640999999999E-2</v>
      </c>
      <c r="S281" s="43">
        <f t="shared" si="64"/>
        <v>0.69514331600000001</v>
      </c>
      <c r="T281" s="43">
        <f t="shared" si="65"/>
        <v>2.7549042780000002</v>
      </c>
      <c r="U281" s="43">
        <f t="shared" si="66"/>
        <v>7.0490643200000003</v>
      </c>
      <c r="V281" s="43">
        <f t="shared" si="67"/>
        <v>2.2275601999999999E-2</v>
      </c>
      <c r="W281" s="230">
        <f t="shared" si="68"/>
        <v>0.17073170731707316</v>
      </c>
      <c r="X281" s="43">
        <f t="shared" si="69"/>
        <v>0.67713722600000004</v>
      </c>
      <c r="Y281" s="43">
        <v>107.7201737</v>
      </c>
      <c r="Z281" s="43">
        <f t="shared" si="58"/>
        <v>0</v>
      </c>
      <c r="AA281" s="43">
        <f t="shared" si="59"/>
        <v>478718</v>
      </c>
      <c r="AB281" s="43">
        <f t="shared" si="60"/>
        <v>186107</v>
      </c>
      <c r="AC281" s="43">
        <f t="shared" si="70"/>
        <v>7.5967312731255288E-2</v>
      </c>
      <c r="AD281" s="43">
        <f t="shared" si="71"/>
        <v>0.80847972010000058</v>
      </c>
      <c r="AF281" s="43">
        <v>13.113757263734875</v>
      </c>
      <c r="AG281" s="43">
        <v>0.125607311</v>
      </c>
      <c r="AH281" s="43">
        <v>1.9045640999999999E-2</v>
      </c>
      <c r="AI281" s="43">
        <v>0.69514331600000001</v>
      </c>
      <c r="AJ281" s="43">
        <v>2.7549042780000002</v>
      </c>
      <c r="AK281" s="43">
        <v>7.0490643200000003</v>
      </c>
      <c r="AL281" s="43">
        <v>2.2275601999999999E-2</v>
      </c>
      <c r="AM281" s="230">
        <v>0.17073170731707316</v>
      </c>
      <c r="AN281" s="43">
        <v>0.67713722600000004</v>
      </c>
    </row>
    <row r="282" spans="1:40" x14ac:dyDescent="0.25">
      <c r="A282" s="134">
        <v>272</v>
      </c>
      <c r="B282" s="134" t="s">
        <v>209</v>
      </c>
      <c r="C282" s="134" t="s">
        <v>210</v>
      </c>
      <c r="D282" s="134" t="s">
        <v>211</v>
      </c>
      <c r="E282" s="134">
        <v>138</v>
      </c>
      <c r="F282" s="134">
        <v>273</v>
      </c>
      <c r="G282" s="134">
        <v>30</v>
      </c>
      <c r="H282" s="134">
        <v>154</v>
      </c>
      <c r="I282" s="200">
        <v>1.7453743353400001E-2</v>
      </c>
      <c r="J282" s="134">
        <v>427</v>
      </c>
      <c r="K282" s="134">
        <v>24464.665908899999</v>
      </c>
      <c r="L282" s="42">
        <v>0.71103917728999999</v>
      </c>
      <c r="M282" s="42">
        <v>0.52739726027400002</v>
      </c>
      <c r="N282" s="134">
        <v>1</v>
      </c>
      <c r="O282" s="43" t="s">
        <v>627</v>
      </c>
      <c r="P282" s="43">
        <f t="shared" si="61"/>
        <v>11.733834323899149</v>
      </c>
      <c r="Q282" s="43">
        <f t="shared" si="62"/>
        <v>0.10763431</v>
      </c>
      <c r="R282" s="43">
        <f t="shared" si="63"/>
        <v>1.6651347E-2</v>
      </c>
      <c r="S282" s="43">
        <f t="shared" si="64"/>
        <v>0.71103917699999997</v>
      </c>
      <c r="T282" s="43">
        <f t="shared" si="65"/>
        <v>2.669481303</v>
      </c>
      <c r="U282" s="43">
        <f t="shared" si="66"/>
        <v>6.4567132889999996</v>
      </c>
      <c r="V282" s="43">
        <f t="shared" si="67"/>
        <v>1.5097802E-2</v>
      </c>
      <c r="W282" s="230">
        <f t="shared" si="68"/>
        <v>0.17099720565541976</v>
      </c>
      <c r="X282" s="43">
        <f t="shared" si="69"/>
        <v>0.65788046899999997</v>
      </c>
      <c r="Y282" s="43">
        <v>107.6414642</v>
      </c>
      <c r="Z282" s="43">
        <f t="shared" si="58"/>
        <v>0</v>
      </c>
      <c r="AA282" s="43">
        <f t="shared" si="59"/>
        <v>478718</v>
      </c>
      <c r="AB282" s="43">
        <f t="shared" si="60"/>
        <v>186107</v>
      </c>
      <c r="AC282" s="43">
        <f t="shared" si="70"/>
        <v>7.5967312731255288E-2</v>
      </c>
      <c r="AD282" s="43">
        <f t="shared" si="71"/>
        <v>0.80847972010000058</v>
      </c>
      <c r="AF282" s="43">
        <v>11.733834323899149</v>
      </c>
      <c r="AG282" s="43">
        <v>0.10763431</v>
      </c>
      <c r="AH282" s="43">
        <v>1.6651347E-2</v>
      </c>
      <c r="AI282" s="43">
        <v>0.71103917699999997</v>
      </c>
      <c r="AJ282" s="43">
        <v>2.669481303</v>
      </c>
      <c r="AK282" s="43">
        <v>6.4567132889999996</v>
      </c>
      <c r="AL282" s="43">
        <v>1.5097802E-2</v>
      </c>
      <c r="AM282" s="230">
        <v>0.17099720565541976</v>
      </c>
      <c r="AN282" s="43">
        <v>0.65788046899999997</v>
      </c>
    </row>
    <row r="283" spans="1:40" x14ac:dyDescent="0.25">
      <c r="A283" s="134">
        <v>273</v>
      </c>
      <c r="B283" s="134" t="s">
        <v>209</v>
      </c>
      <c r="C283" s="134" t="s">
        <v>210</v>
      </c>
      <c r="D283" s="134" t="s">
        <v>211</v>
      </c>
      <c r="E283" s="134">
        <v>521</v>
      </c>
      <c r="F283" s="134">
        <v>1032</v>
      </c>
      <c r="G283" s="134">
        <v>15</v>
      </c>
      <c r="H283" s="134">
        <v>304</v>
      </c>
      <c r="I283" s="200">
        <v>2.9339278334200001E-2</v>
      </c>
      <c r="J283" s="134">
        <v>1336</v>
      </c>
      <c r="K283" s="134">
        <v>45536.225696599999</v>
      </c>
      <c r="L283" s="42">
        <v>0.66634582282400001</v>
      </c>
      <c r="M283" s="42">
        <v>0.36848484848500002</v>
      </c>
      <c r="N283" s="134">
        <v>1</v>
      </c>
      <c r="O283" s="43" t="s">
        <v>627</v>
      </c>
      <c r="P283" s="43">
        <f t="shared" si="61"/>
        <v>11.990802309825215</v>
      </c>
      <c r="Q283" s="43">
        <f t="shared" si="62"/>
        <v>0.130644334</v>
      </c>
      <c r="R283" s="43">
        <f t="shared" si="63"/>
        <v>1.8625335999999999E-2</v>
      </c>
      <c r="S283" s="43">
        <f t="shared" si="64"/>
        <v>0.666345823</v>
      </c>
      <c r="T283" s="43">
        <f t="shared" si="65"/>
        <v>2.7148779799999998</v>
      </c>
      <c r="U283" s="43">
        <f t="shared" si="66"/>
        <v>6.4779933920000001</v>
      </c>
      <c r="V283" s="43">
        <f t="shared" si="67"/>
        <v>2.6778447E-2</v>
      </c>
      <c r="W283" s="230">
        <f t="shared" si="68"/>
        <v>0.24913180313636116</v>
      </c>
      <c r="X283" s="43">
        <f t="shared" si="69"/>
        <v>0.56354115800000004</v>
      </c>
      <c r="Y283" s="43">
        <v>108.1394422</v>
      </c>
      <c r="Z283" s="43">
        <f t="shared" si="58"/>
        <v>0</v>
      </c>
      <c r="AA283" s="43">
        <f t="shared" si="59"/>
        <v>478718</v>
      </c>
      <c r="AB283" s="43">
        <f t="shared" si="60"/>
        <v>186107</v>
      </c>
      <c r="AC283" s="43">
        <f t="shared" si="70"/>
        <v>7.5967312731255288E-2</v>
      </c>
      <c r="AD283" s="43">
        <f t="shared" si="71"/>
        <v>0.80847972010000058</v>
      </c>
      <c r="AF283" s="43">
        <v>11.990802309825215</v>
      </c>
      <c r="AG283" s="43">
        <v>0.130644334</v>
      </c>
      <c r="AH283" s="43">
        <v>1.8625335999999999E-2</v>
      </c>
      <c r="AI283" s="43">
        <v>0.666345823</v>
      </c>
      <c r="AJ283" s="43">
        <v>2.7148779799999998</v>
      </c>
      <c r="AK283" s="43">
        <v>6.4779933920000001</v>
      </c>
      <c r="AL283" s="43">
        <v>2.6778447E-2</v>
      </c>
      <c r="AM283" s="230">
        <v>0.24913180313636116</v>
      </c>
      <c r="AN283" s="43">
        <v>0.56354115800000004</v>
      </c>
    </row>
    <row r="284" spans="1:40" x14ac:dyDescent="0.25">
      <c r="A284" s="134">
        <v>274</v>
      </c>
      <c r="B284" s="134" t="s">
        <v>209</v>
      </c>
      <c r="C284" s="134" t="s">
        <v>210</v>
      </c>
      <c r="D284" s="134" t="s">
        <v>211</v>
      </c>
      <c r="E284" s="134">
        <v>274</v>
      </c>
      <c r="F284" s="134">
        <v>543</v>
      </c>
      <c r="G284" s="134">
        <v>42</v>
      </c>
      <c r="H284" s="134">
        <v>876</v>
      </c>
      <c r="I284" s="200">
        <v>7.9638539888400001E-2</v>
      </c>
      <c r="J284" s="134">
        <v>1419</v>
      </c>
      <c r="K284" s="134">
        <v>17818.0062315</v>
      </c>
      <c r="L284" s="42">
        <v>0.68537414793999996</v>
      </c>
      <c r="M284" s="42">
        <v>0.76173913043499997</v>
      </c>
      <c r="N284" s="134">
        <v>1</v>
      </c>
      <c r="O284" s="43" t="s">
        <v>627</v>
      </c>
      <c r="P284" s="43">
        <f t="shared" si="61"/>
        <v>12.818035448848692</v>
      </c>
      <c r="Q284" s="43">
        <f t="shared" si="62"/>
        <v>0.12273403400000001</v>
      </c>
      <c r="R284" s="43">
        <f t="shared" si="63"/>
        <v>7.93284E-3</v>
      </c>
      <c r="S284" s="43">
        <f t="shared" si="64"/>
        <v>0.68537414799999996</v>
      </c>
      <c r="T284" s="43">
        <f t="shared" si="65"/>
        <v>2.3314646109999999</v>
      </c>
      <c r="U284" s="43">
        <f t="shared" si="66"/>
        <v>5.1834645549999996</v>
      </c>
      <c r="V284" s="43">
        <f t="shared" si="67"/>
        <v>2.0250178000000001E-2</v>
      </c>
      <c r="W284" s="230">
        <f t="shared" si="68"/>
        <v>0.1802855668329606</v>
      </c>
      <c r="X284" s="43">
        <f t="shared" si="69"/>
        <v>0.67625519199999995</v>
      </c>
      <c r="Y284" s="43">
        <v>107.80184300000001</v>
      </c>
      <c r="Z284" s="43">
        <f t="shared" si="58"/>
        <v>0</v>
      </c>
      <c r="AA284" s="43">
        <f t="shared" si="59"/>
        <v>478718</v>
      </c>
      <c r="AB284" s="43">
        <f t="shared" si="60"/>
        <v>186107</v>
      </c>
      <c r="AC284" s="43">
        <f t="shared" si="70"/>
        <v>7.5967312731255288E-2</v>
      </c>
      <c r="AD284" s="43">
        <f t="shared" si="71"/>
        <v>0.80847972010000058</v>
      </c>
      <c r="AF284" s="43">
        <v>12.818035448848692</v>
      </c>
      <c r="AG284" s="43">
        <v>0.12273403400000001</v>
      </c>
      <c r="AH284" s="43">
        <v>7.93284E-3</v>
      </c>
      <c r="AI284" s="43">
        <v>0.68537414799999996</v>
      </c>
      <c r="AJ284" s="43">
        <v>2.3314646109999999</v>
      </c>
      <c r="AK284" s="43">
        <v>5.1834645549999996</v>
      </c>
      <c r="AL284" s="43">
        <v>2.0250178000000001E-2</v>
      </c>
      <c r="AM284" s="230">
        <v>0.1802855668329606</v>
      </c>
      <c r="AN284" s="43">
        <v>0.67625519199999995</v>
      </c>
    </row>
    <row r="285" spans="1:40" x14ac:dyDescent="0.25">
      <c r="A285" s="134">
        <v>275</v>
      </c>
      <c r="B285" s="134" t="s">
        <v>209</v>
      </c>
      <c r="C285" s="134" t="s">
        <v>210</v>
      </c>
      <c r="D285" s="134" t="s">
        <v>211</v>
      </c>
      <c r="E285" s="134">
        <v>127</v>
      </c>
      <c r="F285" s="134">
        <v>251</v>
      </c>
      <c r="G285" s="134">
        <v>18</v>
      </c>
      <c r="H285" s="134">
        <v>45</v>
      </c>
      <c r="I285" s="200">
        <v>3.4610988981500002E-2</v>
      </c>
      <c r="J285" s="134">
        <v>296</v>
      </c>
      <c r="K285" s="134">
        <v>8552.1971116700006</v>
      </c>
      <c r="L285" s="42">
        <v>0.66761507334299997</v>
      </c>
      <c r="M285" s="42">
        <v>0.261627906977</v>
      </c>
      <c r="N285" s="134">
        <v>1</v>
      </c>
      <c r="O285" s="43" t="s">
        <v>627</v>
      </c>
      <c r="P285" s="43">
        <f t="shared" si="61"/>
        <v>10.138649479759046</v>
      </c>
      <c r="Q285" s="43">
        <f t="shared" si="62"/>
        <v>0.105794765</v>
      </c>
      <c r="R285" s="43">
        <f t="shared" si="63"/>
        <v>1.6296788E-2</v>
      </c>
      <c r="S285" s="43">
        <f t="shared" si="64"/>
        <v>0.667615073</v>
      </c>
      <c r="T285" s="43">
        <f t="shared" si="65"/>
        <v>2.3652173909999998</v>
      </c>
      <c r="U285" s="43">
        <f t="shared" si="66"/>
        <v>5.4103562900000002</v>
      </c>
      <c r="V285" s="43">
        <f t="shared" si="67"/>
        <v>1.2889688E-2</v>
      </c>
      <c r="W285" s="230">
        <f t="shared" si="68"/>
        <v>0.19064748201438847</v>
      </c>
      <c r="X285" s="43">
        <f t="shared" si="69"/>
        <v>0.56432853699999996</v>
      </c>
      <c r="Y285" s="43">
        <v>109.7689213</v>
      </c>
      <c r="Z285" s="43">
        <f t="shared" si="58"/>
        <v>0</v>
      </c>
      <c r="AA285" s="43">
        <f t="shared" si="59"/>
        <v>478718</v>
      </c>
      <c r="AB285" s="43">
        <f t="shared" si="60"/>
        <v>186107</v>
      </c>
      <c r="AC285" s="43">
        <f t="shared" si="70"/>
        <v>7.5967312731255288E-2</v>
      </c>
      <c r="AD285" s="43">
        <f t="shared" si="71"/>
        <v>0.80847972010000058</v>
      </c>
      <c r="AF285" s="43">
        <v>10.138649479759046</v>
      </c>
      <c r="AG285" s="43">
        <v>0.105794765</v>
      </c>
      <c r="AH285" s="43">
        <v>1.6296788E-2</v>
      </c>
      <c r="AI285" s="43">
        <v>0.667615073</v>
      </c>
      <c r="AJ285" s="43">
        <v>2.3652173909999998</v>
      </c>
      <c r="AK285" s="43">
        <v>5.4103562900000002</v>
      </c>
      <c r="AL285" s="43">
        <v>1.2889688E-2</v>
      </c>
      <c r="AM285" s="230">
        <v>0.19064748201438847</v>
      </c>
      <c r="AN285" s="43">
        <v>0.56432853699999996</v>
      </c>
    </row>
    <row r="286" spans="1:40" x14ac:dyDescent="0.25">
      <c r="A286" s="134">
        <v>276</v>
      </c>
      <c r="B286" s="134" t="s">
        <v>209</v>
      </c>
      <c r="C286" s="134" t="s">
        <v>210</v>
      </c>
      <c r="D286" s="134" t="s">
        <v>211</v>
      </c>
      <c r="E286" s="134">
        <v>282</v>
      </c>
      <c r="F286" s="134">
        <v>559</v>
      </c>
      <c r="G286" s="134">
        <v>21</v>
      </c>
      <c r="H286" s="134">
        <v>1426</v>
      </c>
      <c r="I286" s="200">
        <v>3.9403723854599997E-2</v>
      </c>
      <c r="J286" s="134">
        <v>1985</v>
      </c>
      <c r="K286" s="134">
        <v>50375.949423600003</v>
      </c>
      <c r="L286" s="42">
        <v>0.68927427874799996</v>
      </c>
      <c r="M286" s="42">
        <v>0.83489461358299999</v>
      </c>
      <c r="N286" s="134">
        <v>1</v>
      </c>
      <c r="O286" s="43" t="s">
        <v>627</v>
      </c>
      <c r="P286" s="43">
        <f t="shared" si="61"/>
        <v>13.474205718929325</v>
      </c>
      <c r="Q286" s="43">
        <f t="shared" si="62"/>
        <v>0.12539943100000001</v>
      </c>
      <c r="R286" s="43">
        <f t="shared" si="63"/>
        <v>1.6094271E-2</v>
      </c>
      <c r="S286" s="43">
        <f t="shared" si="64"/>
        <v>0.68927427900000005</v>
      </c>
      <c r="T286" s="43">
        <f t="shared" si="65"/>
        <v>2.4842467840000002</v>
      </c>
      <c r="U286" s="43">
        <f t="shared" si="66"/>
        <v>7.7164712450000001</v>
      </c>
      <c r="V286" s="43">
        <f t="shared" si="67"/>
        <v>2.1148538000000001E-2</v>
      </c>
      <c r="W286" s="230">
        <f t="shared" si="68"/>
        <v>0.21260351514727976</v>
      </c>
      <c r="X286" s="43">
        <f t="shared" si="69"/>
        <v>0.63981969999999999</v>
      </c>
      <c r="Y286" s="43">
        <v>116.1913845</v>
      </c>
      <c r="Z286" s="43">
        <f t="shared" si="58"/>
        <v>0</v>
      </c>
      <c r="AA286" s="43">
        <f t="shared" si="59"/>
        <v>478718</v>
      </c>
      <c r="AB286" s="43">
        <f t="shared" si="60"/>
        <v>186107</v>
      </c>
      <c r="AC286" s="43">
        <f t="shared" si="70"/>
        <v>7.5967312731255288E-2</v>
      </c>
      <c r="AD286" s="43">
        <f t="shared" si="71"/>
        <v>0.80847972010000058</v>
      </c>
      <c r="AF286" s="43">
        <v>13.474205718929325</v>
      </c>
      <c r="AG286" s="43">
        <v>0.12539943100000001</v>
      </c>
      <c r="AH286" s="43">
        <v>1.6094271E-2</v>
      </c>
      <c r="AI286" s="43">
        <v>0.68927427900000005</v>
      </c>
      <c r="AJ286" s="43">
        <v>2.4842467840000002</v>
      </c>
      <c r="AK286" s="43">
        <v>7.7164712450000001</v>
      </c>
      <c r="AL286" s="43">
        <v>2.1148538000000001E-2</v>
      </c>
      <c r="AM286" s="230">
        <v>0.21260351514727976</v>
      </c>
      <c r="AN286" s="43">
        <v>0.63981969999999999</v>
      </c>
    </row>
    <row r="287" spans="1:40" x14ac:dyDescent="0.25">
      <c r="A287" s="134">
        <v>277</v>
      </c>
      <c r="B287" s="134" t="s">
        <v>209</v>
      </c>
      <c r="C287" s="134" t="s">
        <v>210</v>
      </c>
      <c r="D287" s="134" t="s">
        <v>211</v>
      </c>
      <c r="E287" s="134">
        <v>541</v>
      </c>
      <c r="F287" s="134">
        <v>1072</v>
      </c>
      <c r="G287" s="134">
        <v>18</v>
      </c>
      <c r="H287" s="134">
        <v>1028</v>
      </c>
      <c r="I287" s="200">
        <v>3.4357072013399999E-2</v>
      </c>
      <c r="J287" s="134">
        <v>2100</v>
      </c>
      <c r="K287" s="134">
        <v>61122.787156699997</v>
      </c>
      <c r="L287" s="42">
        <v>0.64937868841599999</v>
      </c>
      <c r="M287" s="42">
        <v>0.65519439133199997</v>
      </c>
      <c r="N287" s="134">
        <v>1</v>
      </c>
      <c r="O287" s="43" t="s">
        <v>627</v>
      </c>
      <c r="P287" s="43">
        <f t="shared" si="61"/>
        <v>12.677441518865237</v>
      </c>
      <c r="Q287" s="43">
        <f t="shared" si="62"/>
        <v>0.120986672</v>
      </c>
      <c r="R287" s="43">
        <f t="shared" si="63"/>
        <v>1.84444E-2</v>
      </c>
      <c r="S287" s="43">
        <f t="shared" si="64"/>
        <v>0.64937868799999998</v>
      </c>
      <c r="T287" s="43">
        <f t="shared" si="65"/>
        <v>2.4433182370000002</v>
      </c>
      <c r="U287" s="43">
        <f t="shared" si="66"/>
        <v>6.7372521860000001</v>
      </c>
      <c r="V287" s="43">
        <f t="shared" si="67"/>
        <v>2.7534993000000001E-2</v>
      </c>
      <c r="W287" s="230">
        <f t="shared" si="68"/>
        <v>0.22192717944101895</v>
      </c>
      <c r="X287" s="43">
        <f t="shared" si="69"/>
        <v>0.560232234</v>
      </c>
      <c r="Y287" s="43">
        <v>117.4035827</v>
      </c>
      <c r="Z287" s="43">
        <f t="shared" si="58"/>
        <v>0</v>
      </c>
      <c r="AA287" s="43">
        <f t="shared" si="59"/>
        <v>478718</v>
      </c>
      <c r="AB287" s="43">
        <f t="shared" si="60"/>
        <v>186107</v>
      </c>
      <c r="AC287" s="43">
        <f t="shared" si="70"/>
        <v>7.5967312731255288E-2</v>
      </c>
      <c r="AD287" s="43">
        <f t="shared" si="71"/>
        <v>0.80847972010000058</v>
      </c>
      <c r="AF287" s="43">
        <v>12.677441518865237</v>
      </c>
      <c r="AG287" s="43">
        <v>0.120986672</v>
      </c>
      <c r="AH287" s="43">
        <v>1.84444E-2</v>
      </c>
      <c r="AI287" s="43">
        <v>0.64937868799999998</v>
      </c>
      <c r="AJ287" s="43">
        <v>2.4433182370000002</v>
      </c>
      <c r="AK287" s="43">
        <v>6.7372521860000001</v>
      </c>
      <c r="AL287" s="43">
        <v>2.7534993000000001E-2</v>
      </c>
      <c r="AM287" s="230">
        <v>0.22192717944101895</v>
      </c>
      <c r="AN287" s="43">
        <v>0.560232234</v>
      </c>
    </row>
    <row r="288" spans="1:40" x14ac:dyDescent="0.25">
      <c r="A288" s="134">
        <v>278</v>
      </c>
      <c r="B288" s="134" t="s">
        <v>209</v>
      </c>
      <c r="C288" s="134" t="s">
        <v>210</v>
      </c>
      <c r="D288" s="134" t="s">
        <v>211</v>
      </c>
      <c r="E288" s="134">
        <v>0</v>
      </c>
      <c r="F288" s="134">
        <v>0</v>
      </c>
      <c r="G288" s="134">
        <v>217</v>
      </c>
      <c r="H288" s="134">
        <v>562</v>
      </c>
      <c r="I288" s="200">
        <v>0.37636856618100001</v>
      </c>
      <c r="J288" s="134">
        <v>562</v>
      </c>
      <c r="K288" s="134">
        <v>1493.2171559999999</v>
      </c>
      <c r="L288" s="42">
        <v>0.77223399054899999</v>
      </c>
      <c r="M288" s="42">
        <v>1</v>
      </c>
      <c r="N288" s="134">
        <v>1</v>
      </c>
      <c r="O288" s="43" t="s">
        <v>627</v>
      </c>
      <c r="P288" s="43">
        <f t="shared" si="61"/>
        <v>14.410441145313225</v>
      </c>
      <c r="Q288" s="43">
        <f t="shared" si="62"/>
        <v>0.100483407</v>
      </c>
      <c r="R288" s="43">
        <f t="shared" si="63"/>
        <v>2.0965727E-2</v>
      </c>
      <c r="S288" s="43">
        <f t="shared" si="64"/>
        <v>0.77223399100000001</v>
      </c>
      <c r="T288" s="43">
        <f t="shared" si="65"/>
        <v>3.2669624220000002</v>
      </c>
      <c r="U288" s="43">
        <f t="shared" si="66"/>
        <v>8.0178869309999996</v>
      </c>
      <c r="V288" s="43">
        <f t="shared" si="67"/>
        <v>3.1608174000000003E-2</v>
      </c>
      <c r="W288" s="230">
        <f t="shared" si="68"/>
        <v>0.12927587738782764</v>
      </c>
      <c r="X288" s="43">
        <f t="shared" si="69"/>
        <v>0.74868947100000005</v>
      </c>
      <c r="Y288" s="43">
        <v>213.49687449999999</v>
      </c>
      <c r="Z288" s="43">
        <f t="shared" si="58"/>
        <v>0</v>
      </c>
      <c r="AA288" s="43">
        <f t="shared" si="59"/>
        <v>478718</v>
      </c>
      <c r="AB288" s="43">
        <f t="shared" si="60"/>
        <v>186107</v>
      </c>
      <c r="AC288" s="43">
        <f t="shared" si="70"/>
        <v>7.5967312731255288E-2</v>
      </c>
      <c r="AD288" s="43">
        <f t="shared" si="71"/>
        <v>0.80847972010000058</v>
      </c>
      <c r="AF288" s="43">
        <v>14.410441145313225</v>
      </c>
      <c r="AG288" s="43">
        <v>0.100483407</v>
      </c>
      <c r="AH288" s="43">
        <v>2.0965727E-2</v>
      </c>
      <c r="AI288" s="43">
        <v>0.77223399100000001</v>
      </c>
      <c r="AJ288" s="43">
        <v>3.2669624220000002</v>
      </c>
      <c r="AK288" s="43">
        <v>8.0178869309999996</v>
      </c>
      <c r="AL288" s="43">
        <v>3.1608174000000003E-2</v>
      </c>
      <c r="AM288" s="230">
        <v>0.12927587738782764</v>
      </c>
      <c r="AN288" s="43">
        <v>0.74868947100000005</v>
      </c>
    </row>
    <row r="289" spans="1:40" x14ac:dyDescent="0.25">
      <c r="A289" s="134">
        <v>279</v>
      </c>
      <c r="B289" s="134" t="s">
        <v>209</v>
      </c>
      <c r="C289" s="134" t="s">
        <v>210</v>
      </c>
      <c r="D289" s="134" t="s">
        <v>211</v>
      </c>
      <c r="E289" s="134">
        <v>1118</v>
      </c>
      <c r="F289" s="134">
        <v>1720</v>
      </c>
      <c r="G289" s="134">
        <v>44</v>
      </c>
      <c r="H289" s="134">
        <v>1473</v>
      </c>
      <c r="I289" s="200">
        <v>3.0848145031400001E-2</v>
      </c>
      <c r="J289" s="134">
        <v>3193</v>
      </c>
      <c r="K289" s="134">
        <v>103507.03410999999</v>
      </c>
      <c r="L289" s="42">
        <v>0.68382851177899995</v>
      </c>
      <c r="M289" s="42">
        <v>0.56850636819800004</v>
      </c>
      <c r="N289" s="134">
        <v>1</v>
      </c>
      <c r="O289" s="43" t="s">
        <v>627</v>
      </c>
      <c r="P289" s="43">
        <f t="shared" si="61"/>
        <v>12.657971257526826</v>
      </c>
      <c r="Q289" s="43">
        <f t="shared" si="62"/>
        <v>0.105360991</v>
      </c>
      <c r="R289" s="43">
        <f t="shared" si="63"/>
        <v>1.6419637000000001E-2</v>
      </c>
      <c r="S289" s="43">
        <f t="shared" si="64"/>
        <v>0.68382851200000005</v>
      </c>
      <c r="T289" s="43">
        <f t="shared" si="65"/>
        <v>2.410811313</v>
      </c>
      <c r="U289" s="43">
        <f t="shared" si="66"/>
        <v>6.5289400610000001</v>
      </c>
      <c r="V289" s="43">
        <f t="shared" si="67"/>
        <v>2.3368902E-2</v>
      </c>
      <c r="W289" s="230">
        <f t="shared" si="68"/>
        <v>0.18024845886660201</v>
      </c>
      <c r="X289" s="43">
        <f t="shared" si="69"/>
        <v>0.62954595199999996</v>
      </c>
      <c r="Y289" s="43">
        <v>213.2863735</v>
      </c>
      <c r="Z289" s="43">
        <f t="shared" si="58"/>
        <v>0</v>
      </c>
      <c r="AA289" s="43">
        <f t="shared" si="59"/>
        <v>478718</v>
      </c>
      <c r="AB289" s="43">
        <f t="shared" si="60"/>
        <v>186107</v>
      </c>
      <c r="AC289" s="43">
        <f t="shared" si="70"/>
        <v>7.5967312731255288E-2</v>
      </c>
      <c r="AD289" s="43">
        <f t="shared" si="71"/>
        <v>0.80847972010000058</v>
      </c>
      <c r="AF289" s="43">
        <v>12.657971257526826</v>
      </c>
      <c r="AG289" s="43">
        <v>0.105360991</v>
      </c>
      <c r="AH289" s="43">
        <v>1.6419637000000001E-2</v>
      </c>
      <c r="AI289" s="43">
        <v>0.68382851200000005</v>
      </c>
      <c r="AJ289" s="43">
        <v>2.410811313</v>
      </c>
      <c r="AK289" s="43">
        <v>6.5289400610000001</v>
      </c>
      <c r="AL289" s="43">
        <v>2.3368902E-2</v>
      </c>
      <c r="AM289" s="230">
        <v>0.18024845886660201</v>
      </c>
      <c r="AN289" s="43">
        <v>0.62954595199999996</v>
      </c>
    </row>
    <row r="290" spans="1:40" x14ac:dyDescent="0.25">
      <c r="A290" s="134">
        <v>280</v>
      </c>
      <c r="B290" s="134" t="s">
        <v>209</v>
      </c>
      <c r="C290" s="134" t="s">
        <v>210</v>
      </c>
      <c r="D290" s="134" t="s">
        <v>211</v>
      </c>
      <c r="E290" s="134">
        <v>133</v>
      </c>
      <c r="F290" s="134">
        <v>205</v>
      </c>
      <c r="G290" s="134">
        <v>19</v>
      </c>
      <c r="H290" s="134">
        <v>3894</v>
      </c>
      <c r="I290" s="200">
        <v>3.35946412244E-2</v>
      </c>
      <c r="J290" s="134">
        <v>4099</v>
      </c>
      <c r="K290" s="134">
        <v>122013.507232</v>
      </c>
      <c r="L290" s="42">
        <v>0.58343230551299996</v>
      </c>
      <c r="M290" s="42">
        <v>0.96697293270399998</v>
      </c>
      <c r="N290" s="134">
        <v>1</v>
      </c>
      <c r="O290" s="43" t="s">
        <v>627</v>
      </c>
      <c r="P290" s="43">
        <f t="shared" si="61"/>
        <v>15.713263907701453</v>
      </c>
      <c r="Q290" s="43">
        <f t="shared" si="62"/>
        <v>0.24836633799999999</v>
      </c>
      <c r="R290" s="43">
        <f t="shared" si="63"/>
        <v>1.4321564E-2</v>
      </c>
      <c r="S290" s="43">
        <f t="shared" si="64"/>
        <v>0.58343230599999996</v>
      </c>
      <c r="T290" s="43">
        <f t="shared" si="65"/>
        <v>2.7384170999999999</v>
      </c>
      <c r="U290" s="43">
        <f t="shared" si="66"/>
        <v>7.8634283070000004</v>
      </c>
      <c r="V290" s="43">
        <f t="shared" si="67"/>
        <v>1.8846207E-2</v>
      </c>
      <c r="W290" s="230">
        <f t="shared" si="68"/>
        <v>0.4161363031552488</v>
      </c>
      <c r="X290" s="43">
        <f t="shared" si="69"/>
        <v>0.45531640699999998</v>
      </c>
      <c r="Y290" s="43">
        <v>151.65235340000001</v>
      </c>
      <c r="Z290" s="43">
        <f t="shared" si="58"/>
        <v>0</v>
      </c>
      <c r="AA290" s="43">
        <f t="shared" si="59"/>
        <v>478718</v>
      </c>
      <c r="AB290" s="43">
        <f t="shared" si="60"/>
        <v>186107</v>
      </c>
      <c r="AC290" s="43">
        <f t="shared" si="70"/>
        <v>7.5967312731255288E-2</v>
      </c>
      <c r="AD290" s="43">
        <f t="shared" si="71"/>
        <v>0.80847972010000058</v>
      </c>
      <c r="AF290" s="43">
        <v>15.713263907701453</v>
      </c>
      <c r="AG290" s="43">
        <v>0.24836633799999999</v>
      </c>
      <c r="AH290" s="43">
        <v>1.4321564E-2</v>
      </c>
      <c r="AI290" s="43">
        <v>0.58343230599999996</v>
      </c>
      <c r="AJ290" s="43">
        <v>2.7384170999999999</v>
      </c>
      <c r="AK290" s="43">
        <v>7.8634283070000004</v>
      </c>
      <c r="AL290" s="43">
        <v>1.8846207E-2</v>
      </c>
      <c r="AM290" s="230">
        <v>0.4161363031552488</v>
      </c>
      <c r="AN290" s="43">
        <v>0.45531640699999998</v>
      </c>
    </row>
    <row r="291" spans="1:40" x14ac:dyDescent="0.25">
      <c r="A291" s="134">
        <v>281</v>
      </c>
      <c r="B291" s="134" t="s">
        <v>209</v>
      </c>
      <c r="C291" s="134" t="s">
        <v>210</v>
      </c>
      <c r="D291" s="134" t="s">
        <v>211</v>
      </c>
      <c r="E291" s="134">
        <v>1551</v>
      </c>
      <c r="F291" s="134">
        <v>2779</v>
      </c>
      <c r="G291" s="134">
        <v>47</v>
      </c>
      <c r="H291" s="134">
        <v>489</v>
      </c>
      <c r="I291" s="200">
        <v>7.5611720875300006E-2</v>
      </c>
      <c r="J291" s="134">
        <v>3268</v>
      </c>
      <c r="K291" s="134">
        <v>43220.812357800001</v>
      </c>
      <c r="L291" s="42">
        <v>0.69149479380199996</v>
      </c>
      <c r="M291" s="42">
        <v>0.239705882353</v>
      </c>
      <c r="N291" s="134">
        <v>1</v>
      </c>
      <c r="O291" s="43" t="s">
        <v>627</v>
      </c>
      <c r="P291" s="43">
        <f t="shared" si="61"/>
        <v>10.528237380198375</v>
      </c>
      <c r="Q291" s="43">
        <f t="shared" si="62"/>
        <v>0.11930958899999999</v>
      </c>
      <c r="R291" s="43">
        <f t="shared" si="63"/>
        <v>1.7935959000000001E-2</v>
      </c>
      <c r="S291" s="43">
        <f t="shared" si="64"/>
        <v>0.69149479400000002</v>
      </c>
      <c r="T291" s="43">
        <f t="shared" si="65"/>
        <v>2.599961006</v>
      </c>
      <c r="U291" s="43">
        <f t="shared" si="66"/>
        <v>6.2527413709999999</v>
      </c>
      <c r="V291" s="43">
        <f t="shared" si="67"/>
        <v>2.3918996000000001E-2</v>
      </c>
      <c r="W291" s="230">
        <f t="shared" si="68"/>
        <v>0.22879373058688901</v>
      </c>
      <c r="X291" s="43">
        <f t="shared" si="69"/>
        <v>0.614777464</v>
      </c>
      <c r="Y291" s="43">
        <v>162.33299909999999</v>
      </c>
      <c r="Z291" s="43">
        <f t="shared" si="58"/>
        <v>0</v>
      </c>
      <c r="AA291" s="43">
        <f t="shared" si="59"/>
        <v>478718</v>
      </c>
      <c r="AB291" s="43">
        <f t="shared" si="60"/>
        <v>186107</v>
      </c>
      <c r="AC291" s="43">
        <f t="shared" si="70"/>
        <v>7.5967312731255288E-2</v>
      </c>
      <c r="AD291" s="43">
        <f t="shared" si="71"/>
        <v>0.80847972010000058</v>
      </c>
      <c r="AF291" s="43">
        <v>10.528237380198375</v>
      </c>
      <c r="AG291" s="43">
        <v>0.11930958899999999</v>
      </c>
      <c r="AH291" s="43">
        <v>1.7935959000000001E-2</v>
      </c>
      <c r="AI291" s="43">
        <v>0.69149479400000002</v>
      </c>
      <c r="AJ291" s="43">
        <v>2.599961006</v>
      </c>
      <c r="AK291" s="43">
        <v>6.2527413709999999</v>
      </c>
      <c r="AL291" s="43">
        <v>2.3918996000000001E-2</v>
      </c>
      <c r="AM291" s="230">
        <v>0.22879373058688901</v>
      </c>
      <c r="AN291" s="43">
        <v>0.614777464</v>
      </c>
    </row>
    <row r="292" spans="1:40" x14ac:dyDescent="0.25">
      <c r="A292" s="134">
        <v>282</v>
      </c>
      <c r="B292" s="134" t="s">
        <v>209</v>
      </c>
      <c r="C292" s="134" t="s">
        <v>210</v>
      </c>
      <c r="D292" s="134" t="s">
        <v>211</v>
      </c>
      <c r="E292" s="134">
        <v>1637</v>
      </c>
      <c r="F292" s="134">
        <v>2933</v>
      </c>
      <c r="G292" s="134">
        <v>55</v>
      </c>
      <c r="H292" s="134">
        <v>386</v>
      </c>
      <c r="I292" s="200">
        <v>8.8111810744600005E-2</v>
      </c>
      <c r="J292" s="134">
        <v>3319</v>
      </c>
      <c r="K292" s="134">
        <v>37668.048947700001</v>
      </c>
      <c r="L292" s="42">
        <v>0.71733305999999997</v>
      </c>
      <c r="M292" s="42">
        <v>0.190805734058</v>
      </c>
      <c r="N292" s="134">
        <v>0</v>
      </c>
      <c r="O292" s="43" t="s">
        <v>664</v>
      </c>
      <c r="P292" s="43">
        <f t="shared" si="61"/>
        <v>10.569956154994269</v>
      </c>
      <c r="Q292" s="43">
        <f t="shared" si="62"/>
        <v>0.111505927</v>
      </c>
      <c r="R292" s="43">
        <f t="shared" si="63"/>
        <v>1.8001588999999998E-2</v>
      </c>
      <c r="S292" s="43">
        <f t="shared" si="64"/>
        <v>0.71733305999999997</v>
      </c>
      <c r="T292" s="43">
        <f t="shared" si="65"/>
        <v>2.7034589200000001</v>
      </c>
      <c r="U292" s="43">
        <f t="shared" si="66"/>
        <v>6.5092959370000001</v>
      </c>
      <c r="V292" s="43">
        <f t="shared" si="67"/>
        <v>2.2296041999999999E-2</v>
      </c>
      <c r="W292" s="230">
        <f t="shared" si="68"/>
        <v>0.21696341255180762</v>
      </c>
      <c r="X292" s="43">
        <f t="shared" si="69"/>
        <v>0.65486927100000003</v>
      </c>
      <c r="Y292" s="43">
        <v>112.6088465</v>
      </c>
      <c r="Z292" s="43">
        <f t="shared" si="58"/>
        <v>0</v>
      </c>
      <c r="AA292" s="43">
        <f t="shared" si="59"/>
        <v>478718</v>
      </c>
      <c r="AB292" s="43">
        <f t="shared" si="60"/>
        <v>186107</v>
      </c>
      <c r="AC292" s="43">
        <f t="shared" si="70"/>
        <v>7.5967312731255288E-2</v>
      </c>
      <c r="AD292" s="43">
        <f t="shared" si="71"/>
        <v>0.80847972010000058</v>
      </c>
      <c r="AF292" s="43">
        <v>10.569956154994269</v>
      </c>
      <c r="AG292" s="43">
        <v>0.111505927</v>
      </c>
      <c r="AH292" s="43">
        <v>1.8001588999999998E-2</v>
      </c>
      <c r="AI292" s="43">
        <v>0.71733305999999997</v>
      </c>
      <c r="AJ292" s="43">
        <v>2.7034589200000001</v>
      </c>
      <c r="AK292" s="43">
        <v>6.5092959370000001</v>
      </c>
      <c r="AL292" s="43">
        <v>2.2296041999999999E-2</v>
      </c>
      <c r="AM292" s="230">
        <v>0.21696341255180762</v>
      </c>
      <c r="AN292" s="43">
        <v>0.65486927100000003</v>
      </c>
    </row>
    <row r="293" spans="1:40" x14ac:dyDescent="0.25">
      <c r="A293" s="134">
        <v>283</v>
      </c>
      <c r="B293" s="134" t="s">
        <v>209</v>
      </c>
      <c r="C293" s="134" t="s">
        <v>210</v>
      </c>
      <c r="D293" s="134" t="s">
        <v>211</v>
      </c>
      <c r="E293" s="134">
        <v>858</v>
      </c>
      <c r="F293" s="134">
        <v>1655</v>
      </c>
      <c r="G293" s="134">
        <v>66</v>
      </c>
      <c r="H293" s="134">
        <v>96</v>
      </c>
      <c r="I293" s="200">
        <v>9.3237726248599995E-2</v>
      </c>
      <c r="J293" s="134">
        <v>1751</v>
      </c>
      <c r="K293" s="134">
        <v>18779.951747499999</v>
      </c>
      <c r="L293" s="42">
        <v>0.79059474191300005</v>
      </c>
      <c r="M293" s="42">
        <v>0.10062893081800001</v>
      </c>
      <c r="N293" s="134">
        <v>0</v>
      </c>
      <c r="O293" s="43" t="s">
        <v>664</v>
      </c>
      <c r="P293" s="43">
        <f t="shared" si="61"/>
        <v>10.31416550832305</v>
      </c>
      <c r="Q293" s="43">
        <f t="shared" si="62"/>
        <v>7.1115653000000001E-2</v>
      </c>
      <c r="R293" s="43">
        <f t="shared" si="63"/>
        <v>1.4372174999999999E-2</v>
      </c>
      <c r="S293" s="43">
        <f t="shared" si="64"/>
        <v>0.79059474200000002</v>
      </c>
      <c r="T293" s="43">
        <f t="shared" si="65"/>
        <v>2.6980133679999998</v>
      </c>
      <c r="U293" s="43">
        <f t="shared" si="66"/>
        <v>6.7489036569999996</v>
      </c>
      <c r="V293" s="43">
        <f t="shared" si="67"/>
        <v>1.0911924999999999E-2</v>
      </c>
      <c r="W293" s="230">
        <f t="shared" si="68"/>
        <v>0.15895362431800467</v>
      </c>
      <c r="X293" s="43">
        <f t="shared" si="69"/>
        <v>0.764282931</v>
      </c>
      <c r="Y293" s="43">
        <v>186.20942640000001</v>
      </c>
      <c r="Z293" s="43">
        <f t="shared" si="58"/>
        <v>0</v>
      </c>
      <c r="AA293" s="43">
        <f t="shared" si="59"/>
        <v>478718</v>
      </c>
      <c r="AB293" s="43">
        <f t="shared" si="60"/>
        <v>186107</v>
      </c>
      <c r="AC293" s="43">
        <f t="shared" si="70"/>
        <v>7.5967312731255288E-2</v>
      </c>
      <c r="AD293" s="43">
        <f t="shared" si="71"/>
        <v>0.80847972010000058</v>
      </c>
      <c r="AF293" s="43">
        <v>10.31416550832305</v>
      </c>
      <c r="AG293" s="43">
        <v>7.1115653000000001E-2</v>
      </c>
      <c r="AH293" s="43">
        <v>1.4372174999999999E-2</v>
      </c>
      <c r="AI293" s="43">
        <v>0.79059474200000002</v>
      </c>
      <c r="AJ293" s="43">
        <v>2.6980133679999998</v>
      </c>
      <c r="AK293" s="43">
        <v>6.7489036569999996</v>
      </c>
      <c r="AL293" s="43">
        <v>1.0911924999999999E-2</v>
      </c>
      <c r="AM293" s="230">
        <v>0.15895362431800467</v>
      </c>
      <c r="AN293" s="43">
        <v>0.764282931</v>
      </c>
    </row>
    <row r="294" spans="1:40" x14ac:dyDescent="0.25">
      <c r="A294" s="134">
        <v>284</v>
      </c>
      <c r="B294" s="134" t="s">
        <v>209</v>
      </c>
      <c r="C294" s="134" t="s">
        <v>210</v>
      </c>
      <c r="D294" s="134" t="s">
        <v>211</v>
      </c>
      <c r="E294" s="134">
        <v>898</v>
      </c>
      <c r="F294" s="134">
        <v>1733</v>
      </c>
      <c r="G294" s="134">
        <v>70</v>
      </c>
      <c r="H294" s="134">
        <v>582</v>
      </c>
      <c r="I294" s="200">
        <v>9.8528230743699999E-2</v>
      </c>
      <c r="J294" s="134">
        <v>2315</v>
      </c>
      <c r="K294" s="134">
        <v>23495.8040201</v>
      </c>
      <c r="L294" s="42">
        <v>0.78552881317400003</v>
      </c>
      <c r="M294" s="42">
        <v>0.39324324324299997</v>
      </c>
      <c r="N294" s="134">
        <v>0</v>
      </c>
      <c r="O294" s="43" t="s">
        <v>664</v>
      </c>
      <c r="P294" s="43">
        <f t="shared" si="61"/>
        <v>11.114656514995376</v>
      </c>
      <c r="Q294" s="43">
        <f t="shared" si="62"/>
        <v>7.5468085000000004E-2</v>
      </c>
      <c r="R294" s="43">
        <f t="shared" si="63"/>
        <v>1.6116271000000001E-2</v>
      </c>
      <c r="S294" s="43">
        <f t="shared" si="64"/>
        <v>0.78552881299999999</v>
      </c>
      <c r="T294" s="43">
        <f t="shared" si="65"/>
        <v>2.6876674729999999</v>
      </c>
      <c r="U294" s="43">
        <f t="shared" si="66"/>
        <v>7.2331072809999997</v>
      </c>
      <c r="V294" s="43">
        <f t="shared" si="67"/>
        <v>1.7529353000000001E-2</v>
      </c>
      <c r="W294" s="230">
        <f t="shared" si="68"/>
        <v>0.14193677305550961</v>
      </c>
      <c r="X294" s="43">
        <f t="shared" si="69"/>
        <v>0.76178270199999998</v>
      </c>
      <c r="Y294" s="43">
        <v>182.64438039999999</v>
      </c>
      <c r="Z294" s="43">
        <f t="shared" si="58"/>
        <v>0</v>
      </c>
      <c r="AA294" s="43">
        <f t="shared" si="59"/>
        <v>478718</v>
      </c>
      <c r="AB294" s="43">
        <f t="shared" si="60"/>
        <v>186107</v>
      </c>
      <c r="AC294" s="43">
        <f t="shared" si="70"/>
        <v>7.5967312731255288E-2</v>
      </c>
      <c r="AD294" s="43">
        <f t="shared" si="71"/>
        <v>0.80847972010000058</v>
      </c>
      <c r="AF294" s="43">
        <v>11.114656514995376</v>
      </c>
      <c r="AG294" s="43">
        <v>7.5468085000000004E-2</v>
      </c>
      <c r="AH294" s="43">
        <v>1.6116271000000001E-2</v>
      </c>
      <c r="AI294" s="43">
        <v>0.78552881299999999</v>
      </c>
      <c r="AJ294" s="43">
        <v>2.6876674729999999</v>
      </c>
      <c r="AK294" s="43">
        <v>7.2331072809999997</v>
      </c>
      <c r="AL294" s="43">
        <v>1.7529353000000001E-2</v>
      </c>
      <c r="AM294" s="230">
        <v>0.14193677305550961</v>
      </c>
      <c r="AN294" s="43">
        <v>0.76178270199999998</v>
      </c>
    </row>
    <row r="295" spans="1:40" x14ac:dyDescent="0.25">
      <c r="A295" s="134">
        <v>285</v>
      </c>
      <c r="B295" s="134" t="s">
        <v>209</v>
      </c>
      <c r="C295" s="134" t="s">
        <v>210</v>
      </c>
      <c r="D295" s="134" t="s">
        <v>211</v>
      </c>
      <c r="E295" s="134">
        <v>747</v>
      </c>
      <c r="F295" s="134">
        <v>1442</v>
      </c>
      <c r="G295" s="134">
        <v>100</v>
      </c>
      <c r="H295" s="134">
        <v>306</v>
      </c>
      <c r="I295" s="200">
        <v>0.14062827026300001</v>
      </c>
      <c r="J295" s="134">
        <v>1748</v>
      </c>
      <c r="K295" s="134">
        <v>12429.9331616</v>
      </c>
      <c r="L295" s="42">
        <v>0.68953636821099995</v>
      </c>
      <c r="M295" s="42">
        <v>0.29059829059800002</v>
      </c>
      <c r="N295" s="134">
        <v>0</v>
      </c>
      <c r="O295" s="43" t="s">
        <v>664</v>
      </c>
      <c r="P295" s="43">
        <f t="shared" si="61"/>
        <v>11.026562504334093</v>
      </c>
      <c r="Q295" s="43">
        <f t="shared" si="62"/>
        <v>8.6099779000000001E-2</v>
      </c>
      <c r="R295" s="43">
        <f t="shared" si="63"/>
        <v>0.106058527</v>
      </c>
      <c r="S295" s="43">
        <f t="shared" si="64"/>
        <v>0.68953636799999996</v>
      </c>
      <c r="T295" s="43">
        <f t="shared" si="65"/>
        <v>2.5087296220000002</v>
      </c>
      <c r="U295" s="43">
        <f t="shared" si="66"/>
        <v>7.2040501179999996</v>
      </c>
      <c r="V295" s="43">
        <f t="shared" si="67"/>
        <v>1.2398483E-2</v>
      </c>
      <c r="W295" s="230">
        <f t="shared" si="68"/>
        <v>0.1248419886058633</v>
      </c>
      <c r="X295" s="43">
        <f t="shared" si="69"/>
        <v>0.81622192599999999</v>
      </c>
      <c r="Y295" s="43">
        <v>150.96461289999999</v>
      </c>
      <c r="Z295" s="43">
        <f t="shared" si="58"/>
        <v>0</v>
      </c>
      <c r="AA295" s="43">
        <f t="shared" si="59"/>
        <v>478718</v>
      </c>
      <c r="AB295" s="43">
        <f t="shared" si="60"/>
        <v>186107</v>
      </c>
      <c r="AC295" s="43">
        <f t="shared" si="70"/>
        <v>7.5967312731255288E-2</v>
      </c>
      <c r="AD295" s="43">
        <f t="shared" si="71"/>
        <v>0.80847972010000058</v>
      </c>
      <c r="AF295" s="43">
        <v>11.026562504334093</v>
      </c>
      <c r="AG295" s="43">
        <v>8.6099779000000001E-2</v>
      </c>
      <c r="AH295" s="43">
        <v>0.106058527</v>
      </c>
      <c r="AI295" s="43">
        <v>0.68953636799999996</v>
      </c>
      <c r="AJ295" s="43">
        <v>2.5087296220000002</v>
      </c>
      <c r="AK295" s="43">
        <v>7.2040501179999996</v>
      </c>
      <c r="AL295" s="43">
        <v>1.2398483E-2</v>
      </c>
      <c r="AM295" s="230">
        <v>0.1248419886058633</v>
      </c>
      <c r="AN295" s="43">
        <v>0.81622192599999999</v>
      </c>
    </row>
    <row r="296" spans="1:40" x14ac:dyDescent="0.25">
      <c r="A296" s="134">
        <v>286</v>
      </c>
      <c r="B296" s="134" t="s">
        <v>209</v>
      </c>
      <c r="C296" s="134" t="s">
        <v>210</v>
      </c>
      <c r="D296" s="134" t="s">
        <v>211</v>
      </c>
      <c r="E296" s="134">
        <v>1891</v>
      </c>
      <c r="F296" s="134">
        <v>2952</v>
      </c>
      <c r="G296" s="134">
        <v>43</v>
      </c>
      <c r="H296" s="134">
        <v>740</v>
      </c>
      <c r="I296" s="200">
        <v>6.5338114537900005E-2</v>
      </c>
      <c r="J296" s="134">
        <v>3692</v>
      </c>
      <c r="K296" s="134">
        <v>56506.068871299998</v>
      </c>
      <c r="L296" s="42">
        <v>0.69166773918199997</v>
      </c>
      <c r="M296" s="42">
        <v>0.28126187761299998</v>
      </c>
      <c r="N296" s="134">
        <v>1</v>
      </c>
      <c r="O296" s="43" t="s">
        <v>627</v>
      </c>
      <c r="P296" s="43">
        <f t="shared" si="61"/>
        <v>11.760184584023268</v>
      </c>
      <c r="Q296" s="43">
        <f t="shared" si="62"/>
        <v>0.120439986</v>
      </c>
      <c r="R296" s="43">
        <f t="shared" si="63"/>
        <v>1.7293537000000001E-2</v>
      </c>
      <c r="S296" s="43">
        <f t="shared" si="64"/>
        <v>0.691667739</v>
      </c>
      <c r="T296" s="43">
        <f t="shared" si="65"/>
        <v>2.586084692</v>
      </c>
      <c r="U296" s="43">
        <f t="shared" si="66"/>
        <v>6.6983648819999999</v>
      </c>
      <c r="V296" s="43">
        <f t="shared" si="67"/>
        <v>2.4385204000000001E-2</v>
      </c>
      <c r="W296" s="230">
        <f t="shared" si="68"/>
        <v>0.21711931913097762</v>
      </c>
      <c r="X296" s="43">
        <f t="shared" si="69"/>
        <v>0.62345147099999998</v>
      </c>
      <c r="Y296" s="43">
        <v>90.009647770000001</v>
      </c>
      <c r="Z296" s="43">
        <f t="shared" si="58"/>
        <v>0</v>
      </c>
      <c r="AA296" s="43">
        <f t="shared" si="59"/>
        <v>478718</v>
      </c>
      <c r="AB296" s="43">
        <f t="shared" si="60"/>
        <v>186107</v>
      </c>
      <c r="AC296" s="43">
        <f t="shared" si="70"/>
        <v>7.5967312731255288E-2</v>
      </c>
      <c r="AD296" s="43">
        <f t="shared" si="71"/>
        <v>0.80847972010000058</v>
      </c>
      <c r="AF296" s="43">
        <v>11.760184584023268</v>
      </c>
      <c r="AG296" s="43">
        <v>0.120439986</v>
      </c>
      <c r="AH296" s="43">
        <v>1.7293537000000001E-2</v>
      </c>
      <c r="AI296" s="43">
        <v>0.691667739</v>
      </c>
      <c r="AJ296" s="43">
        <v>2.586084692</v>
      </c>
      <c r="AK296" s="43">
        <v>6.6983648819999999</v>
      </c>
      <c r="AL296" s="43">
        <v>2.4385204000000001E-2</v>
      </c>
      <c r="AM296" s="230">
        <v>0.21711931913097762</v>
      </c>
      <c r="AN296" s="43">
        <v>0.62345147099999998</v>
      </c>
    </row>
    <row r="297" spans="1:40" x14ac:dyDescent="0.25">
      <c r="A297" s="134">
        <v>287</v>
      </c>
      <c r="B297" s="134" t="s">
        <v>209</v>
      </c>
      <c r="C297" s="134" t="s">
        <v>210</v>
      </c>
      <c r="D297" s="134" t="s">
        <v>211</v>
      </c>
      <c r="E297" s="134">
        <v>1208</v>
      </c>
      <c r="F297" s="134">
        <v>1885</v>
      </c>
      <c r="G297" s="134">
        <v>48</v>
      </c>
      <c r="H297" s="134">
        <v>1145</v>
      </c>
      <c r="I297" s="200">
        <v>7.1722489912900006E-2</v>
      </c>
      <c r="J297" s="134">
        <v>3030</v>
      </c>
      <c r="K297" s="134">
        <v>42246.163005199996</v>
      </c>
      <c r="L297" s="42">
        <v>0.74225742936299999</v>
      </c>
      <c r="M297" s="42">
        <v>0.48661283467900002</v>
      </c>
      <c r="N297" s="134">
        <v>0</v>
      </c>
      <c r="O297" s="43" t="s">
        <v>627</v>
      </c>
      <c r="P297" s="43">
        <f t="shared" si="61"/>
        <v>11.788945084752912</v>
      </c>
      <c r="Q297" s="43">
        <f t="shared" si="62"/>
        <v>0.104428413</v>
      </c>
      <c r="R297" s="43">
        <f t="shared" si="63"/>
        <v>1.7212860999999999E-2</v>
      </c>
      <c r="S297" s="43">
        <f t="shared" si="64"/>
        <v>0.74225742900000002</v>
      </c>
      <c r="T297" s="43">
        <f t="shared" si="65"/>
        <v>2.7219627320000002</v>
      </c>
      <c r="U297" s="43">
        <f t="shared" si="66"/>
        <v>7.013091266</v>
      </c>
      <c r="V297" s="43">
        <f t="shared" si="67"/>
        <v>2.4306603E-2</v>
      </c>
      <c r="W297" s="230">
        <f t="shared" si="68"/>
        <v>0.19496721476252138</v>
      </c>
      <c r="X297" s="43">
        <f t="shared" si="69"/>
        <v>0.68974345299999995</v>
      </c>
      <c r="Y297" s="43">
        <v>173.13369349999999</v>
      </c>
      <c r="Z297" s="43">
        <f t="shared" si="58"/>
        <v>0</v>
      </c>
      <c r="AA297" s="43">
        <f t="shared" si="59"/>
        <v>478718</v>
      </c>
      <c r="AB297" s="43">
        <f t="shared" si="60"/>
        <v>186107</v>
      </c>
      <c r="AC297" s="43">
        <f t="shared" si="70"/>
        <v>7.5967312731255288E-2</v>
      </c>
      <c r="AD297" s="43">
        <f t="shared" si="71"/>
        <v>0.80847972010000058</v>
      </c>
      <c r="AF297" s="43">
        <v>11.788945084752912</v>
      </c>
      <c r="AG297" s="43">
        <v>0.104428413</v>
      </c>
      <c r="AH297" s="43">
        <v>1.7212860999999999E-2</v>
      </c>
      <c r="AI297" s="43">
        <v>0.74225742900000002</v>
      </c>
      <c r="AJ297" s="43">
        <v>2.7219627320000002</v>
      </c>
      <c r="AK297" s="43">
        <v>7.013091266</v>
      </c>
      <c r="AL297" s="43">
        <v>2.4306603E-2</v>
      </c>
      <c r="AM297" s="230">
        <v>0.19496721476252138</v>
      </c>
      <c r="AN297" s="43">
        <v>0.68974345299999995</v>
      </c>
    </row>
    <row r="298" spans="1:40" x14ac:dyDescent="0.25">
      <c r="A298" s="134">
        <v>288</v>
      </c>
      <c r="B298" s="134" t="s">
        <v>209</v>
      </c>
      <c r="C298" s="134" t="s">
        <v>210</v>
      </c>
      <c r="D298" s="134" t="s">
        <v>211</v>
      </c>
      <c r="E298" s="134">
        <v>2620</v>
      </c>
      <c r="F298" s="134">
        <v>4663</v>
      </c>
      <c r="G298" s="134">
        <v>95</v>
      </c>
      <c r="H298" s="134">
        <v>218</v>
      </c>
      <c r="I298" s="200">
        <v>0.147847727097</v>
      </c>
      <c r="J298" s="134">
        <v>4881</v>
      </c>
      <c r="K298" s="134">
        <v>33013.696563700003</v>
      </c>
      <c r="L298" s="42">
        <v>0.73988501568599996</v>
      </c>
      <c r="M298" s="42">
        <v>7.6814658209999997E-2</v>
      </c>
      <c r="N298" s="134">
        <v>0</v>
      </c>
      <c r="O298" s="43" t="s">
        <v>627</v>
      </c>
      <c r="P298" s="43">
        <f t="shared" si="61"/>
        <v>10.719542803261925</v>
      </c>
      <c r="Q298" s="43">
        <f t="shared" si="62"/>
        <v>0.10534201999999999</v>
      </c>
      <c r="R298" s="43">
        <f t="shared" si="63"/>
        <v>1.5775239999999999E-2</v>
      </c>
      <c r="S298" s="43">
        <f t="shared" si="64"/>
        <v>0.73988501600000001</v>
      </c>
      <c r="T298" s="43">
        <f t="shared" si="65"/>
        <v>2.7105519980000001</v>
      </c>
      <c r="U298" s="43">
        <f t="shared" si="66"/>
        <v>6.8562138590000004</v>
      </c>
      <c r="V298" s="43">
        <f t="shared" si="67"/>
        <v>1.5677832999999999E-2</v>
      </c>
      <c r="W298" s="230">
        <f t="shared" si="68"/>
        <v>0.23757751031960889</v>
      </c>
      <c r="X298" s="43">
        <f t="shared" si="69"/>
        <v>0.65729838299999999</v>
      </c>
      <c r="Y298" s="43">
        <v>96.332475200000005</v>
      </c>
      <c r="Z298" s="43">
        <f t="shared" si="58"/>
        <v>0</v>
      </c>
      <c r="AA298" s="43">
        <f t="shared" si="59"/>
        <v>478718</v>
      </c>
      <c r="AB298" s="43">
        <f t="shared" si="60"/>
        <v>186107</v>
      </c>
      <c r="AC298" s="43">
        <f t="shared" si="70"/>
        <v>7.5967312731255288E-2</v>
      </c>
      <c r="AD298" s="43">
        <f t="shared" si="71"/>
        <v>0.80847972010000058</v>
      </c>
      <c r="AF298" s="43">
        <v>10.719542803261925</v>
      </c>
      <c r="AG298" s="43">
        <v>0.10534201999999999</v>
      </c>
      <c r="AH298" s="43">
        <v>1.5775239999999999E-2</v>
      </c>
      <c r="AI298" s="43">
        <v>0.73988501600000001</v>
      </c>
      <c r="AJ298" s="43">
        <v>2.7105519980000001</v>
      </c>
      <c r="AK298" s="43">
        <v>6.8562138590000004</v>
      </c>
      <c r="AL298" s="43">
        <v>1.5677832999999999E-2</v>
      </c>
      <c r="AM298" s="230">
        <v>0.23757751031960889</v>
      </c>
      <c r="AN298" s="43">
        <v>0.65729838299999999</v>
      </c>
    </row>
    <row r="299" spans="1:40" x14ac:dyDescent="0.25">
      <c r="A299" s="134">
        <v>289</v>
      </c>
      <c r="B299" s="134" t="s">
        <v>209</v>
      </c>
      <c r="C299" s="134" t="s">
        <v>210</v>
      </c>
      <c r="D299" s="134" t="s">
        <v>211</v>
      </c>
      <c r="E299" s="134">
        <v>2191</v>
      </c>
      <c r="F299" s="134">
        <v>3789</v>
      </c>
      <c r="G299" s="134">
        <v>124</v>
      </c>
      <c r="H299" s="134">
        <v>1173</v>
      </c>
      <c r="I299" s="200">
        <v>0.19576659853100001</v>
      </c>
      <c r="J299" s="134">
        <v>4962</v>
      </c>
      <c r="K299" s="134">
        <v>25346.509758200002</v>
      </c>
      <c r="L299" s="42">
        <v>0.77298587824200005</v>
      </c>
      <c r="M299" s="42">
        <v>0.348692033294</v>
      </c>
      <c r="N299" s="134">
        <v>0</v>
      </c>
      <c r="O299" s="43" t="s">
        <v>664</v>
      </c>
      <c r="P299" s="43">
        <f t="shared" si="61"/>
        <v>11.365640217917205</v>
      </c>
      <c r="Q299" s="43">
        <f t="shared" si="62"/>
        <v>8.5802153000000006E-2</v>
      </c>
      <c r="R299" s="43">
        <f t="shared" si="63"/>
        <v>1.7042695E-2</v>
      </c>
      <c r="S299" s="43">
        <f t="shared" si="64"/>
        <v>0.77298587799999996</v>
      </c>
      <c r="T299" s="43">
        <f t="shared" si="65"/>
        <v>2.832399627</v>
      </c>
      <c r="U299" s="43">
        <f t="shared" si="66"/>
        <v>7.0415041719999998</v>
      </c>
      <c r="V299" s="43">
        <f t="shared" si="67"/>
        <v>2.0527897999999999E-2</v>
      </c>
      <c r="W299" s="230">
        <f t="shared" si="68"/>
        <v>0.17845132304846226</v>
      </c>
      <c r="X299" s="43">
        <f t="shared" si="69"/>
        <v>0.723187209</v>
      </c>
      <c r="Y299" s="43">
        <v>206.94137180000001</v>
      </c>
      <c r="Z299" s="43">
        <f t="shared" si="58"/>
        <v>0</v>
      </c>
      <c r="AA299" s="43">
        <f t="shared" si="59"/>
        <v>478718</v>
      </c>
      <c r="AB299" s="43">
        <f t="shared" si="60"/>
        <v>186107</v>
      </c>
      <c r="AC299" s="43">
        <f t="shared" si="70"/>
        <v>7.5967312731255288E-2</v>
      </c>
      <c r="AD299" s="43">
        <f t="shared" si="71"/>
        <v>0.80847972010000058</v>
      </c>
      <c r="AF299" s="43">
        <v>11.365640217917205</v>
      </c>
      <c r="AG299" s="43">
        <v>8.5802153000000006E-2</v>
      </c>
      <c r="AH299" s="43">
        <v>1.7042695E-2</v>
      </c>
      <c r="AI299" s="43">
        <v>0.77298587799999996</v>
      </c>
      <c r="AJ299" s="43">
        <v>2.832399627</v>
      </c>
      <c r="AK299" s="43">
        <v>7.0415041719999998</v>
      </c>
      <c r="AL299" s="43">
        <v>2.0527897999999999E-2</v>
      </c>
      <c r="AM299" s="230">
        <v>0.17845132304846226</v>
      </c>
      <c r="AN299" s="43">
        <v>0.723187209</v>
      </c>
    </row>
    <row r="300" spans="1:40" x14ac:dyDescent="0.25">
      <c r="A300" s="134">
        <v>290</v>
      </c>
      <c r="B300" s="134" t="s">
        <v>209</v>
      </c>
      <c r="C300" s="134" t="s">
        <v>210</v>
      </c>
      <c r="D300" s="134" t="s">
        <v>211</v>
      </c>
      <c r="E300" s="134">
        <v>1882</v>
      </c>
      <c r="F300" s="134">
        <v>3530</v>
      </c>
      <c r="G300" s="134">
        <v>168</v>
      </c>
      <c r="H300" s="134">
        <v>1431</v>
      </c>
      <c r="I300" s="200">
        <v>0.25823963992799998</v>
      </c>
      <c r="J300" s="134">
        <v>4961</v>
      </c>
      <c r="K300" s="134">
        <v>19210.8384343</v>
      </c>
      <c r="L300" s="42">
        <v>0.814320381338</v>
      </c>
      <c r="M300" s="42">
        <v>0.431934802294</v>
      </c>
      <c r="N300" s="134">
        <v>0</v>
      </c>
      <c r="O300" s="43" t="s">
        <v>664</v>
      </c>
      <c r="P300" s="43">
        <f t="shared" si="61"/>
        <v>11.768388703907993</v>
      </c>
      <c r="Q300" s="43">
        <f t="shared" si="62"/>
        <v>7.4139341999999997E-2</v>
      </c>
      <c r="R300" s="43">
        <f t="shared" si="63"/>
        <v>1.5244835999999999E-2</v>
      </c>
      <c r="S300" s="43">
        <f t="shared" si="64"/>
        <v>0.81432038100000004</v>
      </c>
      <c r="T300" s="43">
        <f t="shared" si="65"/>
        <v>3.0082044809999999</v>
      </c>
      <c r="U300" s="43">
        <f t="shared" si="66"/>
        <v>7.6466329440000003</v>
      </c>
      <c r="V300" s="43">
        <f t="shared" si="67"/>
        <v>1.6329592E-2</v>
      </c>
      <c r="W300" s="230">
        <f t="shared" si="68"/>
        <v>0.15013672106658463</v>
      </c>
      <c r="X300" s="43">
        <f t="shared" si="69"/>
        <v>0.77693469100000001</v>
      </c>
      <c r="Y300" s="43">
        <v>162.62078539999999</v>
      </c>
      <c r="Z300" s="43">
        <f t="shared" si="58"/>
        <v>0</v>
      </c>
      <c r="AA300" s="43">
        <f t="shared" si="59"/>
        <v>478718</v>
      </c>
      <c r="AB300" s="43">
        <f t="shared" si="60"/>
        <v>186107</v>
      </c>
      <c r="AC300" s="43">
        <f t="shared" si="70"/>
        <v>7.5967312731255288E-2</v>
      </c>
      <c r="AD300" s="43">
        <f t="shared" si="71"/>
        <v>0.80847972010000058</v>
      </c>
      <c r="AF300" s="43">
        <v>11.768388703907993</v>
      </c>
      <c r="AG300" s="43">
        <v>7.4139341999999997E-2</v>
      </c>
      <c r="AH300" s="43">
        <v>1.5244835999999999E-2</v>
      </c>
      <c r="AI300" s="43">
        <v>0.81432038100000004</v>
      </c>
      <c r="AJ300" s="43">
        <v>3.0082044809999999</v>
      </c>
      <c r="AK300" s="43">
        <v>7.6466329440000003</v>
      </c>
      <c r="AL300" s="43">
        <v>1.6329592E-2</v>
      </c>
      <c r="AM300" s="230">
        <v>0.15013672106658463</v>
      </c>
      <c r="AN300" s="43">
        <v>0.77693469100000001</v>
      </c>
    </row>
    <row r="301" spans="1:40" x14ac:dyDescent="0.25">
      <c r="A301" s="134">
        <v>291</v>
      </c>
      <c r="B301" s="134" t="s">
        <v>209</v>
      </c>
      <c r="C301" s="134" t="s">
        <v>210</v>
      </c>
      <c r="D301" s="134" t="s">
        <v>211</v>
      </c>
      <c r="E301" s="134">
        <v>1575</v>
      </c>
      <c r="F301" s="134">
        <v>4214</v>
      </c>
      <c r="G301" s="134">
        <v>301</v>
      </c>
      <c r="H301" s="134">
        <v>566</v>
      </c>
      <c r="I301" s="200">
        <v>0.488085503802</v>
      </c>
      <c r="J301" s="134">
        <v>4780</v>
      </c>
      <c r="K301" s="134">
        <v>9793.3660450099997</v>
      </c>
      <c r="L301" s="42">
        <v>0.87139620078799995</v>
      </c>
      <c r="M301" s="42">
        <v>0.264362447454</v>
      </c>
      <c r="N301" s="134">
        <v>0</v>
      </c>
      <c r="O301" s="43" t="s">
        <v>666</v>
      </c>
      <c r="P301" s="43">
        <f t="shared" si="61"/>
        <v>11.504344935688927</v>
      </c>
      <c r="Q301" s="43">
        <f t="shared" si="62"/>
        <v>4.1499876999999998E-2</v>
      </c>
      <c r="R301" s="43">
        <f t="shared" si="63"/>
        <v>1.3428063E-2</v>
      </c>
      <c r="S301" s="43">
        <f t="shared" si="64"/>
        <v>0.87139620100000004</v>
      </c>
      <c r="T301" s="43">
        <f t="shared" si="65"/>
        <v>2.9798671309999998</v>
      </c>
      <c r="U301" s="43">
        <f t="shared" si="66"/>
        <v>8.2044727300000009</v>
      </c>
      <c r="V301" s="43">
        <f t="shared" si="67"/>
        <v>8.3249399999999994E-3</v>
      </c>
      <c r="W301" s="230">
        <f t="shared" si="68"/>
        <v>7.3200632197565507E-2</v>
      </c>
      <c r="X301" s="43">
        <f t="shared" si="69"/>
        <v>0.888844882</v>
      </c>
      <c r="Y301" s="43">
        <v>104.5932882</v>
      </c>
      <c r="Z301" s="43">
        <f t="shared" si="58"/>
        <v>0</v>
      </c>
      <c r="AA301" s="43">
        <f t="shared" si="59"/>
        <v>478718</v>
      </c>
      <c r="AB301" s="43">
        <f t="shared" si="60"/>
        <v>186107</v>
      </c>
      <c r="AC301" s="43">
        <f t="shared" si="70"/>
        <v>7.5967312731255288E-2</v>
      </c>
      <c r="AD301" s="43">
        <f t="shared" si="71"/>
        <v>0.80847972010000058</v>
      </c>
      <c r="AF301" s="43">
        <v>11.504344935688927</v>
      </c>
      <c r="AG301" s="43">
        <v>4.1499876999999998E-2</v>
      </c>
      <c r="AH301" s="43">
        <v>1.3428063E-2</v>
      </c>
      <c r="AI301" s="43">
        <v>0.87139620100000004</v>
      </c>
      <c r="AJ301" s="43">
        <v>2.9798671309999998</v>
      </c>
      <c r="AK301" s="43">
        <v>8.2044727300000009</v>
      </c>
      <c r="AL301" s="43">
        <v>8.3249399999999994E-3</v>
      </c>
      <c r="AM301" s="230">
        <v>7.3200632197565507E-2</v>
      </c>
      <c r="AN301" s="43">
        <v>0.888844882</v>
      </c>
    </row>
    <row r="302" spans="1:40" x14ac:dyDescent="0.25">
      <c r="A302" s="134">
        <v>292</v>
      </c>
      <c r="B302" s="134" t="s">
        <v>209</v>
      </c>
      <c r="C302" s="134" t="s">
        <v>210</v>
      </c>
      <c r="D302" s="134" t="s">
        <v>211</v>
      </c>
      <c r="E302" s="134">
        <v>1554</v>
      </c>
      <c r="F302" s="134">
        <v>3364</v>
      </c>
      <c r="G302" s="134">
        <v>207</v>
      </c>
      <c r="H302" s="134">
        <v>509</v>
      </c>
      <c r="I302" s="200">
        <v>0.31013650576899998</v>
      </c>
      <c r="J302" s="134">
        <v>3873</v>
      </c>
      <c r="K302" s="134">
        <v>12488.049384600001</v>
      </c>
      <c r="L302" s="42">
        <v>0.85408331828499995</v>
      </c>
      <c r="M302" s="42">
        <v>0.24672806592300001</v>
      </c>
      <c r="N302" s="134">
        <v>0</v>
      </c>
      <c r="O302" s="43" t="s">
        <v>666</v>
      </c>
      <c r="P302" s="43">
        <f t="shared" si="61"/>
        <v>11.219712767413206</v>
      </c>
      <c r="Q302" s="43">
        <f t="shared" si="62"/>
        <v>5.3565562999999997E-2</v>
      </c>
      <c r="R302" s="43">
        <f t="shared" si="63"/>
        <v>1.2787524999999999E-2</v>
      </c>
      <c r="S302" s="43">
        <f t="shared" si="64"/>
        <v>0.85408331800000004</v>
      </c>
      <c r="T302" s="43">
        <f t="shared" si="65"/>
        <v>3.14056282</v>
      </c>
      <c r="U302" s="43">
        <f t="shared" si="66"/>
        <v>7.9430937029999997</v>
      </c>
      <c r="V302" s="43">
        <f t="shared" si="67"/>
        <v>1.0333065000000001E-2</v>
      </c>
      <c r="W302" s="230">
        <f t="shared" si="68"/>
        <v>0.10524434712583355</v>
      </c>
      <c r="X302" s="43">
        <f t="shared" si="69"/>
        <v>0.84735656299999995</v>
      </c>
      <c r="Y302" s="43">
        <v>121.70196110000001</v>
      </c>
      <c r="Z302" s="43">
        <f t="shared" si="58"/>
        <v>0</v>
      </c>
      <c r="AA302" s="43">
        <f t="shared" si="59"/>
        <v>478718</v>
      </c>
      <c r="AB302" s="43">
        <f t="shared" si="60"/>
        <v>186107</v>
      </c>
      <c r="AC302" s="43">
        <f t="shared" si="70"/>
        <v>7.5967312731255288E-2</v>
      </c>
      <c r="AD302" s="43">
        <f t="shared" si="71"/>
        <v>0.80847972010000058</v>
      </c>
      <c r="AF302" s="43">
        <v>11.219712767413206</v>
      </c>
      <c r="AG302" s="43">
        <v>5.3565562999999997E-2</v>
      </c>
      <c r="AH302" s="43">
        <v>1.2787524999999999E-2</v>
      </c>
      <c r="AI302" s="43">
        <v>0.85408331800000004</v>
      </c>
      <c r="AJ302" s="43">
        <v>3.14056282</v>
      </c>
      <c r="AK302" s="43">
        <v>7.9430937029999997</v>
      </c>
      <c r="AL302" s="43">
        <v>1.0333065000000001E-2</v>
      </c>
      <c r="AM302" s="230">
        <v>0.10524434712583355</v>
      </c>
      <c r="AN302" s="43">
        <v>0.84735656299999995</v>
      </c>
    </row>
    <row r="303" spans="1:40" x14ac:dyDescent="0.25">
      <c r="A303" s="134">
        <v>293</v>
      </c>
      <c r="B303" s="134" t="s">
        <v>209</v>
      </c>
      <c r="C303" s="134" t="s">
        <v>210</v>
      </c>
      <c r="D303" s="134" t="s">
        <v>211</v>
      </c>
      <c r="E303" s="134">
        <v>1484</v>
      </c>
      <c r="F303" s="134">
        <v>3463</v>
      </c>
      <c r="G303" s="134">
        <v>105</v>
      </c>
      <c r="H303" s="134">
        <v>293</v>
      </c>
      <c r="I303" s="200">
        <v>0.16566514992299999</v>
      </c>
      <c r="J303" s="134">
        <v>3756</v>
      </c>
      <c r="K303" s="134">
        <v>22672.239766499999</v>
      </c>
      <c r="L303" s="42">
        <v>0.80615949089000005</v>
      </c>
      <c r="M303" s="42">
        <v>0.164884637029</v>
      </c>
      <c r="N303" s="134">
        <v>0</v>
      </c>
      <c r="O303" s="43" t="s">
        <v>664</v>
      </c>
      <c r="P303" s="43">
        <f t="shared" si="61"/>
        <v>11.090505874398598</v>
      </c>
      <c r="Q303" s="43">
        <f t="shared" si="62"/>
        <v>6.5187488000000002E-2</v>
      </c>
      <c r="R303" s="43">
        <f t="shared" si="63"/>
        <v>1.8375704E-2</v>
      </c>
      <c r="S303" s="43">
        <f t="shared" si="64"/>
        <v>0.80615949099999995</v>
      </c>
      <c r="T303" s="43">
        <f t="shared" si="65"/>
        <v>3.031615741</v>
      </c>
      <c r="U303" s="43">
        <f t="shared" si="66"/>
        <v>7.3636735839999998</v>
      </c>
      <c r="V303" s="43">
        <f t="shared" si="67"/>
        <v>1.5290674000000001E-2</v>
      </c>
      <c r="W303" s="230">
        <f t="shared" si="68"/>
        <v>0.14079554199879785</v>
      </c>
      <c r="X303" s="43">
        <f t="shared" si="69"/>
        <v>0.790295309</v>
      </c>
      <c r="Y303" s="43">
        <v>144.5303686</v>
      </c>
      <c r="Z303" s="43">
        <f t="shared" si="58"/>
        <v>0</v>
      </c>
      <c r="AA303" s="43">
        <f t="shared" si="59"/>
        <v>478718</v>
      </c>
      <c r="AB303" s="43">
        <f t="shared" si="60"/>
        <v>186107</v>
      </c>
      <c r="AC303" s="43">
        <f t="shared" si="70"/>
        <v>7.5967312731255288E-2</v>
      </c>
      <c r="AD303" s="43">
        <f t="shared" si="71"/>
        <v>0.80847972010000058</v>
      </c>
      <c r="AF303" s="43">
        <v>11.090505874398598</v>
      </c>
      <c r="AG303" s="43">
        <v>6.5187488000000002E-2</v>
      </c>
      <c r="AH303" s="43">
        <v>1.8375704E-2</v>
      </c>
      <c r="AI303" s="43">
        <v>0.80615949099999995</v>
      </c>
      <c r="AJ303" s="43">
        <v>3.031615741</v>
      </c>
      <c r="AK303" s="43">
        <v>7.3636735839999998</v>
      </c>
      <c r="AL303" s="43">
        <v>1.5290674000000001E-2</v>
      </c>
      <c r="AM303" s="230">
        <v>0.14079554199879785</v>
      </c>
      <c r="AN303" s="43">
        <v>0.790295309</v>
      </c>
    </row>
    <row r="304" spans="1:40" x14ac:dyDescent="0.25">
      <c r="A304" s="134">
        <v>294</v>
      </c>
      <c r="B304" s="134" t="s">
        <v>209</v>
      </c>
      <c r="C304" s="134" t="s">
        <v>210</v>
      </c>
      <c r="D304" s="134" t="s">
        <v>211</v>
      </c>
      <c r="E304" s="134">
        <v>948</v>
      </c>
      <c r="F304" s="134">
        <v>2343</v>
      </c>
      <c r="G304" s="134">
        <v>55</v>
      </c>
      <c r="H304" s="134">
        <v>51</v>
      </c>
      <c r="I304" s="200">
        <v>8.3614318156399997E-2</v>
      </c>
      <c r="J304" s="134">
        <v>2394</v>
      </c>
      <c r="K304" s="134">
        <v>28631.459931599999</v>
      </c>
      <c r="L304" s="42">
        <v>0.76441428275099998</v>
      </c>
      <c r="M304" s="42">
        <v>5.1051051051099999E-2</v>
      </c>
      <c r="N304" s="134">
        <v>0</v>
      </c>
      <c r="O304" s="43" t="s">
        <v>664</v>
      </c>
      <c r="P304" s="43">
        <f t="shared" si="61"/>
        <v>10.42737801551427</v>
      </c>
      <c r="Q304" s="43">
        <f t="shared" si="62"/>
        <v>8.1200852000000004E-2</v>
      </c>
      <c r="R304" s="43">
        <f t="shared" si="63"/>
        <v>1.7374926999999998E-2</v>
      </c>
      <c r="S304" s="43">
        <f t="shared" si="64"/>
        <v>0.76441428300000003</v>
      </c>
      <c r="T304" s="43">
        <f t="shared" si="65"/>
        <v>2.7735375860000002</v>
      </c>
      <c r="U304" s="43">
        <f t="shared" si="66"/>
        <v>6.7681260050000001</v>
      </c>
      <c r="V304" s="43">
        <f t="shared" si="67"/>
        <v>1.1727024000000001E-2</v>
      </c>
      <c r="W304" s="230">
        <f t="shared" si="68"/>
        <v>0.18762204887120937</v>
      </c>
      <c r="X304" s="43">
        <f t="shared" si="69"/>
        <v>0.73287182900000003</v>
      </c>
      <c r="Y304" s="43">
        <v>252.91160550000001</v>
      </c>
      <c r="Z304" s="43">
        <f t="shared" si="58"/>
        <v>0</v>
      </c>
      <c r="AA304" s="43">
        <f t="shared" si="59"/>
        <v>478718</v>
      </c>
      <c r="AB304" s="43">
        <f t="shared" si="60"/>
        <v>186107</v>
      </c>
      <c r="AC304" s="43">
        <f t="shared" si="70"/>
        <v>7.5967312731255288E-2</v>
      </c>
      <c r="AD304" s="43">
        <f t="shared" si="71"/>
        <v>0.80847972010000058</v>
      </c>
      <c r="AF304" s="43">
        <v>10.42737801551427</v>
      </c>
      <c r="AG304" s="43">
        <v>8.1200852000000004E-2</v>
      </c>
      <c r="AH304" s="43">
        <v>1.7374926999999998E-2</v>
      </c>
      <c r="AI304" s="43">
        <v>0.76441428300000003</v>
      </c>
      <c r="AJ304" s="43">
        <v>2.7735375860000002</v>
      </c>
      <c r="AK304" s="43">
        <v>6.7681260050000001</v>
      </c>
      <c r="AL304" s="43">
        <v>1.1727024000000001E-2</v>
      </c>
      <c r="AM304" s="230">
        <v>0.18762204887120937</v>
      </c>
      <c r="AN304" s="43">
        <v>0.73287182900000003</v>
      </c>
    </row>
    <row r="305" spans="1:40" x14ac:dyDescent="0.25">
      <c r="A305" s="134">
        <v>295</v>
      </c>
      <c r="B305" s="134" t="s">
        <v>209</v>
      </c>
      <c r="C305" s="134" t="s">
        <v>210</v>
      </c>
      <c r="D305" s="134" t="s">
        <v>211</v>
      </c>
      <c r="E305" s="134">
        <v>633</v>
      </c>
      <c r="F305" s="134">
        <v>1563</v>
      </c>
      <c r="G305" s="134">
        <v>49</v>
      </c>
      <c r="H305" s="134">
        <v>46</v>
      </c>
      <c r="I305" s="200">
        <v>7.4846635327800004E-2</v>
      </c>
      <c r="J305" s="134">
        <v>1609</v>
      </c>
      <c r="K305" s="134">
        <v>21497.292335900001</v>
      </c>
      <c r="L305" s="42">
        <v>0.78164953924799996</v>
      </c>
      <c r="M305" s="42">
        <v>6.77466863034E-2</v>
      </c>
      <c r="N305" s="134">
        <v>0</v>
      </c>
      <c r="O305" s="43" t="s">
        <v>664</v>
      </c>
      <c r="P305" s="43">
        <f t="shared" si="61"/>
        <v>10.128649379151669</v>
      </c>
      <c r="Q305" s="43">
        <f t="shared" si="62"/>
        <v>8.0205367999999999E-2</v>
      </c>
      <c r="R305" s="43">
        <f t="shared" si="63"/>
        <v>1.8518519000000001E-2</v>
      </c>
      <c r="S305" s="43">
        <f t="shared" si="64"/>
        <v>0.781649539</v>
      </c>
      <c r="T305" s="43">
        <f t="shared" si="65"/>
        <v>2.9461956520000001</v>
      </c>
      <c r="U305" s="43">
        <f t="shared" si="66"/>
        <v>6.953701745</v>
      </c>
      <c r="V305" s="43">
        <f t="shared" si="67"/>
        <v>1.1928189E-2</v>
      </c>
      <c r="W305" s="230">
        <f t="shared" si="68"/>
        <v>0.17232296933183977</v>
      </c>
      <c r="X305" s="43">
        <f t="shared" si="69"/>
        <v>0.746964972</v>
      </c>
      <c r="Y305" s="43">
        <v>188.66411550000001</v>
      </c>
      <c r="Z305" s="43">
        <f t="shared" si="58"/>
        <v>0</v>
      </c>
      <c r="AA305" s="43">
        <f t="shared" si="59"/>
        <v>478718</v>
      </c>
      <c r="AB305" s="43">
        <f t="shared" si="60"/>
        <v>186107</v>
      </c>
      <c r="AC305" s="43">
        <f t="shared" si="70"/>
        <v>7.5967312731255288E-2</v>
      </c>
      <c r="AD305" s="43">
        <f t="shared" si="71"/>
        <v>0.80847972010000058</v>
      </c>
      <c r="AF305" s="43">
        <v>10.128649379151669</v>
      </c>
      <c r="AG305" s="43">
        <v>8.0205367999999999E-2</v>
      </c>
      <c r="AH305" s="43">
        <v>1.8518519000000001E-2</v>
      </c>
      <c r="AI305" s="43">
        <v>0.781649539</v>
      </c>
      <c r="AJ305" s="43">
        <v>2.9461956520000001</v>
      </c>
      <c r="AK305" s="43">
        <v>6.953701745</v>
      </c>
      <c r="AL305" s="43">
        <v>1.1928189E-2</v>
      </c>
      <c r="AM305" s="230">
        <v>0.17232296933183977</v>
      </c>
      <c r="AN305" s="43">
        <v>0.746964972</v>
      </c>
    </row>
    <row r="306" spans="1:40" x14ac:dyDescent="0.25">
      <c r="A306" s="134">
        <v>296</v>
      </c>
      <c r="B306" s="134" t="s">
        <v>209</v>
      </c>
      <c r="C306" s="134" t="s">
        <v>210</v>
      </c>
      <c r="D306" s="134" t="s">
        <v>211</v>
      </c>
      <c r="E306" s="134">
        <v>715</v>
      </c>
      <c r="F306" s="134">
        <v>1908</v>
      </c>
      <c r="G306" s="134">
        <v>40</v>
      </c>
      <c r="H306" s="134">
        <v>282</v>
      </c>
      <c r="I306" s="200">
        <v>5.5370430654799997E-2</v>
      </c>
      <c r="J306" s="134">
        <v>2190</v>
      </c>
      <c r="K306" s="134">
        <v>39551.7964029</v>
      </c>
      <c r="L306" s="42">
        <v>0.70138197575700001</v>
      </c>
      <c r="M306" s="42">
        <v>0.28284854563700002</v>
      </c>
      <c r="N306" s="134">
        <v>0</v>
      </c>
      <c r="O306" s="43" t="s">
        <v>627</v>
      </c>
      <c r="P306" s="43">
        <f t="shared" si="61"/>
        <v>10.919600130300156</v>
      </c>
      <c r="Q306" s="43">
        <f t="shared" si="62"/>
        <v>0.11088811599999999</v>
      </c>
      <c r="R306" s="43">
        <f t="shared" si="63"/>
        <v>2.1831597000000001E-2</v>
      </c>
      <c r="S306" s="43">
        <f t="shared" si="64"/>
        <v>0.70138197599999996</v>
      </c>
      <c r="T306" s="43">
        <f t="shared" si="65"/>
        <v>2.7771875189999999</v>
      </c>
      <c r="U306" s="43">
        <f t="shared" si="66"/>
        <v>6.2865566279999996</v>
      </c>
      <c r="V306" s="43">
        <f t="shared" si="67"/>
        <v>2.3830598000000001E-2</v>
      </c>
      <c r="W306" s="230">
        <f t="shared" si="68"/>
        <v>0.21867735315001605</v>
      </c>
      <c r="X306" s="43">
        <f t="shared" si="69"/>
        <v>0.64073184299999997</v>
      </c>
      <c r="Y306" s="43">
        <v>117.2911682</v>
      </c>
      <c r="Z306" s="43">
        <f t="shared" si="58"/>
        <v>0</v>
      </c>
      <c r="AA306" s="43">
        <f t="shared" si="59"/>
        <v>478718</v>
      </c>
      <c r="AB306" s="43">
        <f t="shared" si="60"/>
        <v>186107</v>
      </c>
      <c r="AC306" s="43">
        <f t="shared" si="70"/>
        <v>7.5967312731255288E-2</v>
      </c>
      <c r="AD306" s="43">
        <f t="shared" si="71"/>
        <v>0.80847972010000058</v>
      </c>
      <c r="AF306" s="43">
        <v>10.919600130300156</v>
      </c>
      <c r="AG306" s="43">
        <v>0.11088811599999999</v>
      </c>
      <c r="AH306" s="43">
        <v>2.1831597000000001E-2</v>
      </c>
      <c r="AI306" s="43">
        <v>0.70138197599999996</v>
      </c>
      <c r="AJ306" s="43">
        <v>2.7771875189999999</v>
      </c>
      <c r="AK306" s="43">
        <v>6.2865566279999996</v>
      </c>
      <c r="AL306" s="43">
        <v>2.3830598000000001E-2</v>
      </c>
      <c r="AM306" s="230">
        <v>0.21867735315001605</v>
      </c>
      <c r="AN306" s="43">
        <v>0.64073184299999997</v>
      </c>
    </row>
    <row r="307" spans="1:40" x14ac:dyDescent="0.25">
      <c r="A307" s="134">
        <v>297</v>
      </c>
      <c r="B307" s="134" t="s">
        <v>209</v>
      </c>
      <c r="C307" s="134" t="s">
        <v>210</v>
      </c>
      <c r="D307" s="134" t="s">
        <v>211</v>
      </c>
      <c r="E307" s="134">
        <v>438</v>
      </c>
      <c r="F307" s="134">
        <v>1168</v>
      </c>
      <c r="G307" s="134">
        <v>41</v>
      </c>
      <c r="H307" s="134">
        <v>325</v>
      </c>
      <c r="I307" s="200">
        <v>5.5921897196100002E-2</v>
      </c>
      <c r="J307" s="134">
        <v>1493</v>
      </c>
      <c r="K307" s="134">
        <v>26697.949727399999</v>
      </c>
      <c r="L307" s="42">
        <v>0.73251250174299998</v>
      </c>
      <c r="M307" s="42">
        <v>0.42595019659200001</v>
      </c>
      <c r="N307" s="134">
        <v>0</v>
      </c>
      <c r="O307" s="43" t="s">
        <v>627</v>
      </c>
      <c r="P307" s="43">
        <f t="shared" si="61"/>
        <v>10.995609234870052</v>
      </c>
      <c r="Q307" s="43">
        <f t="shared" si="62"/>
        <v>0.102548164</v>
      </c>
      <c r="R307" s="43">
        <f t="shared" si="63"/>
        <v>2.0994959000000001E-2</v>
      </c>
      <c r="S307" s="43">
        <f t="shared" si="64"/>
        <v>0.73251250199999995</v>
      </c>
      <c r="T307" s="43">
        <f t="shared" si="65"/>
        <v>2.8934145409999998</v>
      </c>
      <c r="U307" s="43">
        <f t="shared" si="66"/>
        <v>6.6889756770000002</v>
      </c>
      <c r="V307" s="43">
        <f t="shared" si="67"/>
        <v>2.2541041000000001E-2</v>
      </c>
      <c r="W307" s="230">
        <f t="shared" si="68"/>
        <v>0.1881309953295858</v>
      </c>
      <c r="X307" s="43">
        <f t="shared" si="69"/>
        <v>0.68845261099999999</v>
      </c>
      <c r="Y307" s="43">
        <v>136.05052499999999</v>
      </c>
      <c r="Z307" s="43">
        <f t="shared" si="58"/>
        <v>0</v>
      </c>
      <c r="AA307" s="43">
        <f t="shared" si="59"/>
        <v>478718</v>
      </c>
      <c r="AB307" s="43">
        <f t="shared" si="60"/>
        <v>186107</v>
      </c>
      <c r="AC307" s="43">
        <f t="shared" si="70"/>
        <v>7.5967312731255288E-2</v>
      </c>
      <c r="AD307" s="43">
        <f t="shared" si="71"/>
        <v>0.80847972010000058</v>
      </c>
      <c r="AF307" s="43">
        <v>10.995609234870052</v>
      </c>
      <c r="AG307" s="43">
        <v>0.102548164</v>
      </c>
      <c r="AH307" s="43">
        <v>2.0994959000000001E-2</v>
      </c>
      <c r="AI307" s="43">
        <v>0.73251250199999995</v>
      </c>
      <c r="AJ307" s="43">
        <v>2.8934145409999998</v>
      </c>
      <c r="AK307" s="43">
        <v>6.6889756770000002</v>
      </c>
      <c r="AL307" s="43">
        <v>2.2541041000000001E-2</v>
      </c>
      <c r="AM307" s="230">
        <v>0.1881309953295858</v>
      </c>
      <c r="AN307" s="43">
        <v>0.68845261099999999</v>
      </c>
    </row>
    <row r="308" spans="1:40" x14ac:dyDescent="0.25">
      <c r="A308" s="134">
        <v>298</v>
      </c>
      <c r="B308" s="134" t="s">
        <v>209</v>
      </c>
      <c r="C308" s="134" t="s">
        <v>210</v>
      </c>
      <c r="D308" s="134" t="s">
        <v>211</v>
      </c>
      <c r="E308" s="134">
        <v>988</v>
      </c>
      <c r="F308" s="134">
        <v>2638</v>
      </c>
      <c r="G308" s="134">
        <v>48</v>
      </c>
      <c r="H308" s="134">
        <v>95</v>
      </c>
      <c r="I308" s="200">
        <v>6.6313112790900006E-2</v>
      </c>
      <c r="J308" s="134">
        <v>2733</v>
      </c>
      <c r="K308" s="134">
        <v>41213.568251899997</v>
      </c>
      <c r="L308" s="42">
        <v>0.70794256264900002</v>
      </c>
      <c r="M308" s="42">
        <v>8.77192982456E-2</v>
      </c>
      <c r="N308" s="134">
        <v>0</v>
      </c>
      <c r="O308" s="43" t="s">
        <v>627</v>
      </c>
      <c r="P308" s="43">
        <f t="shared" si="61"/>
        <v>10.315561840020337</v>
      </c>
      <c r="Q308" s="43">
        <f t="shared" si="62"/>
        <v>0.110073136</v>
      </c>
      <c r="R308" s="43">
        <f t="shared" si="63"/>
        <v>2.0618867999999999E-2</v>
      </c>
      <c r="S308" s="43">
        <f t="shared" si="64"/>
        <v>0.70794256300000002</v>
      </c>
      <c r="T308" s="43">
        <f t="shared" si="65"/>
        <v>2.7668798489999999</v>
      </c>
      <c r="U308" s="43">
        <f t="shared" si="66"/>
        <v>6.0926047519999997</v>
      </c>
      <c r="V308" s="43">
        <f t="shared" si="67"/>
        <v>1.8009194999999999E-2</v>
      </c>
      <c r="W308" s="230">
        <f t="shared" si="68"/>
        <v>0.25201084541654201</v>
      </c>
      <c r="X308" s="43">
        <f t="shared" si="69"/>
        <v>0.62740190600000001</v>
      </c>
      <c r="Y308" s="43">
        <v>145.2967453</v>
      </c>
      <c r="Z308" s="43">
        <f t="shared" si="58"/>
        <v>0</v>
      </c>
      <c r="AA308" s="43">
        <f t="shared" si="59"/>
        <v>478718</v>
      </c>
      <c r="AB308" s="43">
        <f t="shared" si="60"/>
        <v>186107</v>
      </c>
      <c r="AC308" s="43">
        <f t="shared" si="70"/>
        <v>7.5967312731255288E-2</v>
      </c>
      <c r="AD308" s="43">
        <f t="shared" si="71"/>
        <v>0.80847972010000058</v>
      </c>
      <c r="AF308" s="43">
        <v>10.315561840020337</v>
      </c>
      <c r="AG308" s="43">
        <v>0.110073136</v>
      </c>
      <c r="AH308" s="43">
        <v>2.0618867999999999E-2</v>
      </c>
      <c r="AI308" s="43">
        <v>0.70794256300000002</v>
      </c>
      <c r="AJ308" s="43">
        <v>2.7668798489999999</v>
      </c>
      <c r="AK308" s="43">
        <v>6.0926047519999997</v>
      </c>
      <c r="AL308" s="43">
        <v>1.8009194999999999E-2</v>
      </c>
      <c r="AM308" s="230">
        <v>0.25201084541654201</v>
      </c>
      <c r="AN308" s="43">
        <v>0.62740190600000001</v>
      </c>
    </row>
    <row r="309" spans="1:40" x14ac:dyDescent="0.25">
      <c r="A309" s="134">
        <v>299</v>
      </c>
      <c r="B309" s="134" t="s">
        <v>209</v>
      </c>
      <c r="C309" s="134" t="s">
        <v>210</v>
      </c>
      <c r="D309" s="134" t="s">
        <v>211</v>
      </c>
      <c r="E309" s="134">
        <v>722</v>
      </c>
      <c r="F309" s="134">
        <v>1927</v>
      </c>
      <c r="G309" s="134">
        <v>40</v>
      </c>
      <c r="H309" s="134">
        <v>219</v>
      </c>
      <c r="I309" s="200">
        <v>5.5159327918699999E-2</v>
      </c>
      <c r="J309" s="134">
        <v>2146</v>
      </c>
      <c r="K309" s="134">
        <v>38905.4776585</v>
      </c>
      <c r="L309" s="42">
        <v>0.73643759544599996</v>
      </c>
      <c r="M309" s="42">
        <v>0.232731137088</v>
      </c>
      <c r="N309" s="134">
        <v>0</v>
      </c>
      <c r="O309" s="43" t="s">
        <v>627</v>
      </c>
      <c r="P309" s="43">
        <f t="shared" si="61"/>
        <v>10.72035914806753</v>
      </c>
      <c r="Q309" s="43">
        <f t="shared" si="62"/>
        <v>0.101227266</v>
      </c>
      <c r="R309" s="43">
        <f t="shared" si="63"/>
        <v>2.1938081000000002E-2</v>
      </c>
      <c r="S309" s="43">
        <f t="shared" si="64"/>
        <v>0.73643759499999994</v>
      </c>
      <c r="T309" s="43">
        <f t="shared" si="65"/>
        <v>2.9811141390000002</v>
      </c>
      <c r="U309" s="43">
        <f t="shared" si="66"/>
        <v>6.6035860939999997</v>
      </c>
      <c r="V309" s="43">
        <f t="shared" si="67"/>
        <v>2.2970619000000001E-2</v>
      </c>
      <c r="W309" s="230">
        <f t="shared" si="68"/>
        <v>0.20871420179931366</v>
      </c>
      <c r="X309" s="43">
        <f t="shared" si="69"/>
        <v>0.68384224599999999</v>
      </c>
      <c r="Y309" s="43">
        <v>119.31488349999999</v>
      </c>
      <c r="Z309" s="43">
        <f t="shared" si="58"/>
        <v>0</v>
      </c>
      <c r="AA309" s="43">
        <f t="shared" si="59"/>
        <v>478718</v>
      </c>
      <c r="AB309" s="43">
        <f t="shared" si="60"/>
        <v>186107</v>
      </c>
      <c r="AC309" s="43">
        <f t="shared" si="70"/>
        <v>7.5967312731255288E-2</v>
      </c>
      <c r="AD309" s="43">
        <f t="shared" si="71"/>
        <v>0.80847972010000058</v>
      </c>
      <c r="AF309" s="43">
        <v>10.72035914806753</v>
      </c>
      <c r="AG309" s="43">
        <v>0.101227266</v>
      </c>
      <c r="AH309" s="43">
        <v>2.1938081000000002E-2</v>
      </c>
      <c r="AI309" s="43">
        <v>0.73643759499999994</v>
      </c>
      <c r="AJ309" s="43">
        <v>2.9811141390000002</v>
      </c>
      <c r="AK309" s="43">
        <v>6.6035860939999997</v>
      </c>
      <c r="AL309" s="43">
        <v>2.2970619000000001E-2</v>
      </c>
      <c r="AM309" s="230">
        <v>0.20871420179931366</v>
      </c>
      <c r="AN309" s="43">
        <v>0.68384224599999999</v>
      </c>
    </row>
    <row r="310" spans="1:40" x14ac:dyDescent="0.25">
      <c r="A310" s="134">
        <v>300</v>
      </c>
      <c r="B310" s="134" t="s">
        <v>209</v>
      </c>
      <c r="C310" s="134" t="s">
        <v>210</v>
      </c>
      <c r="D310" s="134" t="s">
        <v>211</v>
      </c>
      <c r="E310" s="134">
        <v>552</v>
      </c>
      <c r="F310" s="134">
        <v>1974</v>
      </c>
      <c r="G310" s="134">
        <v>48</v>
      </c>
      <c r="H310" s="134">
        <v>83</v>
      </c>
      <c r="I310" s="200">
        <v>7.6666267492000006E-2</v>
      </c>
      <c r="J310" s="134">
        <v>2057</v>
      </c>
      <c r="K310" s="134">
        <v>26830.574479399998</v>
      </c>
      <c r="L310" s="42">
        <v>0.75032348306899999</v>
      </c>
      <c r="M310" s="42">
        <v>0.13070866141699999</v>
      </c>
      <c r="N310" s="134">
        <v>0</v>
      </c>
      <c r="O310" s="43" t="s">
        <v>664</v>
      </c>
      <c r="P310" s="43">
        <f t="shared" si="61"/>
        <v>10.443520564851033</v>
      </c>
      <c r="Q310" s="43">
        <f t="shared" si="62"/>
        <v>9.3441565000000004E-2</v>
      </c>
      <c r="R310" s="43">
        <f t="shared" si="63"/>
        <v>2.3012339999999999E-2</v>
      </c>
      <c r="S310" s="43">
        <f t="shared" si="64"/>
        <v>0.75032348299999996</v>
      </c>
      <c r="T310" s="43">
        <f t="shared" si="65"/>
        <v>2.8512514219999998</v>
      </c>
      <c r="U310" s="43">
        <f t="shared" si="66"/>
        <v>6.1792831140000004</v>
      </c>
      <c r="V310" s="43">
        <f t="shared" si="67"/>
        <v>1.5668597999999999E-2</v>
      </c>
      <c r="W310" s="230">
        <f t="shared" si="68"/>
        <v>0.21989697359948487</v>
      </c>
      <c r="X310" s="43">
        <f t="shared" si="69"/>
        <v>0.68492625600000001</v>
      </c>
      <c r="Y310" s="43">
        <v>399.09747249999998</v>
      </c>
      <c r="Z310" s="43">
        <f t="shared" si="58"/>
        <v>0</v>
      </c>
      <c r="AA310" s="43">
        <f t="shared" si="59"/>
        <v>478718</v>
      </c>
      <c r="AB310" s="43">
        <f t="shared" si="60"/>
        <v>186107</v>
      </c>
      <c r="AC310" s="43">
        <f t="shared" si="70"/>
        <v>7.5967312731255288E-2</v>
      </c>
      <c r="AD310" s="43">
        <f t="shared" si="71"/>
        <v>0.80847972010000058</v>
      </c>
      <c r="AF310" s="43">
        <v>10.443520564851033</v>
      </c>
      <c r="AG310" s="43">
        <v>9.3441565000000004E-2</v>
      </c>
      <c r="AH310" s="43">
        <v>2.3012339999999999E-2</v>
      </c>
      <c r="AI310" s="43">
        <v>0.75032348299999996</v>
      </c>
      <c r="AJ310" s="43">
        <v>2.8512514219999998</v>
      </c>
      <c r="AK310" s="43">
        <v>6.1792831140000004</v>
      </c>
      <c r="AL310" s="43">
        <v>1.5668597999999999E-2</v>
      </c>
      <c r="AM310" s="230">
        <v>0.21989697359948487</v>
      </c>
      <c r="AN310" s="43">
        <v>0.68492625600000001</v>
      </c>
    </row>
    <row r="311" spans="1:40" x14ac:dyDescent="0.25">
      <c r="A311" s="134">
        <v>301</v>
      </c>
      <c r="B311" s="134" t="s">
        <v>209</v>
      </c>
      <c r="C311" s="134" t="s">
        <v>210</v>
      </c>
      <c r="D311" s="134" t="s">
        <v>211</v>
      </c>
      <c r="E311" s="134">
        <v>584</v>
      </c>
      <c r="F311" s="134">
        <v>2089</v>
      </c>
      <c r="G311" s="134">
        <v>63</v>
      </c>
      <c r="H311" s="134">
        <v>49</v>
      </c>
      <c r="I311" s="200">
        <v>0.10029914104</v>
      </c>
      <c r="J311" s="134">
        <v>2138</v>
      </c>
      <c r="K311" s="134">
        <v>21316.234394800002</v>
      </c>
      <c r="L311" s="42">
        <v>0.76841307948100002</v>
      </c>
      <c r="M311" s="42">
        <v>7.7409162717199997E-2</v>
      </c>
      <c r="N311" s="134">
        <v>0</v>
      </c>
      <c r="O311" s="43" t="s">
        <v>664</v>
      </c>
      <c r="P311" s="43">
        <f t="shared" si="61"/>
        <v>10.239885885810297</v>
      </c>
      <c r="Q311" s="43">
        <f t="shared" si="62"/>
        <v>8.6965452999999998E-2</v>
      </c>
      <c r="R311" s="43">
        <f t="shared" si="63"/>
        <v>2.2502022E-2</v>
      </c>
      <c r="S311" s="43">
        <f t="shared" si="64"/>
        <v>0.768413079</v>
      </c>
      <c r="T311" s="43">
        <f t="shared" si="65"/>
        <v>2.968640867</v>
      </c>
      <c r="U311" s="43">
        <f t="shared" si="66"/>
        <v>6.5855856590000004</v>
      </c>
      <c r="V311" s="43">
        <f t="shared" si="67"/>
        <v>1.2438081E-2</v>
      </c>
      <c r="W311" s="230">
        <f t="shared" si="68"/>
        <v>0.2091802667743288</v>
      </c>
      <c r="X311" s="43">
        <f t="shared" si="69"/>
        <v>0.71923477099999999</v>
      </c>
      <c r="Y311" s="43">
        <v>268.38710630000003</v>
      </c>
      <c r="Z311" s="43">
        <f t="shared" si="58"/>
        <v>0</v>
      </c>
      <c r="AA311" s="43">
        <f t="shared" si="59"/>
        <v>478718</v>
      </c>
      <c r="AB311" s="43">
        <f t="shared" si="60"/>
        <v>186107</v>
      </c>
      <c r="AC311" s="43">
        <f t="shared" si="70"/>
        <v>7.5967312731255288E-2</v>
      </c>
      <c r="AD311" s="43">
        <f t="shared" si="71"/>
        <v>0.80847972010000058</v>
      </c>
      <c r="AF311" s="43">
        <v>10.239885885810297</v>
      </c>
      <c r="AG311" s="43">
        <v>8.6965452999999998E-2</v>
      </c>
      <c r="AH311" s="43">
        <v>2.2502022E-2</v>
      </c>
      <c r="AI311" s="43">
        <v>0.768413079</v>
      </c>
      <c r="AJ311" s="43">
        <v>2.968640867</v>
      </c>
      <c r="AK311" s="43">
        <v>6.5855856590000004</v>
      </c>
      <c r="AL311" s="43">
        <v>1.2438081E-2</v>
      </c>
      <c r="AM311" s="230">
        <v>0.2091802667743288</v>
      </c>
      <c r="AN311" s="43">
        <v>0.71923477099999999</v>
      </c>
    </row>
    <row r="312" spans="1:40" x14ac:dyDescent="0.25">
      <c r="A312" s="134">
        <v>302</v>
      </c>
      <c r="B312" s="134" t="s">
        <v>209</v>
      </c>
      <c r="C312" s="134" t="s">
        <v>210</v>
      </c>
      <c r="D312" s="134" t="s">
        <v>211</v>
      </c>
      <c r="E312" s="134">
        <v>444</v>
      </c>
      <c r="F312" s="134">
        <v>1587</v>
      </c>
      <c r="G312" s="134">
        <v>47</v>
      </c>
      <c r="H312" s="134">
        <v>113</v>
      </c>
      <c r="I312" s="200">
        <v>7.5180402302100005E-2</v>
      </c>
      <c r="J312" s="134">
        <v>1700</v>
      </c>
      <c r="K312" s="134">
        <v>22612.275911600002</v>
      </c>
      <c r="L312" s="42">
        <v>0.75859439614299995</v>
      </c>
      <c r="M312" s="42">
        <v>0.20287253141799999</v>
      </c>
      <c r="N312" s="134">
        <v>0</v>
      </c>
      <c r="O312" s="43" t="s">
        <v>664</v>
      </c>
      <c r="P312" s="43">
        <f t="shared" si="61"/>
        <v>10.377950048726696</v>
      </c>
      <c r="Q312" s="43">
        <f t="shared" si="62"/>
        <v>7.9825711999999993E-2</v>
      </c>
      <c r="R312" s="43">
        <f t="shared" si="63"/>
        <v>2.3206180999999999E-2</v>
      </c>
      <c r="S312" s="43">
        <f t="shared" si="64"/>
        <v>0.758594396</v>
      </c>
      <c r="T312" s="43">
        <f t="shared" si="65"/>
        <v>2.8722256069999998</v>
      </c>
      <c r="U312" s="43">
        <f t="shared" si="66"/>
        <v>6.5433617030000004</v>
      </c>
      <c r="V312" s="43">
        <f t="shared" si="67"/>
        <v>1.7385727E-2</v>
      </c>
      <c r="W312" s="230">
        <f t="shared" si="68"/>
        <v>0.17675200637881125</v>
      </c>
      <c r="X312" s="43">
        <f t="shared" si="69"/>
        <v>0.72796450099999999</v>
      </c>
      <c r="Y312" s="43">
        <v>306.30243150000001</v>
      </c>
      <c r="Z312" s="43">
        <f t="shared" si="58"/>
        <v>0</v>
      </c>
      <c r="AA312" s="43">
        <f t="shared" si="59"/>
        <v>478718</v>
      </c>
      <c r="AB312" s="43">
        <f t="shared" si="60"/>
        <v>186107</v>
      </c>
      <c r="AC312" s="43">
        <f t="shared" si="70"/>
        <v>7.5967312731255288E-2</v>
      </c>
      <c r="AD312" s="43">
        <f t="shared" si="71"/>
        <v>0.80847972010000058</v>
      </c>
      <c r="AF312" s="43">
        <v>10.377950048726696</v>
      </c>
      <c r="AG312" s="43">
        <v>7.9825711999999993E-2</v>
      </c>
      <c r="AH312" s="43">
        <v>2.3206180999999999E-2</v>
      </c>
      <c r="AI312" s="43">
        <v>0.758594396</v>
      </c>
      <c r="AJ312" s="43">
        <v>2.8722256069999998</v>
      </c>
      <c r="AK312" s="43">
        <v>6.5433617030000004</v>
      </c>
      <c r="AL312" s="43">
        <v>1.7385727E-2</v>
      </c>
      <c r="AM312" s="230">
        <v>0.17675200637881125</v>
      </c>
      <c r="AN312" s="43">
        <v>0.72796450099999999</v>
      </c>
    </row>
    <row r="313" spans="1:40" x14ac:dyDescent="0.25">
      <c r="A313" s="134">
        <v>303</v>
      </c>
      <c r="B313" s="134" t="s">
        <v>209</v>
      </c>
      <c r="C313" s="134" t="s">
        <v>210</v>
      </c>
      <c r="D313" s="134" t="s">
        <v>211</v>
      </c>
      <c r="E313" s="134">
        <v>356</v>
      </c>
      <c r="F313" s="134">
        <v>1272</v>
      </c>
      <c r="G313" s="134">
        <v>36</v>
      </c>
      <c r="H313" s="134">
        <v>340</v>
      </c>
      <c r="I313" s="200">
        <v>5.7295721349000003E-2</v>
      </c>
      <c r="J313" s="134">
        <v>1612</v>
      </c>
      <c r="K313" s="134">
        <v>28134.736103300002</v>
      </c>
      <c r="L313" s="42">
        <v>0.75429132730299997</v>
      </c>
      <c r="M313" s="42">
        <v>0.48850574712599998</v>
      </c>
      <c r="N313" s="134">
        <v>0</v>
      </c>
      <c r="O313" s="43" t="s">
        <v>627</v>
      </c>
      <c r="P313" s="43">
        <f t="shared" si="61"/>
        <v>10.946933274501637</v>
      </c>
      <c r="Q313" s="43">
        <f t="shared" si="62"/>
        <v>9.0205868999999994E-2</v>
      </c>
      <c r="R313" s="43">
        <f t="shared" si="63"/>
        <v>2.2682437999999999E-2</v>
      </c>
      <c r="S313" s="43">
        <f t="shared" si="64"/>
        <v>0.75429132700000001</v>
      </c>
      <c r="T313" s="43">
        <f t="shared" si="65"/>
        <v>2.932815604</v>
      </c>
      <c r="U313" s="43">
        <f t="shared" si="66"/>
        <v>6.7045715929999998</v>
      </c>
      <c r="V313" s="43">
        <f t="shared" si="67"/>
        <v>2.2438329999999999E-2</v>
      </c>
      <c r="W313" s="230">
        <f t="shared" si="68"/>
        <v>0.1739405439595193</v>
      </c>
      <c r="X313" s="43">
        <f t="shared" si="69"/>
        <v>0.71265022099999997</v>
      </c>
      <c r="Y313" s="43">
        <v>292.22959259999999</v>
      </c>
      <c r="Z313" s="43">
        <f t="shared" si="58"/>
        <v>0</v>
      </c>
      <c r="AA313" s="43">
        <f t="shared" si="59"/>
        <v>478718</v>
      </c>
      <c r="AB313" s="43">
        <f t="shared" si="60"/>
        <v>186107</v>
      </c>
      <c r="AC313" s="43">
        <f t="shared" si="70"/>
        <v>7.5967312731255288E-2</v>
      </c>
      <c r="AD313" s="43">
        <f t="shared" si="71"/>
        <v>0.80847972010000058</v>
      </c>
      <c r="AF313" s="43">
        <v>10.946933274501637</v>
      </c>
      <c r="AG313" s="43">
        <v>9.0205868999999994E-2</v>
      </c>
      <c r="AH313" s="43">
        <v>2.2682437999999999E-2</v>
      </c>
      <c r="AI313" s="43">
        <v>0.75429132700000001</v>
      </c>
      <c r="AJ313" s="43">
        <v>2.932815604</v>
      </c>
      <c r="AK313" s="43">
        <v>6.7045715929999998</v>
      </c>
      <c r="AL313" s="43">
        <v>2.2438329999999999E-2</v>
      </c>
      <c r="AM313" s="230">
        <v>0.1739405439595193</v>
      </c>
      <c r="AN313" s="43">
        <v>0.71265022099999997</v>
      </c>
    </row>
    <row r="314" spans="1:40" x14ac:dyDescent="0.25">
      <c r="A314" s="134">
        <v>304</v>
      </c>
      <c r="B314" s="134" t="s">
        <v>209</v>
      </c>
      <c r="C314" s="134" t="s">
        <v>210</v>
      </c>
      <c r="D314" s="134" t="s">
        <v>211</v>
      </c>
      <c r="E314" s="134">
        <v>159</v>
      </c>
      <c r="F314" s="134">
        <v>570</v>
      </c>
      <c r="G314" s="134">
        <v>35</v>
      </c>
      <c r="H314" s="134">
        <v>38</v>
      </c>
      <c r="I314" s="200">
        <v>5.5065057855499998E-2</v>
      </c>
      <c r="J314" s="134">
        <v>608</v>
      </c>
      <c r="K314" s="134">
        <v>11041.484812299999</v>
      </c>
      <c r="L314" s="42">
        <v>0.77226730570199997</v>
      </c>
      <c r="M314" s="42">
        <v>0.19289340101499999</v>
      </c>
      <c r="N314" s="134">
        <v>0</v>
      </c>
      <c r="O314" s="43" t="s">
        <v>664</v>
      </c>
      <c r="P314" s="43">
        <f t="shared" si="61"/>
        <v>9.7032925790062681</v>
      </c>
      <c r="Q314" s="43">
        <f t="shared" si="62"/>
        <v>7.0529928000000006E-2</v>
      </c>
      <c r="R314" s="43">
        <f t="shared" si="63"/>
        <v>2.1022820000000001E-2</v>
      </c>
      <c r="S314" s="43">
        <f t="shared" si="64"/>
        <v>0.77226730600000004</v>
      </c>
      <c r="T314" s="43">
        <f t="shared" si="65"/>
        <v>2.7784061699999998</v>
      </c>
      <c r="U314" s="43">
        <f t="shared" si="66"/>
        <v>5.8143142699999997</v>
      </c>
      <c r="V314" s="43">
        <f t="shared" si="67"/>
        <v>1.0042096E-2</v>
      </c>
      <c r="W314" s="230">
        <f t="shared" si="68"/>
        <v>0.15849267129887915</v>
      </c>
      <c r="X314" s="43">
        <f t="shared" si="69"/>
        <v>0.72754475799999996</v>
      </c>
      <c r="Y314" s="43">
        <v>293.94518219999998</v>
      </c>
      <c r="Z314" s="43">
        <f t="shared" si="58"/>
        <v>0</v>
      </c>
      <c r="AA314" s="43">
        <f t="shared" si="59"/>
        <v>478718</v>
      </c>
      <c r="AB314" s="43">
        <f t="shared" si="60"/>
        <v>186107</v>
      </c>
      <c r="AC314" s="43">
        <f t="shared" si="70"/>
        <v>7.5967312731255288E-2</v>
      </c>
      <c r="AD314" s="43">
        <f t="shared" si="71"/>
        <v>0.80847972010000058</v>
      </c>
      <c r="AF314" s="43">
        <v>9.7032925790062681</v>
      </c>
      <c r="AG314" s="43">
        <v>7.0529928000000006E-2</v>
      </c>
      <c r="AH314" s="43">
        <v>2.1022820000000001E-2</v>
      </c>
      <c r="AI314" s="43">
        <v>0.77226730600000004</v>
      </c>
      <c r="AJ314" s="43">
        <v>2.7784061699999998</v>
      </c>
      <c r="AK314" s="43">
        <v>5.8143142699999997</v>
      </c>
      <c r="AL314" s="43">
        <v>1.0042096E-2</v>
      </c>
      <c r="AM314" s="230">
        <v>0.15849267129887915</v>
      </c>
      <c r="AN314" s="43">
        <v>0.72754475799999996</v>
      </c>
    </row>
    <row r="315" spans="1:40" x14ac:dyDescent="0.25">
      <c r="A315" s="134">
        <v>305</v>
      </c>
      <c r="B315" s="134" t="s">
        <v>209</v>
      </c>
      <c r="C315" s="134" t="s">
        <v>210</v>
      </c>
      <c r="D315" s="134" t="s">
        <v>211</v>
      </c>
      <c r="E315" s="134">
        <v>695</v>
      </c>
      <c r="F315" s="134">
        <v>2254</v>
      </c>
      <c r="G315" s="134">
        <v>70</v>
      </c>
      <c r="H315" s="134">
        <v>32</v>
      </c>
      <c r="I315" s="200">
        <v>0.10848463608300001</v>
      </c>
      <c r="J315" s="134">
        <v>2286</v>
      </c>
      <c r="K315" s="134">
        <v>21072.108296099999</v>
      </c>
      <c r="L315" s="42">
        <v>0.77214590092000002</v>
      </c>
      <c r="M315" s="42">
        <v>4.4016506189799999E-2</v>
      </c>
      <c r="N315" s="134">
        <v>0</v>
      </c>
      <c r="O315" s="43" t="s">
        <v>664</v>
      </c>
      <c r="P315" s="43">
        <f t="shared" si="61"/>
        <v>10.220835787312026</v>
      </c>
      <c r="Q315" s="43">
        <f t="shared" si="62"/>
        <v>0.10210031899999999</v>
      </c>
      <c r="R315" s="43">
        <f t="shared" si="63"/>
        <v>2.1495968000000001E-2</v>
      </c>
      <c r="S315" s="43">
        <f t="shared" si="64"/>
        <v>0.77214590100000002</v>
      </c>
      <c r="T315" s="43">
        <f t="shared" si="65"/>
        <v>3.1478536190000002</v>
      </c>
      <c r="U315" s="43">
        <f t="shared" si="66"/>
        <v>6.8623359830000004</v>
      </c>
      <c r="V315" s="43">
        <f t="shared" si="67"/>
        <v>8.6050610000000007E-3</v>
      </c>
      <c r="W315" s="230">
        <f t="shared" si="68"/>
        <v>0.23630722876184154</v>
      </c>
      <c r="X315" s="43">
        <f t="shared" si="69"/>
        <v>0.71137298000000004</v>
      </c>
      <c r="Y315" s="43">
        <v>132.8053041</v>
      </c>
      <c r="Z315" s="43">
        <f t="shared" si="58"/>
        <v>0</v>
      </c>
      <c r="AA315" s="43">
        <f t="shared" si="59"/>
        <v>478718</v>
      </c>
      <c r="AB315" s="43">
        <f t="shared" si="60"/>
        <v>186107</v>
      </c>
      <c r="AC315" s="43">
        <f t="shared" si="70"/>
        <v>7.5967312731255288E-2</v>
      </c>
      <c r="AD315" s="43">
        <f t="shared" si="71"/>
        <v>0.80847972010000058</v>
      </c>
      <c r="AF315" s="43">
        <v>10.220835787312026</v>
      </c>
      <c r="AG315" s="43">
        <v>0.10210031899999999</v>
      </c>
      <c r="AH315" s="43">
        <v>2.1495968000000001E-2</v>
      </c>
      <c r="AI315" s="43">
        <v>0.77214590100000002</v>
      </c>
      <c r="AJ315" s="43">
        <v>3.1478536190000002</v>
      </c>
      <c r="AK315" s="43">
        <v>6.8623359830000004</v>
      </c>
      <c r="AL315" s="43">
        <v>8.6050610000000007E-3</v>
      </c>
      <c r="AM315" s="230">
        <v>0.23630722876184154</v>
      </c>
      <c r="AN315" s="43">
        <v>0.71137298000000004</v>
      </c>
    </row>
    <row r="316" spans="1:40" x14ac:dyDescent="0.25">
      <c r="A316" s="134">
        <v>306</v>
      </c>
      <c r="B316" s="134" t="s">
        <v>209</v>
      </c>
      <c r="C316" s="134" t="s">
        <v>210</v>
      </c>
      <c r="D316" s="134" t="s">
        <v>211</v>
      </c>
      <c r="E316" s="134">
        <v>656</v>
      </c>
      <c r="F316" s="134">
        <v>2125</v>
      </c>
      <c r="G316" s="134">
        <v>58</v>
      </c>
      <c r="H316" s="134">
        <v>72</v>
      </c>
      <c r="I316" s="200">
        <v>9.0878068184599994E-2</v>
      </c>
      <c r="J316" s="134">
        <v>2197</v>
      </c>
      <c r="K316" s="134">
        <v>24175.2498032</v>
      </c>
      <c r="L316" s="42">
        <v>0.77478062954600002</v>
      </c>
      <c r="M316" s="42">
        <v>9.8901098901100007E-2</v>
      </c>
      <c r="N316" s="134">
        <v>0</v>
      </c>
      <c r="O316" s="43" t="s">
        <v>664</v>
      </c>
      <c r="P316" s="43">
        <f t="shared" si="61"/>
        <v>10.11893392492561</v>
      </c>
      <c r="Q316" s="43">
        <f t="shared" si="62"/>
        <v>8.5431722000000002E-2</v>
      </c>
      <c r="R316" s="43">
        <f t="shared" si="63"/>
        <v>2.0596849E-2</v>
      </c>
      <c r="S316" s="43">
        <f t="shared" si="64"/>
        <v>0.77478062999999997</v>
      </c>
      <c r="T316" s="43">
        <f t="shared" si="65"/>
        <v>2.9329958519999999</v>
      </c>
      <c r="U316" s="43">
        <f t="shared" si="66"/>
        <v>6.5596999890000003</v>
      </c>
      <c r="V316" s="43">
        <f t="shared" si="67"/>
        <v>1.2145026E-2</v>
      </c>
      <c r="W316" s="230">
        <f t="shared" si="68"/>
        <v>0.220817492919654</v>
      </c>
      <c r="X316" s="43">
        <f t="shared" si="69"/>
        <v>0.70936136599999999</v>
      </c>
      <c r="Y316" s="43">
        <v>221.44315470000001</v>
      </c>
      <c r="Z316" s="43">
        <f t="shared" si="58"/>
        <v>0</v>
      </c>
      <c r="AA316" s="43">
        <f t="shared" si="59"/>
        <v>478718</v>
      </c>
      <c r="AB316" s="43">
        <f t="shared" si="60"/>
        <v>186107</v>
      </c>
      <c r="AC316" s="43">
        <f t="shared" si="70"/>
        <v>7.5967312731255288E-2</v>
      </c>
      <c r="AD316" s="43">
        <f t="shared" si="71"/>
        <v>0.80847972010000058</v>
      </c>
      <c r="AF316" s="43">
        <v>10.11893392492561</v>
      </c>
      <c r="AG316" s="43">
        <v>8.5431722000000002E-2</v>
      </c>
      <c r="AH316" s="43">
        <v>2.0596849E-2</v>
      </c>
      <c r="AI316" s="43">
        <v>0.77478062999999997</v>
      </c>
      <c r="AJ316" s="43">
        <v>2.9329958519999999</v>
      </c>
      <c r="AK316" s="43">
        <v>6.5596999890000003</v>
      </c>
      <c r="AL316" s="43">
        <v>1.2145026E-2</v>
      </c>
      <c r="AM316" s="230">
        <v>0.220817492919654</v>
      </c>
      <c r="AN316" s="43">
        <v>0.70936136599999999</v>
      </c>
    </row>
    <row r="317" spans="1:40" x14ac:dyDescent="0.25">
      <c r="A317" s="134">
        <v>307</v>
      </c>
      <c r="B317" s="134" t="s">
        <v>209</v>
      </c>
      <c r="C317" s="134" t="s">
        <v>210</v>
      </c>
      <c r="D317" s="134" t="s">
        <v>211</v>
      </c>
      <c r="E317" s="134">
        <v>448</v>
      </c>
      <c r="F317" s="134">
        <v>1148</v>
      </c>
      <c r="G317" s="134">
        <v>57</v>
      </c>
      <c r="H317" s="134">
        <v>708</v>
      </c>
      <c r="I317" s="200">
        <v>8.9840218695299998E-2</v>
      </c>
      <c r="J317" s="134">
        <v>1856</v>
      </c>
      <c r="K317" s="134">
        <v>20658.898953600001</v>
      </c>
      <c r="L317" s="42">
        <v>0.79908779931600005</v>
      </c>
      <c r="M317" s="42">
        <v>0.612456747405</v>
      </c>
      <c r="N317" s="134">
        <v>0</v>
      </c>
      <c r="O317" s="43" t="s">
        <v>664</v>
      </c>
      <c r="P317" s="43">
        <f t="shared" si="61"/>
        <v>11.756629394844939</v>
      </c>
      <c r="Q317" s="43">
        <f t="shared" si="62"/>
        <v>7.2985691000000005E-2</v>
      </c>
      <c r="R317" s="43">
        <f t="shared" si="63"/>
        <v>1.6788989000000001E-2</v>
      </c>
      <c r="S317" s="43">
        <f t="shared" si="64"/>
        <v>0.79908779900000004</v>
      </c>
      <c r="T317" s="43">
        <f t="shared" si="65"/>
        <v>2.9566634710000002</v>
      </c>
      <c r="U317" s="43">
        <f t="shared" si="66"/>
        <v>7.7968797680000002</v>
      </c>
      <c r="V317" s="43">
        <f t="shared" si="67"/>
        <v>1.7013962000000001E-2</v>
      </c>
      <c r="W317" s="230">
        <f t="shared" si="68"/>
        <v>0.13974835707102598</v>
      </c>
      <c r="X317" s="43">
        <f t="shared" si="69"/>
        <v>0.77771931100000002</v>
      </c>
      <c r="Y317" s="43">
        <v>181.8637258</v>
      </c>
      <c r="Z317" s="43">
        <f t="shared" si="58"/>
        <v>0</v>
      </c>
      <c r="AA317" s="43">
        <f t="shared" si="59"/>
        <v>478718</v>
      </c>
      <c r="AB317" s="43">
        <f t="shared" si="60"/>
        <v>186107</v>
      </c>
      <c r="AC317" s="43">
        <f t="shared" si="70"/>
        <v>7.5967312731255288E-2</v>
      </c>
      <c r="AD317" s="43">
        <f t="shared" si="71"/>
        <v>0.80847972010000058</v>
      </c>
      <c r="AF317" s="43">
        <v>11.756629394844939</v>
      </c>
      <c r="AG317" s="43">
        <v>7.2985691000000005E-2</v>
      </c>
      <c r="AH317" s="43">
        <v>1.6788989000000001E-2</v>
      </c>
      <c r="AI317" s="43">
        <v>0.79908779900000004</v>
      </c>
      <c r="AJ317" s="43">
        <v>2.9566634710000002</v>
      </c>
      <c r="AK317" s="43">
        <v>7.7968797680000002</v>
      </c>
      <c r="AL317" s="43">
        <v>1.7013962000000001E-2</v>
      </c>
      <c r="AM317" s="230">
        <v>0.13974835707102598</v>
      </c>
      <c r="AN317" s="43">
        <v>0.77771931100000002</v>
      </c>
    </row>
    <row r="318" spans="1:40" x14ac:dyDescent="0.25">
      <c r="A318" s="134">
        <v>308</v>
      </c>
      <c r="B318" s="134" t="s">
        <v>209</v>
      </c>
      <c r="C318" s="134" t="s">
        <v>210</v>
      </c>
      <c r="D318" s="134" t="s">
        <v>211</v>
      </c>
      <c r="E318" s="134">
        <v>922</v>
      </c>
      <c r="F318" s="134">
        <v>2363</v>
      </c>
      <c r="G318" s="134">
        <v>77</v>
      </c>
      <c r="H318" s="134">
        <v>31</v>
      </c>
      <c r="I318" s="200">
        <v>0.11960194925500001</v>
      </c>
      <c r="J318" s="134">
        <v>2394</v>
      </c>
      <c r="K318" s="134">
        <v>20016.396178399998</v>
      </c>
      <c r="L318" s="42">
        <v>0.77895208151899997</v>
      </c>
      <c r="M318" s="42">
        <v>3.2528856243400003E-2</v>
      </c>
      <c r="N318" s="134">
        <v>0</v>
      </c>
      <c r="O318" s="43" t="s">
        <v>664</v>
      </c>
      <c r="P318" s="43">
        <f t="shared" si="61"/>
        <v>10.119618913836268</v>
      </c>
      <c r="Q318" s="43">
        <f t="shared" si="62"/>
        <v>8.9662027000000005E-2</v>
      </c>
      <c r="R318" s="43">
        <f t="shared" si="63"/>
        <v>1.7142210000000001E-2</v>
      </c>
      <c r="S318" s="43">
        <f t="shared" si="64"/>
        <v>0.77895208199999999</v>
      </c>
      <c r="T318" s="43">
        <f t="shared" si="65"/>
        <v>2.8715200350000001</v>
      </c>
      <c r="U318" s="43">
        <f t="shared" si="66"/>
        <v>6.4776919519999998</v>
      </c>
      <c r="V318" s="43">
        <f t="shared" si="67"/>
        <v>8.2030079999999995E-3</v>
      </c>
      <c r="W318" s="230">
        <f t="shared" si="68"/>
        <v>0.2271388397968144</v>
      </c>
      <c r="X318" s="43">
        <f t="shared" si="69"/>
        <v>0.71407293800000005</v>
      </c>
      <c r="Y318" s="43">
        <v>173.456627</v>
      </c>
      <c r="Z318" s="43">
        <f t="shared" si="58"/>
        <v>0</v>
      </c>
      <c r="AA318" s="43">
        <f t="shared" si="59"/>
        <v>478718</v>
      </c>
      <c r="AB318" s="43">
        <f t="shared" si="60"/>
        <v>186107</v>
      </c>
      <c r="AC318" s="43">
        <f t="shared" si="70"/>
        <v>7.5967312731255288E-2</v>
      </c>
      <c r="AD318" s="43">
        <f t="shared" si="71"/>
        <v>0.80847972010000058</v>
      </c>
      <c r="AF318" s="43">
        <v>10.119618913836268</v>
      </c>
      <c r="AG318" s="43">
        <v>8.9662027000000005E-2</v>
      </c>
      <c r="AH318" s="43">
        <v>1.7142210000000001E-2</v>
      </c>
      <c r="AI318" s="43">
        <v>0.77895208199999999</v>
      </c>
      <c r="AJ318" s="43">
        <v>2.8715200350000001</v>
      </c>
      <c r="AK318" s="43">
        <v>6.4776919519999998</v>
      </c>
      <c r="AL318" s="43">
        <v>8.2030079999999995E-3</v>
      </c>
      <c r="AM318" s="230">
        <v>0.2271388397968144</v>
      </c>
      <c r="AN318" s="43">
        <v>0.71407293800000005</v>
      </c>
    </row>
    <row r="319" spans="1:40" x14ac:dyDescent="0.25">
      <c r="A319" s="134">
        <v>309</v>
      </c>
      <c r="B319" s="134" t="s">
        <v>209</v>
      </c>
      <c r="C319" s="134" t="s">
        <v>210</v>
      </c>
      <c r="D319" s="134" t="s">
        <v>211</v>
      </c>
      <c r="E319" s="134">
        <v>756</v>
      </c>
      <c r="F319" s="134">
        <v>2313</v>
      </c>
      <c r="G319" s="134">
        <v>138</v>
      </c>
      <c r="H319" s="134">
        <v>396</v>
      </c>
      <c r="I319" s="200">
        <v>0.21770351764000001</v>
      </c>
      <c r="J319" s="134">
        <v>2709</v>
      </c>
      <c r="K319" s="134">
        <v>12443.5288385</v>
      </c>
      <c r="L319" s="42">
        <v>0.81008869519100002</v>
      </c>
      <c r="M319" s="42">
        <v>0.34375</v>
      </c>
      <c r="N319" s="134">
        <v>0</v>
      </c>
      <c r="O319" s="43" t="s">
        <v>664</v>
      </c>
      <c r="P319" s="43">
        <f t="shared" si="61"/>
        <v>10.96020925868779</v>
      </c>
      <c r="Q319" s="43">
        <f t="shared" si="62"/>
        <v>6.0928186000000002E-2</v>
      </c>
      <c r="R319" s="43">
        <f t="shared" si="63"/>
        <v>1.6779618999999999E-2</v>
      </c>
      <c r="S319" s="43">
        <f t="shared" si="64"/>
        <v>0.81008869500000003</v>
      </c>
      <c r="T319" s="43">
        <f t="shared" si="65"/>
        <v>2.8569908810000002</v>
      </c>
      <c r="U319" s="43">
        <f t="shared" si="66"/>
        <v>7.2690701139999998</v>
      </c>
      <c r="V319" s="43">
        <f t="shared" si="67"/>
        <v>1.2736687E-2</v>
      </c>
      <c r="W319" s="230">
        <f t="shared" si="68"/>
        <v>0.12796223646859947</v>
      </c>
      <c r="X319" s="43">
        <f t="shared" si="69"/>
        <v>0.800720824</v>
      </c>
      <c r="Y319" s="43">
        <v>105.35755260000001</v>
      </c>
      <c r="Z319" s="43">
        <f t="shared" si="58"/>
        <v>0</v>
      </c>
      <c r="AA319" s="43">
        <f t="shared" si="59"/>
        <v>478718</v>
      </c>
      <c r="AB319" s="43">
        <f t="shared" si="60"/>
        <v>186107</v>
      </c>
      <c r="AC319" s="43">
        <f t="shared" si="70"/>
        <v>7.5967312731255288E-2</v>
      </c>
      <c r="AD319" s="43">
        <f t="shared" si="71"/>
        <v>0.80847972010000058</v>
      </c>
      <c r="AF319" s="43">
        <v>10.96020925868779</v>
      </c>
      <c r="AG319" s="43">
        <v>6.0928186000000002E-2</v>
      </c>
      <c r="AH319" s="43">
        <v>1.6779618999999999E-2</v>
      </c>
      <c r="AI319" s="43">
        <v>0.81008869500000003</v>
      </c>
      <c r="AJ319" s="43">
        <v>2.8569908810000002</v>
      </c>
      <c r="AK319" s="43">
        <v>7.2690701139999998</v>
      </c>
      <c r="AL319" s="43">
        <v>1.2736687E-2</v>
      </c>
      <c r="AM319" s="230">
        <v>0.12796223646859947</v>
      </c>
      <c r="AN319" s="43">
        <v>0.800720824</v>
      </c>
    </row>
    <row r="320" spans="1:40" x14ac:dyDescent="0.25">
      <c r="A320" s="134">
        <v>310</v>
      </c>
      <c r="B320" s="134" t="s">
        <v>209</v>
      </c>
      <c r="C320" s="134" t="s">
        <v>210</v>
      </c>
      <c r="D320" s="134" t="s">
        <v>211</v>
      </c>
      <c r="E320" s="134">
        <v>1270</v>
      </c>
      <c r="F320" s="134">
        <v>4343</v>
      </c>
      <c r="G320" s="134">
        <v>118</v>
      </c>
      <c r="H320" s="134">
        <v>432</v>
      </c>
      <c r="I320" s="200">
        <v>0.18565082809799999</v>
      </c>
      <c r="J320" s="134">
        <v>4775</v>
      </c>
      <c r="K320" s="134">
        <v>25720.326965</v>
      </c>
      <c r="L320" s="42">
        <v>0.77632085663299999</v>
      </c>
      <c r="M320" s="42">
        <v>0.25381903642800002</v>
      </c>
      <c r="N320" s="134">
        <v>0</v>
      </c>
      <c r="O320" s="43" t="s">
        <v>664</v>
      </c>
      <c r="P320" s="43">
        <f t="shared" si="61"/>
        <v>10.768460743008403</v>
      </c>
      <c r="Q320" s="43">
        <f t="shared" si="62"/>
        <v>8.2738249E-2</v>
      </c>
      <c r="R320" s="43">
        <f t="shared" si="63"/>
        <v>2.2434117999999999E-2</v>
      </c>
      <c r="S320" s="43">
        <f t="shared" si="64"/>
        <v>0.77632085699999998</v>
      </c>
      <c r="T320" s="43">
        <f t="shared" si="65"/>
        <v>3.184549632</v>
      </c>
      <c r="U320" s="43">
        <f t="shared" si="66"/>
        <v>7.260038829</v>
      </c>
      <c r="V320" s="43">
        <f t="shared" si="67"/>
        <v>1.754754E-2</v>
      </c>
      <c r="W320" s="230">
        <f t="shared" si="68"/>
        <v>0.17185976776040576</v>
      </c>
      <c r="X320" s="43">
        <f t="shared" si="69"/>
        <v>0.75045349699999997</v>
      </c>
      <c r="Y320" s="43">
        <v>146.3811341</v>
      </c>
      <c r="Z320" s="43">
        <f t="shared" si="58"/>
        <v>0</v>
      </c>
      <c r="AA320" s="43">
        <f t="shared" si="59"/>
        <v>478718</v>
      </c>
      <c r="AB320" s="43">
        <f t="shared" si="60"/>
        <v>186107</v>
      </c>
      <c r="AC320" s="43">
        <f t="shared" si="70"/>
        <v>7.5967312731255288E-2</v>
      </c>
      <c r="AD320" s="43">
        <f t="shared" si="71"/>
        <v>0.80847972010000058</v>
      </c>
      <c r="AF320" s="43">
        <v>10.768460743008403</v>
      </c>
      <c r="AG320" s="43">
        <v>8.2738249E-2</v>
      </c>
      <c r="AH320" s="43">
        <v>2.2434117999999999E-2</v>
      </c>
      <c r="AI320" s="43">
        <v>0.77632085699999998</v>
      </c>
      <c r="AJ320" s="43">
        <v>3.184549632</v>
      </c>
      <c r="AK320" s="43">
        <v>7.260038829</v>
      </c>
      <c r="AL320" s="43">
        <v>1.754754E-2</v>
      </c>
      <c r="AM320" s="230">
        <v>0.17185976776040576</v>
      </c>
      <c r="AN320" s="43">
        <v>0.75045349699999997</v>
      </c>
    </row>
    <row r="321" spans="1:40" x14ac:dyDescent="0.25">
      <c r="A321" s="134">
        <v>311</v>
      </c>
      <c r="B321" s="134" t="s">
        <v>209</v>
      </c>
      <c r="C321" s="134" t="s">
        <v>210</v>
      </c>
      <c r="D321" s="134" t="s">
        <v>211</v>
      </c>
      <c r="E321" s="134">
        <v>704</v>
      </c>
      <c r="F321" s="134">
        <v>2534</v>
      </c>
      <c r="G321" s="134">
        <v>44</v>
      </c>
      <c r="H321" s="134">
        <v>437</v>
      </c>
      <c r="I321" s="200">
        <v>7.00692968582E-2</v>
      </c>
      <c r="J321" s="134">
        <v>2971</v>
      </c>
      <c r="K321" s="134">
        <v>42400.882172600002</v>
      </c>
      <c r="L321" s="42">
        <v>0.72620834859000005</v>
      </c>
      <c r="M321" s="42">
        <v>0.38299737072700002</v>
      </c>
      <c r="N321" s="134">
        <v>0</v>
      </c>
      <c r="O321" s="43" t="s">
        <v>627</v>
      </c>
      <c r="P321" s="43">
        <f t="shared" si="61"/>
        <v>11.598269868617413</v>
      </c>
      <c r="Q321" s="43">
        <f t="shared" si="62"/>
        <v>0.113669443</v>
      </c>
      <c r="R321" s="43">
        <f t="shared" si="63"/>
        <v>2.4237917000000001E-2</v>
      </c>
      <c r="S321" s="43">
        <f t="shared" si="64"/>
        <v>0.72620834899999998</v>
      </c>
      <c r="T321" s="43">
        <f t="shared" si="65"/>
        <v>2.9568280690000002</v>
      </c>
      <c r="U321" s="43">
        <f t="shared" si="66"/>
        <v>6.8483698930000001</v>
      </c>
      <c r="V321" s="43">
        <f t="shared" si="67"/>
        <v>2.4725192999999999E-2</v>
      </c>
      <c r="W321" s="230">
        <f t="shared" si="68"/>
        <v>0.23043085386318726</v>
      </c>
      <c r="X321" s="43">
        <f t="shared" si="69"/>
        <v>0.66439274299999995</v>
      </c>
      <c r="Y321" s="43">
        <v>149.80238800000001</v>
      </c>
      <c r="Z321" s="43">
        <f t="shared" si="58"/>
        <v>0</v>
      </c>
      <c r="AA321" s="43">
        <f t="shared" si="59"/>
        <v>478718</v>
      </c>
      <c r="AB321" s="43">
        <f t="shared" si="60"/>
        <v>186107</v>
      </c>
      <c r="AC321" s="43">
        <f t="shared" si="70"/>
        <v>7.5967312731255288E-2</v>
      </c>
      <c r="AD321" s="43">
        <f t="shared" si="71"/>
        <v>0.80847972010000058</v>
      </c>
      <c r="AF321" s="43">
        <v>11.598269868617413</v>
      </c>
      <c r="AG321" s="43">
        <v>0.113669443</v>
      </c>
      <c r="AH321" s="43">
        <v>2.4237917000000001E-2</v>
      </c>
      <c r="AI321" s="43">
        <v>0.72620834899999998</v>
      </c>
      <c r="AJ321" s="43">
        <v>2.9568280690000002</v>
      </c>
      <c r="AK321" s="43">
        <v>6.8483698930000001</v>
      </c>
      <c r="AL321" s="43">
        <v>2.4725192999999999E-2</v>
      </c>
      <c r="AM321" s="230">
        <v>0.23043085386318726</v>
      </c>
      <c r="AN321" s="43">
        <v>0.66439274299999995</v>
      </c>
    </row>
    <row r="322" spans="1:40" x14ac:dyDescent="0.25">
      <c r="A322" s="134">
        <v>312</v>
      </c>
      <c r="B322" s="134" t="s">
        <v>209</v>
      </c>
      <c r="C322" s="134" t="s">
        <v>210</v>
      </c>
      <c r="D322" s="134" t="s">
        <v>211</v>
      </c>
      <c r="E322" s="134">
        <v>788</v>
      </c>
      <c r="F322" s="134">
        <v>2835</v>
      </c>
      <c r="G322" s="134">
        <v>55</v>
      </c>
      <c r="H322" s="134">
        <v>100</v>
      </c>
      <c r="I322" s="200">
        <v>8.9346394208699997E-2</v>
      </c>
      <c r="J322" s="134">
        <v>2935</v>
      </c>
      <c r="K322" s="134">
        <v>32849.674863699998</v>
      </c>
      <c r="L322" s="42">
        <v>0.73483266208099995</v>
      </c>
      <c r="M322" s="42">
        <v>0.112612612613</v>
      </c>
      <c r="N322" s="134">
        <v>0</v>
      </c>
      <c r="O322" s="43" t="s">
        <v>664</v>
      </c>
      <c r="P322" s="43">
        <f t="shared" si="61"/>
        <v>10.901687211818388</v>
      </c>
      <c r="Q322" s="43">
        <f t="shared" si="62"/>
        <v>0.102845398</v>
      </c>
      <c r="R322" s="43">
        <f t="shared" si="63"/>
        <v>2.4022525999999999E-2</v>
      </c>
      <c r="S322" s="43">
        <f t="shared" si="64"/>
        <v>0.73483266199999997</v>
      </c>
      <c r="T322" s="43">
        <f t="shared" si="65"/>
        <v>3.0035618880000001</v>
      </c>
      <c r="U322" s="43">
        <f t="shared" si="66"/>
        <v>6.520193881</v>
      </c>
      <c r="V322" s="43">
        <f t="shared" si="67"/>
        <v>1.7091684999999999E-2</v>
      </c>
      <c r="W322" s="230">
        <f t="shared" si="68"/>
        <v>0.24310283477642036</v>
      </c>
      <c r="X322" s="43">
        <f t="shared" si="69"/>
        <v>0.66996797500000005</v>
      </c>
      <c r="Y322" s="43">
        <v>148.94215059999999</v>
      </c>
      <c r="Z322" s="43">
        <f t="shared" si="58"/>
        <v>0</v>
      </c>
      <c r="AA322" s="43">
        <f t="shared" si="59"/>
        <v>478718</v>
      </c>
      <c r="AB322" s="43">
        <f t="shared" si="60"/>
        <v>186107</v>
      </c>
      <c r="AC322" s="43">
        <f t="shared" si="70"/>
        <v>7.5967312731255288E-2</v>
      </c>
      <c r="AD322" s="43">
        <f t="shared" si="71"/>
        <v>0.80847972010000058</v>
      </c>
      <c r="AF322" s="43">
        <v>10.901687211818388</v>
      </c>
      <c r="AG322" s="43">
        <v>0.102845398</v>
      </c>
      <c r="AH322" s="43">
        <v>2.4022525999999999E-2</v>
      </c>
      <c r="AI322" s="43">
        <v>0.73483266199999997</v>
      </c>
      <c r="AJ322" s="43">
        <v>3.0035618880000001</v>
      </c>
      <c r="AK322" s="43">
        <v>6.520193881</v>
      </c>
      <c r="AL322" s="43">
        <v>1.7091684999999999E-2</v>
      </c>
      <c r="AM322" s="230">
        <v>0.24310283477642036</v>
      </c>
      <c r="AN322" s="43">
        <v>0.66996797500000005</v>
      </c>
    </row>
    <row r="323" spans="1:40" x14ac:dyDescent="0.25">
      <c r="A323" s="134">
        <v>313</v>
      </c>
      <c r="B323" s="134" t="s">
        <v>209</v>
      </c>
      <c r="C323" s="134" t="s">
        <v>210</v>
      </c>
      <c r="D323" s="134" t="s">
        <v>211</v>
      </c>
      <c r="E323" s="134">
        <v>700</v>
      </c>
      <c r="F323" s="134">
        <v>2579</v>
      </c>
      <c r="G323" s="134">
        <v>62</v>
      </c>
      <c r="H323" s="134">
        <v>346</v>
      </c>
      <c r="I323" s="200">
        <v>7.7803653019799995E-2</v>
      </c>
      <c r="J323" s="134">
        <v>2925</v>
      </c>
      <c r="K323" s="134">
        <v>37594.635810400003</v>
      </c>
      <c r="L323" s="42">
        <v>0.75413029032300005</v>
      </c>
      <c r="M323" s="42">
        <v>0.33078393881500001</v>
      </c>
      <c r="N323" s="134">
        <v>1</v>
      </c>
      <c r="O323" s="43" t="s">
        <v>627</v>
      </c>
      <c r="P323" s="43">
        <f t="shared" si="61"/>
        <v>11.268033943480068</v>
      </c>
      <c r="Q323" s="43">
        <f t="shared" si="62"/>
        <v>0.107946656</v>
      </c>
      <c r="R323" s="43">
        <f t="shared" si="63"/>
        <v>2.1271281999999999E-2</v>
      </c>
      <c r="S323" s="43">
        <f t="shared" si="64"/>
        <v>0.75413028999999998</v>
      </c>
      <c r="T323" s="43">
        <f t="shared" si="65"/>
        <v>3.1272237199999999</v>
      </c>
      <c r="U323" s="43">
        <f t="shared" si="66"/>
        <v>7.1958955480000002</v>
      </c>
      <c r="V323" s="43">
        <f t="shared" si="67"/>
        <v>2.1020968000000001E-2</v>
      </c>
      <c r="W323" s="230">
        <f t="shared" si="68"/>
        <v>0.20171941191128831</v>
      </c>
      <c r="X323" s="43">
        <f t="shared" si="69"/>
        <v>0.71358264199999999</v>
      </c>
      <c r="Y323" s="43">
        <v>158.51107250000001</v>
      </c>
      <c r="Z323" s="43">
        <f t="shared" si="58"/>
        <v>0</v>
      </c>
      <c r="AA323" s="43">
        <f t="shared" si="59"/>
        <v>478718</v>
      </c>
      <c r="AB323" s="43">
        <f t="shared" si="60"/>
        <v>186107</v>
      </c>
      <c r="AC323" s="43">
        <f t="shared" si="70"/>
        <v>7.5967312731255288E-2</v>
      </c>
      <c r="AD323" s="43">
        <f t="shared" si="71"/>
        <v>0.80847972010000058</v>
      </c>
      <c r="AF323" s="43">
        <v>11.268033943480068</v>
      </c>
      <c r="AG323" s="43">
        <v>0.107946656</v>
      </c>
      <c r="AH323" s="43">
        <v>2.1271281999999999E-2</v>
      </c>
      <c r="AI323" s="43">
        <v>0.75413028999999998</v>
      </c>
      <c r="AJ323" s="43">
        <v>3.1272237199999999</v>
      </c>
      <c r="AK323" s="43">
        <v>7.1958955480000002</v>
      </c>
      <c r="AL323" s="43">
        <v>2.1020968000000001E-2</v>
      </c>
      <c r="AM323" s="230">
        <v>0.20171941191128831</v>
      </c>
      <c r="AN323" s="43">
        <v>0.71358264199999999</v>
      </c>
    </row>
    <row r="324" spans="1:40" x14ac:dyDescent="0.25">
      <c r="A324" s="134">
        <v>314</v>
      </c>
      <c r="B324" s="134" t="s">
        <v>209</v>
      </c>
      <c r="C324" s="134" t="s">
        <v>210</v>
      </c>
      <c r="D324" s="134" t="s">
        <v>211</v>
      </c>
      <c r="E324" s="134">
        <v>144</v>
      </c>
      <c r="F324" s="134">
        <v>529</v>
      </c>
      <c r="G324" s="134">
        <v>10</v>
      </c>
      <c r="H324" s="134">
        <v>431</v>
      </c>
      <c r="I324" s="200">
        <v>2.1142733710499999E-2</v>
      </c>
      <c r="J324" s="134">
        <v>960</v>
      </c>
      <c r="K324" s="134">
        <v>45405.670484399998</v>
      </c>
      <c r="L324" s="42">
        <v>0.74511030791999999</v>
      </c>
      <c r="M324" s="42">
        <v>0.74956521739100002</v>
      </c>
      <c r="N324" s="134">
        <v>0</v>
      </c>
      <c r="O324" s="43" t="s">
        <v>627</v>
      </c>
      <c r="P324" s="43">
        <f t="shared" si="61"/>
        <v>11.374229406637328</v>
      </c>
      <c r="Q324" s="43">
        <f t="shared" si="62"/>
        <v>9.7514114999999998E-2</v>
      </c>
      <c r="R324" s="43">
        <f t="shared" si="63"/>
        <v>1.9978358000000002E-2</v>
      </c>
      <c r="S324" s="43">
        <f t="shared" si="64"/>
        <v>0.745110308</v>
      </c>
      <c r="T324" s="43">
        <f t="shared" si="65"/>
        <v>3.1038984919999999</v>
      </c>
      <c r="U324" s="43">
        <f t="shared" si="66"/>
        <v>7.7049211829999997</v>
      </c>
      <c r="V324" s="43">
        <f t="shared" si="67"/>
        <v>2.4980245000000002E-2</v>
      </c>
      <c r="W324" s="230">
        <f t="shared" si="68"/>
        <v>0.17121663990211822</v>
      </c>
      <c r="X324" s="43">
        <f t="shared" si="69"/>
        <v>0.694374347</v>
      </c>
      <c r="Y324" s="43">
        <v>167.0725831</v>
      </c>
      <c r="Z324" s="43">
        <f t="shared" si="58"/>
        <v>0</v>
      </c>
      <c r="AA324" s="43">
        <f t="shared" si="59"/>
        <v>478718</v>
      </c>
      <c r="AB324" s="43">
        <f t="shared" si="60"/>
        <v>186107</v>
      </c>
      <c r="AC324" s="43">
        <f t="shared" si="70"/>
        <v>7.5967312731255288E-2</v>
      </c>
      <c r="AD324" s="43">
        <f t="shared" si="71"/>
        <v>0.80847972010000058</v>
      </c>
      <c r="AF324" s="43">
        <v>11.374229406637328</v>
      </c>
      <c r="AG324" s="43">
        <v>9.7514114999999998E-2</v>
      </c>
      <c r="AH324" s="43">
        <v>1.9978358000000002E-2</v>
      </c>
      <c r="AI324" s="43">
        <v>0.745110308</v>
      </c>
      <c r="AJ324" s="43">
        <v>3.1038984919999999</v>
      </c>
      <c r="AK324" s="43">
        <v>7.7049211829999997</v>
      </c>
      <c r="AL324" s="43">
        <v>2.4980245000000002E-2</v>
      </c>
      <c r="AM324" s="230">
        <v>0.17121663990211822</v>
      </c>
      <c r="AN324" s="43">
        <v>0.694374347</v>
      </c>
    </row>
    <row r="325" spans="1:40" x14ac:dyDescent="0.25">
      <c r="A325" s="134">
        <v>315</v>
      </c>
      <c r="B325" s="134" t="s">
        <v>209</v>
      </c>
      <c r="C325" s="134" t="s">
        <v>210</v>
      </c>
      <c r="D325" s="134" t="s">
        <v>211</v>
      </c>
      <c r="E325" s="134">
        <v>32</v>
      </c>
      <c r="F325" s="134">
        <v>96</v>
      </c>
      <c r="G325" s="134">
        <v>78</v>
      </c>
      <c r="H325" s="134">
        <v>468</v>
      </c>
      <c r="I325" s="200">
        <v>7.3348159703500004E-2</v>
      </c>
      <c r="J325" s="134">
        <v>564</v>
      </c>
      <c r="K325" s="134">
        <v>7689.3544743299999</v>
      </c>
      <c r="L325" s="42">
        <v>0.867456037515</v>
      </c>
      <c r="M325" s="42">
        <v>0.93600000000000005</v>
      </c>
      <c r="N325" s="134">
        <v>1</v>
      </c>
      <c r="O325" s="43" t="s">
        <v>664</v>
      </c>
      <c r="P325" s="43">
        <f t="shared" si="61"/>
        <v>12.203258342925025</v>
      </c>
      <c r="Q325" s="43">
        <f t="shared" si="62"/>
        <v>4.3845252000000001E-2</v>
      </c>
      <c r="R325" s="43">
        <f t="shared" si="63"/>
        <v>1.3106682E-2</v>
      </c>
      <c r="S325" s="43">
        <f t="shared" si="64"/>
        <v>0.86745603800000004</v>
      </c>
      <c r="T325" s="43">
        <f t="shared" si="65"/>
        <v>3.1243631999999999</v>
      </c>
      <c r="U325" s="43">
        <f t="shared" si="66"/>
        <v>7.112933365</v>
      </c>
      <c r="V325" s="43">
        <f t="shared" si="67"/>
        <v>1.393311E-2</v>
      </c>
      <c r="W325" s="230">
        <f t="shared" si="68"/>
        <v>5.5868506272620896E-2</v>
      </c>
      <c r="X325" s="43">
        <f t="shared" si="69"/>
        <v>0.87533676199999999</v>
      </c>
      <c r="Y325" s="43">
        <v>60.478588109999997</v>
      </c>
      <c r="Z325" s="43">
        <f t="shared" si="58"/>
        <v>0</v>
      </c>
      <c r="AA325" s="43">
        <f t="shared" si="59"/>
        <v>478718</v>
      </c>
      <c r="AB325" s="43">
        <f t="shared" si="60"/>
        <v>186107</v>
      </c>
      <c r="AC325" s="43">
        <f t="shared" si="70"/>
        <v>7.5967312731255288E-2</v>
      </c>
      <c r="AD325" s="43">
        <f t="shared" si="71"/>
        <v>0.80847972010000058</v>
      </c>
      <c r="AF325" s="43">
        <v>12.203258342925025</v>
      </c>
      <c r="AG325" s="43">
        <v>4.3845252000000001E-2</v>
      </c>
      <c r="AH325" s="43">
        <v>1.3106682E-2</v>
      </c>
      <c r="AI325" s="43">
        <v>0.86745603800000004</v>
      </c>
      <c r="AJ325" s="43">
        <v>3.1243631999999999</v>
      </c>
      <c r="AK325" s="43">
        <v>7.112933365</v>
      </c>
      <c r="AL325" s="43">
        <v>1.393311E-2</v>
      </c>
      <c r="AM325" s="230">
        <v>5.5868506272620896E-2</v>
      </c>
      <c r="AN325" s="43">
        <v>0.87533676199999999</v>
      </c>
    </row>
    <row r="326" spans="1:40" x14ac:dyDescent="0.25">
      <c r="A326" s="134">
        <v>316</v>
      </c>
      <c r="B326" s="134" t="s">
        <v>209</v>
      </c>
      <c r="C326" s="134" t="s">
        <v>210</v>
      </c>
      <c r="D326" s="134" t="s">
        <v>211</v>
      </c>
      <c r="E326" s="134">
        <v>229</v>
      </c>
      <c r="F326" s="134">
        <v>689</v>
      </c>
      <c r="G326" s="134">
        <v>60</v>
      </c>
      <c r="H326" s="134">
        <v>243</v>
      </c>
      <c r="I326" s="200">
        <v>4.4310273009900002E-2</v>
      </c>
      <c r="J326" s="134">
        <v>932</v>
      </c>
      <c r="K326" s="134">
        <v>21033.497125800001</v>
      </c>
      <c r="L326" s="42">
        <v>0.80777718292599998</v>
      </c>
      <c r="M326" s="42">
        <v>0.514830508475</v>
      </c>
      <c r="N326" s="134">
        <v>1</v>
      </c>
      <c r="O326" s="43" t="s">
        <v>664</v>
      </c>
      <c r="P326" s="43">
        <f t="shared" si="61"/>
        <v>11.649498161089708</v>
      </c>
      <c r="Q326" s="43">
        <f t="shared" si="62"/>
        <v>7.9776190999999996E-2</v>
      </c>
      <c r="R326" s="43">
        <f t="shared" si="63"/>
        <v>1.753E-2</v>
      </c>
      <c r="S326" s="43">
        <f t="shared" si="64"/>
        <v>0.80777718300000001</v>
      </c>
      <c r="T326" s="43">
        <f t="shared" si="65"/>
        <v>2.9827137549999998</v>
      </c>
      <c r="U326" s="43">
        <f t="shared" si="66"/>
        <v>7.2531422189999999</v>
      </c>
      <c r="V326" s="43">
        <f t="shared" si="67"/>
        <v>1.3441765E-2</v>
      </c>
      <c r="W326" s="230">
        <f t="shared" si="68"/>
        <v>0.14747092797389344</v>
      </c>
      <c r="X326" s="43">
        <f t="shared" si="69"/>
        <v>0.77521949700000004</v>
      </c>
      <c r="Y326" s="43">
        <v>196.39215909999999</v>
      </c>
      <c r="Z326" s="43">
        <f t="shared" si="58"/>
        <v>0</v>
      </c>
      <c r="AA326" s="43">
        <f t="shared" si="59"/>
        <v>478718</v>
      </c>
      <c r="AB326" s="43">
        <f t="shared" si="60"/>
        <v>186107</v>
      </c>
      <c r="AC326" s="43">
        <f t="shared" si="70"/>
        <v>7.5967312731255288E-2</v>
      </c>
      <c r="AD326" s="43">
        <f t="shared" si="71"/>
        <v>0.80847972010000058</v>
      </c>
      <c r="AF326" s="43">
        <v>11.649498161089708</v>
      </c>
      <c r="AG326" s="43">
        <v>7.9776190999999996E-2</v>
      </c>
      <c r="AH326" s="43">
        <v>1.753E-2</v>
      </c>
      <c r="AI326" s="43">
        <v>0.80777718300000001</v>
      </c>
      <c r="AJ326" s="43">
        <v>2.9827137549999998</v>
      </c>
      <c r="AK326" s="43">
        <v>7.2531422189999999</v>
      </c>
      <c r="AL326" s="43">
        <v>1.3441765E-2</v>
      </c>
      <c r="AM326" s="230">
        <v>0.14747092797389344</v>
      </c>
      <c r="AN326" s="43">
        <v>0.77521949700000004</v>
      </c>
    </row>
    <row r="327" spans="1:40" x14ac:dyDescent="0.25">
      <c r="A327" s="134">
        <v>317</v>
      </c>
      <c r="B327" s="134" t="s">
        <v>209</v>
      </c>
      <c r="C327" s="134" t="s">
        <v>210</v>
      </c>
      <c r="D327" s="134" t="s">
        <v>211</v>
      </c>
      <c r="E327" s="134">
        <v>38</v>
      </c>
      <c r="F327" s="134">
        <v>114</v>
      </c>
      <c r="G327" s="134">
        <v>44</v>
      </c>
      <c r="H327" s="134">
        <v>433</v>
      </c>
      <c r="I327" s="200">
        <v>8.91651600638E-2</v>
      </c>
      <c r="J327" s="134">
        <v>547</v>
      </c>
      <c r="K327" s="134">
        <v>6134.6830938100002</v>
      </c>
      <c r="L327" s="42">
        <v>0.83601942956800002</v>
      </c>
      <c r="M327" s="42">
        <v>0.91932059448000003</v>
      </c>
      <c r="N327" s="134">
        <v>1</v>
      </c>
      <c r="O327" s="43" t="s">
        <v>664</v>
      </c>
      <c r="P327" s="43">
        <f t="shared" si="61"/>
        <v>12.168578707776637</v>
      </c>
      <c r="Q327" s="43">
        <f t="shared" si="62"/>
        <v>5.1742433999999997E-2</v>
      </c>
      <c r="R327" s="43">
        <f t="shared" si="63"/>
        <v>1.219579E-2</v>
      </c>
      <c r="S327" s="43">
        <f t="shared" si="64"/>
        <v>0.83601943000000001</v>
      </c>
      <c r="T327" s="43">
        <f t="shared" si="65"/>
        <v>2.7621776499999999</v>
      </c>
      <c r="U327" s="43">
        <f t="shared" si="66"/>
        <v>6.6454678679999999</v>
      </c>
      <c r="V327" s="43">
        <f t="shared" si="67"/>
        <v>1.3474437000000001E-2</v>
      </c>
      <c r="W327" s="230">
        <f t="shared" si="68"/>
        <v>8.3171858697272325E-2</v>
      </c>
      <c r="X327" s="43">
        <f t="shared" si="69"/>
        <v>0.824057237</v>
      </c>
      <c r="Y327" s="43">
        <v>225.84256009999999</v>
      </c>
      <c r="Z327" s="43">
        <f t="shared" si="58"/>
        <v>0</v>
      </c>
      <c r="AA327" s="43">
        <f t="shared" si="59"/>
        <v>478718</v>
      </c>
      <c r="AB327" s="43">
        <f t="shared" si="60"/>
        <v>186107</v>
      </c>
      <c r="AC327" s="43">
        <f t="shared" si="70"/>
        <v>7.5967312731255288E-2</v>
      </c>
      <c r="AD327" s="43">
        <f t="shared" si="71"/>
        <v>0.80847972010000058</v>
      </c>
      <c r="AF327" s="43">
        <v>12.168578707776637</v>
      </c>
      <c r="AG327" s="43">
        <v>5.1742433999999997E-2</v>
      </c>
      <c r="AH327" s="43">
        <v>1.219579E-2</v>
      </c>
      <c r="AI327" s="43">
        <v>0.83601943000000001</v>
      </c>
      <c r="AJ327" s="43">
        <v>2.7621776499999999</v>
      </c>
      <c r="AK327" s="43">
        <v>6.6454678679999999</v>
      </c>
      <c r="AL327" s="43">
        <v>1.3474437000000001E-2</v>
      </c>
      <c r="AM327" s="230">
        <v>8.3171858697272325E-2</v>
      </c>
      <c r="AN327" s="43">
        <v>0.824057237</v>
      </c>
    </row>
    <row r="328" spans="1:40" x14ac:dyDescent="0.25">
      <c r="A328" s="134">
        <v>318</v>
      </c>
      <c r="B328" s="134" t="s">
        <v>209</v>
      </c>
      <c r="C328" s="134" t="s">
        <v>210</v>
      </c>
      <c r="D328" s="134" t="s">
        <v>211</v>
      </c>
      <c r="E328" s="134">
        <v>658</v>
      </c>
      <c r="F328" s="134">
        <v>1978</v>
      </c>
      <c r="G328" s="134">
        <v>74</v>
      </c>
      <c r="H328" s="134">
        <v>571</v>
      </c>
      <c r="I328" s="200">
        <v>0.14986231162899999</v>
      </c>
      <c r="J328" s="134">
        <v>2549</v>
      </c>
      <c r="K328" s="134">
        <v>17008.9462274</v>
      </c>
      <c r="L328" s="42">
        <v>0.78011457270700002</v>
      </c>
      <c r="M328" s="42">
        <v>0.46460537021999998</v>
      </c>
      <c r="N328" s="134">
        <v>0</v>
      </c>
      <c r="O328" s="43" t="s">
        <v>664</v>
      </c>
      <c r="P328" s="43">
        <f t="shared" si="61"/>
        <v>11.701348134846576</v>
      </c>
      <c r="Q328" s="43">
        <f t="shared" si="62"/>
        <v>8.6364705999999999E-2</v>
      </c>
      <c r="R328" s="43">
        <f t="shared" si="63"/>
        <v>1.9159657E-2</v>
      </c>
      <c r="S328" s="43">
        <f t="shared" si="64"/>
        <v>0.78011457299999998</v>
      </c>
      <c r="T328" s="43">
        <f t="shared" si="65"/>
        <v>2.9098880600000001</v>
      </c>
      <c r="U328" s="43">
        <f t="shared" si="66"/>
        <v>7.113779364</v>
      </c>
      <c r="V328" s="43">
        <f t="shared" si="67"/>
        <v>1.8571546000000001E-2</v>
      </c>
      <c r="W328" s="230">
        <f t="shared" si="68"/>
        <v>0.16214881023173267</v>
      </c>
      <c r="X328" s="43">
        <f t="shared" si="69"/>
        <v>0.74882669899999998</v>
      </c>
      <c r="Y328" s="43">
        <v>184.04403439999999</v>
      </c>
      <c r="Z328" s="43">
        <f t="shared" si="58"/>
        <v>0</v>
      </c>
      <c r="AA328" s="43">
        <f t="shared" si="59"/>
        <v>478718</v>
      </c>
      <c r="AB328" s="43">
        <f t="shared" si="60"/>
        <v>186107</v>
      </c>
      <c r="AC328" s="43">
        <f t="shared" si="70"/>
        <v>7.5967312731255288E-2</v>
      </c>
      <c r="AD328" s="43">
        <f t="shared" si="71"/>
        <v>0.80847972010000058</v>
      </c>
      <c r="AF328" s="43">
        <v>11.701348134846576</v>
      </c>
      <c r="AG328" s="43">
        <v>8.6364705999999999E-2</v>
      </c>
      <c r="AH328" s="43">
        <v>1.9159657E-2</v>
      </c>
      <c r="AI328" s="43">
        <v>0.78011457299999998</v>
      </c>
      <c r="AJ328" s="43">
        <v>2.9098880600000001</v>
      </c>
      <c r="AK328" s="43">
        <v>7.113779364</v>
      </c>
      <c r="AL328" s="43">
        <v>1.8571546000000001E-2</v>
      </c>
      <c r="AM328" s="230">
        <v>0.16214881023173267</v>
      </c>
      <c r="AN328" s="43">
        <v>0.74882669899999998</v>
      </c>
    </row>
    <row r="329" spans="1:40" x14ac:dyDescent="0.25">
      <c r="A329" s="134">
        <v>319</v>
      </c>
      <c r="B329" s="134" t="s">
        <v>209</v>
      </c>
      <c r="C329" s="134" t="s">
        <v>210</v>
      </c>
      <c r="D329" s="134" t="s">
        <v>211</v>
      </c>
      <c r="E329" s="134">
        <v>94</v>
      </c>
      <c r="F329" s="134">
        <v>282</v>
      </c>
      <c r="G329" s="134">
        <v>40</v>
      </c>
      <c r="H329" s="134">
        <v>187</v>
      </c>
      <c r="I329" s="200">
        <v>3.3569576051E-2</v>
      </c>
      <c r="J329" s="134">
        <v>469</v>
      </c>
      <c r="K329" s="134">
        <v>13970.9837052</v>
      </c>
      <c r="L329" s="42">
        <v>0.81394266250400005</v>
      </c>
      <c r="M329" s="42">
        <v>0.66548042704599997</v>
      </c>
      <c r="N329" s="134">
        <v>1</v>
      </c>
      <c r="O329" s="43" t="s">
        <v>664</v>
      </c>
      <c r="P329" s="43">
        <f t="shared" si="61"/>
        <v>11.392595303300391</v>
      </c>
      <c r="Q329" s="43">
        <f t="shared" si="62"/>
        <v>6.2446778000000001E-2</v>
      </c>
      <c r="R329" s="43">
        <f t="shared" si="63"/>
        <v>1.5600341E-2</v>
      </c>
      <c r="S329" s="43">
        <f t="shared" si="64"/>
        <v>0.81394266299999996</v>
      </c>
      <c r="T329" s="43">
        <f t="shared" si="65"/>
        <v>2.8878437049999999</v>
      </c>
      <c r="U329" s="43">
        <f t="shared" si="66"/>
        <v>6.5379157799999996</v>
      </c>
      <c r="V329" s="43">
        <f t="shared" si="67"/>
        <v>1.1627907E-2</v>
      </c>
      <c r="W329" s="230">
        <f t="shared" si="68"/>
        <v>0.10536307546274323</v>
      </c>
      <c r="X329" s="43">
        <f t="shared" si="69"/>
        <v>0.78595159000000003</v>
      </c>
      <c r="Y329" s="43">
        <v>158.4178489</v>
      </c>
      <c r="Z329" s="43">
        <f t="shared" si="58"/>
        <v>0</v>
      </c>
      <c r="AA329" s="43">
        <f t="shared" si="59"/>
        <v>478718</v>
      </c>
      <c r="AB329" s="43">
        <f t="shared" si="60"/>
        <v>186107</v>
      </c>
      <c r="AC329" s="43">
        <f t="shared" si="70"/>
        <v>7.5967312731255288E-2</v>
      </c>
      <c r="AD329" s="43">
        <f t="shared" si="71"/>
        <v>0.80847972010000058</v>
      </c>
      <c r="AF329" s="43">
        <v>11.392595303300391</v>
      </c>
      <c r="AG329" s="43">
        <v>6.2446778000000001E-2</v>
      </c>
      <c r="AH329" s="43">
        <v>1.5600341E-2</v>
      </c>
      <c r="AI329" s="43">
        <v>0.81394266299999996</v>
      </c>
      <c r="AJ329" s="43">
        <v>2.8878437049999999</v>
      </c>
      <c r="AK329" s="43">
        <v>6.5379157799999996</v>
      </c>
      <c r="AL329" s="43">
        <v>1.1627907E-2</v>
      </c>
      <c r="AM329" s="230">
        <v>0.10536307546274323</v>
      </c>
      <c r="AN329" s="43">
        <v>0.78595159000000003</v>
      </c>
    </row>
    <row r="330" spans="1:40" x14ac:dyDescent="0.25">
      <c r="A330" s="134">
        <v>320</v>
      </c>
      <c r="B330" s="134" t="s">
        <v>209</v>
      </c>
      <c r="C330" s="134" t="s">
        <v>210</v>
      </c>
      <c r="D330" s="134" t="s">
        <v>211</v>
      </c>
      <c r="E330" s="134">
        <v>780</v>
      </c>
      <c r="F330" s="134">
        <v>2346</v>
      </c>
      <c r="G330" s="134">
        <v>57</v>
      </c>
      <c r="H330" s="134">
        <v>862</v>
      </c>
      <c r="I330" s="200">
        <v>8.6285006140799994E-2</v>
      </c>
      <c r="J330" s="134">
        <v>3208</v>
      </c>
      <c r="K330" s="134">
        <v>37179.113075100002</v>
      </c>
      <c r="L330" s="42">
        <v>0.76618012868200003</v>
      </c>
      <c r="M330" s="42">
        <v>0.52496954932999995</v>
      </c>
      <c r="N330" s="134">
        <v>1</v>
      </c>
      <c r="O330" s="43" t="s">
        <v>627</v>
      </c>
      <c r="P330" s="43">
        <f t="shared" si="61"/>
        <v>11.668675782842566</v>
      </c>
      <c r="Q330" s="43">
        <f t="shared" si="62"/>
        <v>9.7992009000000005E-2</v>
      </c>
      <c r="R330" s="43">
        <f t="shared" si="63"/>
        <v>1.9316763000000001E-2</v>
      </c>
      <c r="S330" s="43">
        <f t="shared" si="64"/>
        <v>0.76618012899999999</v>
      </c>
      <c r="T330" s="43">
        <f t="shared" si="65"/>
        <v>2.9446249469999999</v>
      </c>
      <c r="U330" s="43">
        <f t="shared" si="66"/>
        <v>6.8629718679999998</v>
      </c>
      <c r="V330" s="43">
        <f t="shared" si="67"/>
        <v>2.1860025000000002E-2</v>
      </c>
      <c r="W330" s="230">
        <f t="shared" si="68"/>
        <v>0.19136367482251232</v>
      </c>
      <c r="X330" s="43">
        <f t="shared" si="69"/>
        <v>0.71647347500000003</v>
      </c>
      <c r="Y330" s="43">
        <v>158.20764109999999</v>
      </c>
      <c r="Z330" s="43">
        <f t="shared" si="58"/>
        <v>0</v>
      </c>
      <c r="AA330" s="43">
        <f t="shared" si="59"/>
        <v>478718</v>
      </c>
      <c r="AB330" s="43">
        <f t="shared" si="60"/>
        <v>186107</v>
      </c>
      <c r="AC330" s="43">
        <f t="shared" si="70"/>
        <v>7.5967312731255288E-2</v>
      </c>
      <c r="AD330" s="43">
        <f t="shared" si="71"/>
        <v>0.80847972010000058</v>
      </c>
      <c r="AF330" s="43">
        <v>11.668675782842566</v>
      </c>
      <c r="AG330" s="43">
        <v>9.7992009000000005E-2</v>
      </c>
      <c r="AH330" s="43">
        <v>1.9316763000000001E-2</v>
      </c>
      <c r="AI330" s="43">
        <v>0.76618012899999999</v>
      </c>
      <c r="AJ330" s="43">
        <v>2.9446249469999999</v>
      </c>
      <c r="AK330" s="43">
        <v>6.8629718679999998</v>
      </c>
      <c r="AL330" s="43">
        <v>2.1860025000000002E-2</v>
      </c>
      <c r="AM330" s="230">
        <v>0.19136367482251232</v>
      </c>
      <c r="AN330" s="43">
        <v>0.71647347500000003</v>
      </c>
    </row>
    <row r="331" spans="1:40" x14ac:dyDescent="0.25">
      <c r="A331" s="134">
        <v>321</v>
      </c>
      <c r="B331" s="134" t="s">
        <v>209</v>
      </c>
      <c r="C331" s="134" t="s">
        <v>210</v>
      </c>
      <c r="D331" s="134" t="s">
        <v>211</v>
      </c>
      <c r="E331" s="134">
        <v>679</v>
      </c>
      <c r="F331" s="134">
        <v>2492</v>
      </c>
      <c r="G331" s="134">
        <v>48</v>
      </c>
      <c r="H331" s="134">
        <v>476</v>
      </c>
      <c r="I331" s="200">
        <v>0.102685913751</v>
      </c>
      <c r="J331" s="134">
        <v>2968</v>
      </c>
      <c r="K331" s="134">
        <v>28903.672291300001</v>
      </c>
      <c r="L331" s="42">
        <v>0.76297072158900003</v>
      </c>
      <c r="M331" s="42">
        <v>0.412121212121</v>
      </c>
      <c r="N331" s="134">
        <v>1</v>
      </c>
      <c r="O331" s="43" t="s">
        <v>627</v>
      </c>
      <c r="P331" s="43">
        <f t="shared" si="61"/>
        <v>10.979653340021471</v>
      </c>
      <c r="Q331" s="43">
        <f t="shared" si="62"/>
        <v>8.8747365999999994E-2</v>
      </c>
      <c r="R331" s="43">
        <f t="shared" si="63"/>
        <v>2.0556789999999998E-2</v>
      </c>
      <c r="S331" s="43">
        <f t="shared" si="64"/>
        <v>0.76297072200000005</v>
      </c>
      <c r="T331" s="43">
        <f t="shared" si="65"/>
        <v>2.9293836029999998</v>
      </c>
      <c r="U331" s="43">
        <f t="shared" si="66"/>
        <v>6.6093497179999998</v>
      </c>
      <c r="V331" s="43">
        <f t="shared" si="67"/>
        <v>2.2669380999999999E-2</v>
      </c>
      <c r="W331" s="230">
        <f t="shared" si="68"/>
        <v>0.18671390923433548</v>
      </c>
      <c r="X331" s="43">
        <f t="shared" si="69"/>
        <v>0.71580422499999996</v>
      </c>
      <c r="Y331" s="43">
        <v>170.83640399999999</v>
      </c>
      <c r="Z331" s="43">
        <f t="shared" ref="Z331:Z394" si="72">IF(B331="Berkeley",1,0)</f>
        <v>0</v>
      </c>
      <c r="AA331" s="43">
        <f t="shared" ref="AA331:AA394" si="73">SUMIFS(F:F,B:B,B331)</f>
        <v>478718</v>
      </c>
      <c r="AB331" s="43">
        <f t="shared" ref="AB331:AB394" si="74">SUMIFS(E:E,B:B,B331)</f>
        <v>186107</v>
      </c>
      <c r="AC331" s="43">
        <f t="shared" si="70"/>
        <v>7.5967312731255288E-2</v>
      </c>
      <c r="AD331" s="43">
        <f t="shared" si="71"/>
        <v>0.80847972010000058</v>
      </c>
      <c r="AF331" s="43">
        <v>10.979653340021471</v>
      </c>
      <c r="AG331" s="43">
        <v>8.8747365999999994E-2</v>
      </c>
      <c r="AH331" s="43">
        <v>2.0556789999999998E-2</v>
      </c>
      <c r="AI331" s="43">
        <v>0.76297072200000005</v>
      </c>
      <c r="AJ331" s="43">
        <v>2.9293836029999998</v>
      </c>
      <c r="AK331" s="43">
        <v>6.6093497179999998</v>
      </c>
      <c r="AL331" s="43">
        <v>2.2669380999999999E-2</v>
      </c>
      <c r="AM331" s="230">
        <v>0.18671390923433548</v>
      </c>
      <c r="AN331" s="43">
        <v>0.71580422499999996</v>
      </c>
    </row>
    <row r="332" spans="1:40" x14ac:dyDescent="0.25">
      <c r="A332" s="134">
        <v>322</v>
      </c>
      <c r="B332" s="134" t="s">
        <v>209</v>
      </c>
      <c r="C332" s="134" t="s">
        <v>210</v>
      </c>
      <c r="D332" s="134" t="s">
        <v>211</v>
      </c>
      <c r="E332" s="134">
        <v>631</v>
      </c>
      <c r="F332" s="134">
        <v>2316</v>
      </c>
      <c r="G332" s="134">
        <v>82</v>
      </c>
      <c r="H332" s="134">
        <v>375</v>
      </c>
      <c r="I332" s="200">
        <v>8.4127922474600006E-2</v>
      </c>
      <c r="J332" s="134">
        <v>2691</v>
      </c>
      <c r="K332" s="134">
        <v>31987.0017094</v>
      </c>
      <c r="L332" s="42">
        <v>0.75544537842899995</v>
      </c>
      <c r="M332" s="42">
        <v>0.37276341948300001</v>
      </c>
      <c r="N332" s="134">
        <v>1</v>
      </c>
      <c r="O332" s="43" t="s">
        <v>627</v>
      </c>
      <c r="P332" s="43">
        <f t="shared" ref="P332:P395" si="75">IF(OR(IFERROR(AF332=0,TRUE),ISERROR(AF332)),AVERAGEIFS(AF:AF,$B:$B,$B332,AF:AF,"&gt;0"),AF332)</f>
        <v>11.048429805669354</v>
      </c>
      <c r="Q332" s="43">
        <f t="shared" ref="Q332:Q395" si="76">IF(OR(IFERROR(AG332=0,TRUE),ISERROR(AG332)),AVERAGEIFS(AG:AG,$B:$B,$B332,AG:AG,"&gt;0"),AG332)</f>
        <v>9.1422332999999995E-2</v>
      </c>
      <c r="R332" s="43">
        <f t="shared" ref="R332:R395" si="77">IF(OR(IFERROR(AH332=0,TRUE),ISERROR(AH332)),AVERAGEIFS(AH:AH,$B:$B,$B332,AH:AH,"&gt;0"),AH332)</f>
        <v>3.2510391999999999E-2</v>
      </c>
      <c r="S332" s="43">
        <f t="shared" ref="S332:S395" si="78">IF(OR(IFERROR(AI332=0,TRUE),ISERROR(AI332)),AVERAGEIFS(AI:AI,$B:$B,$B332,AI:AI,"&gt;0"),AI332)</f>
        <v>0.755445378</v>
      </c>
      <c r="T332" s="43">
        <f t="shared" ref="T332:T395" si="79">IF(OR(IFERROR(AJ332=0,TRUE),ISERROR(AJ332)),AVERAGEIFS(AJ:AJ,$B:$B,$B332,AJ:AJ,"&gt;0"),AJ332)</f>
        <v>2.6649557719999999</v>
      </c>
      <c r="U332" s="43">
        <f t="shared" ref="U332:U395" si="80">IF(OR(IFERROR(AK332=0,TRUE),ISERROR(AK332)),AVERAGEIFS(AK:AK,$B:$B,$B332,AK:AK,"&gt;0"),AK332)</f>
        <v>6.741610487</v>
      </c>
      <c r="V332" s="43">
        <f t="shared" ref="V332:V395" si="81">IF(OR(IFERROR(AL332=0,TRUE),ISERROR(AL332)),AVERAGEIFS(AL:AL,$B:$B,$B332,AL:AL,"&gt;0"),AL332)</f>
        <v>1.8263222999999999E-2</v>
      </c>
      <c r="W332" s="230">
        <f t="shared" ref="W332:W395" si="82">IF(OR(IFERROR(AM332=0,TRUE),ISERROR(AM332)),AVERAGEIFS(AM:AM,$B:$B,$B332,AM:AM,"&gt;0"),AM332)</f>
        <v>0.18477736777367773</v>
      </c>
      <c r="X332" s="43">
        <f t="shared" ref="X332:X395" si="83">IF(OR(IFERROR(AN332=0,TRUE),ISERROR(AN332)),AVERAGEIFS(AN:AN,$B:$B,$B332,AN:AN,"&gt;0"),AN332)</f>
        <v>0.72459532599999998</v>
      </c>
      <c r="Y332" s="43">
        <v>88.904057530000003</v>
      </c>
      <c r="Z332" s="43">
        <f t="shared" si="72"/>
        <v>0</v>
      </c>
      <c r="AA332" s="43">
        <f t="shared" si="73"/>
        <v>478718</v>
      </c>
      <c r="AB332" s="43">
        <f t="shared" si="74"/>
        <v>186107</v>
      </c>
      <c r="AC332" s="43">
        <f t="shared" ref="AC332:AC395" si="84">AVERAGEIFS(Q:Q,B:B,B332,N:N,0,Q:Q,"&gt;0")</f>
        <v>7.5967312731255288E-2</v>
      </c>
      <c r="AD332" s="43">
        <f t="shared" ref="AD332:AD395" si="85">AVERAGEIFS(S:S,B:B,B332,N:N,0,S:S,"&gt;0")</f>
        <v>0.80847972010000058</v>
      </c>
      <c r="AF332" s="43">
        <v>11.048429805669354</v>
      </c>
      <c r="AG332" s="43">
        <v>9.1422332999999995E-2</v>
      </c>
      <c r="AH332" s="43">
        <v>3.2510391999999999E-2</v>
      </c>
      <c r="AI332" s="43">
        <v>0.755445378</v>
      </c>
      <c r="AJ332" s="43">
        <v>2.6649557719999999</v>
      </c>
      <c r="AK332" s="43">
        <v>6.741610487</v>
      </c>
      <c r="AL332" s="43">
        <v>1.8263222999999999E-2</v>
      </c>
      <c r="AM332" s="230">
        <v>0.18477736777367773</v>
      </c>
      <c r="AN332" s="43">
        <v>0.72459532599999998</v>
      </c>
    </row>
    <row r="333" spans="1:40" x14ac:dyDescent="0.25">
      <c r="A333" s="134">
        <v>323</v>
      </c>
      <c r="B333" s="134" t="s">
        <v>209</v>
      </c>
      <c r="C333" s="134" t="s">
        <v>210</v>
      </c>
      <c r="D333" s="134" t="s">
        <v>211</v>
      </c>
      <c r="E333" s="134">
        <v>837</v>
      </c>
      <c r="F333" s="134">
        <v>2696</v>
      </c>
      <c r="G333" s="134">
        <v>86</v>
      </c>
      <c r="H333" s="134">
        <v>710</v>
      </c>
      <c r="I333" s="200">
        <v>0.13630106944600001</v>
      </c>
      <c r="J333" s="134">
        <v>3406</v>
      </c>
      <c r="K333" s="134">
        <v>24988.7987956</v>
      </c>
      <c r="L333" s="42">
        <v>0.77479033136200004</v>
      </c>
      <c r="M333" s="42">
        <v>0.458952811894</v>
      </c>
      <c r="N333" s="134">
        <v>0</v>
      </c>
      <c r="O333" s="43" t="s">
        <v>627</v>
      </c>
      <c r="P333" s="43">
        <f t="shared" si="75"/>
        <v>10.978483990449369</v>
      </c>
      <c r="Q333" s="43">
        <f t="shared" si="76"/>
        <v>7.4360139000000006E-2</v>
      </c>
      <c r="R333" s="43">
        <f t="shared" si="77"/>
        <v>1.8119512000000001E-2</v>
      </c>
      <c r="S333" s="43">
        <f t="shared" si="78"/>
        <v>0.77479033100000005</v>
      </c>
      <c r="T333" s="43">
        <f t="shared" si="79"/>
        <v>2.9853564189999999</v>
      </c>
      <c r="U333" s="43">
        <f t="shared" si="80"/>
        <v>6.9152873279999998</v>
      </c>
      <c r="V333" s="43">
        <f t="shared" si="81"/>
        <v>1.7719687000000001E-2</v>
      </c>
      <c r="W333" s="230">
        <f t="shared" si="82"/>
        <v>0.15169610668002953</v>
      </c>
      <c r="X333" s="43">
        <f t="shared" si="83"/>
        <v>0.75598891999999995</v>
      </c>
      <c r="Y333" s="43">
        <v>80.874160410000002</v>
      </c>
      <c r="Z333" s="43">
        <f t="shared" si="72"/>
        <v>0</v>
      </c>
      <c r="AA333" s="43">
        <f t="shared" si="73"/>
        <v>478718</v>
      </c>
      <c r="AB333" s="43">
        <f t="shared" si="74"/>
        <v>186107</v>
      </c>
      <c r="AC333" s="43">
        <f t="shared" si="84"/>
        <v>7.5967312731255288E-2</v>
      </c>
      <c r="AD333" s="43">
        <f t="shared" si="85"/>
        <v>0.80847972010000058</v>
      </c>
      <c r="AF333" s="43">
        <v>10.978483990449369</v>
      </c>
      <c r="AG333" s="43">
        <v>7.4360139000000006E-2</v>
      </c>
      <c r="AH333" s="43">
        <v>1.8119512000000001E-2</v>
      </c>
      <c r="AI333" s="43">
        <v>0.77479033100000005</v>
      </c>
      <c r="AJ333" s="43">
        <v>2.9853564189999999</v>
      </c>
      <c r="AK333" s="43">
        <v>6.9152873279999998</v>
      </c>
      <c r="AL333" s="43">
        <v>1.7719687000000001E-2</v>
      </c>
      <c r="AM333" s="230">
        <v>0.15169610668002953</v>
      </c>
      <c r="AN333" s="43">
        <v>0.75598891999999995</v>
      </c>
    </row>
    <row r="334" spans="1:40" x14ac:dyDescent="0.25">
      <c r="A334" s="134">
        <v>324</v>
      </c>
      <c r="B334" s="134" t="s">
        <v>209</v>
      </c>
      <c r="C334" s="134" t="s">
        <v>210</v>
      </c>
      <c r="D334" s="134" t="s">
        <v>211</v>
      </c>
      <c r="E334" s="134">
        <v>1105</v>
      </c>
      <c r="F334" s="134">
        <v>3561</v>
      </c>
      <c r="G334" s="134">
        <v>97</v>
      </c>
      <c r="H334" s="134">
        <v>820</v>
      </c>
      <c r="I334" s="200">
        <v>0.15323640813700001</v>
      </c>
      <c r="J334" s="134">
        <v>4381</v>
      </c>
      <c r="K334" s="134">
        <v>28589.8113462</v>
      </c>
      <c r="L334" s="42">
        <v>0.79017378277200001</v>
      </c>
      <c r="M334" s="42">
        <v>0.42597402597400003</v>
      </c>
      <c r="N334" s="134">
        <v>0</v>
      </c>
      <c r="O334" s="43" t="s">
        <v>627</v>
      </c>
      <c r="P334" s="43">
        <f t="shared" si="75"/>
        <v>10.961526512935523</v>
      </c>
      <c r="Q334" s="43">
        <f t="shared" si="76"/>
        <v>7.6254682000000004E-2</v>
      </c>
      <c r="R334" s="43">
        <f t="shared" si="77"/>
        <v>2.0113857999999998E-2</v>
      </c>
      <c r="S334" s="43">
        <f t="shared" si="78"/>
        <v>0.79017378299999996</v>
      </c>
      <c r="T334" s="43">
        <f t="shared" si="79"/>
        <v>3.1883227970000001</v>
      </c>
      <c r="U334" s="43">
        <f t="shared" si="80"/>
        <v>7.323251001</v>
      </c>
      <c r="V334" s="43">
        <f t="shared" si="81"/>
        <v>1.7914794000000001E-2</v>
      </c>
      <c r="W334" s="230">
        <f t="shared" si="82"/>
        <v>0.15314814711913005</v>
      </c>
      <c r="X334" s="43">
        <f t="shared" si="83"/>
        <v>0.76660202399999999</v>
      </c>
      <c r="Y334" s="43">
        <v>140.9394638</v>
      </c>
      <c r="Z334" s="43">
        <f t="shared" si="72"/>
        <v>0</v>
      </c>
      <c r="AA334" s="43">
        <f t="shared" si="73"/>
        <v>478718</v>
      </c>
      <c r="AB334" s="43">
        <f t="shared" si="74"/>
        <v>186107</v>
      </c>
      <c r="AC334" s="43">
        <f t="shared" si="84"/>
        <v>7.5967312731255288E-2</v>
      </c>
      <c r="AD334" s="43">
        <f t="shared" si="85"/>
        <v>0.80847972010000058</v>
      </c>
      <c r="AF334" s="43">
        <v>10.961526512935523</v>
      </c>
      <c r="AG334" s="43">
        <v>7.6254682000000004E-2</v>
      </c>
      <c r="AH334" s="43">
        <v>2.0113857999999998E-2</v>
      </c>
      <c r="AI334" s="43">
        <v>0.79017378299999996</v>
      </c>
      <c r="AJ334" s="43">
        <v>3.1883227970000001</v>
      </c>
      <c r="AK334" s="43">
        <v>7.323251001</v>
      </c>
      <c r="AL334" s="43">
        <v>1.7914794000000001E-2</v>
      </c>
      <c r="AM334" s="230">
        <v>0.15314814711913005</v>
      </c>
      <c r="AN334" s="43">
        <v>0.76660202399999999</v>
      </c>
    </row>
    <row r="335" spans="1:40" x14ac:dyDescent="0.25">
      <c r="A335" s="134">
        <v>325</v>
      </c>
      <c r="B335" s="134" t="s">
        <v>209</v>
      </c>
      <c r="C335" s="134" t="s">
        <v>210</v>
      </c>
      <c r="D335" s="134" t="s">
        <v>211</v>
      </c>
      <c r="E335" s="134">
        <v>1094</v>
      </c>
      <c r="F335" s="134">
        <v>3049</v>
      </c>
      <c r="G335" s="134">
        <v>139</v>
      </c>
      <c r="H335" s="134">
        <v>174</v>
      </c>
      <c r="I335" s="200">
        <v>0.18954291310499999</v>
      </c>
      <c r="J335" s="134">
        <v>3223</v>
      </c>
      <c r="K335" s="134">
        <v>17004.0649223</v>
      </c>
      <c r="L335" s="42">
        <v>0.80463715714899997</v>
      </c>
      <c r="M335" s="42">
        <v>0.137223974763</v>
      </c>
      <c r="N335" s="134">
        <v>0</v>
      </c>
      <c r="O335" s="43" t="s">
        <v>664</v>
      </c>
      <c r="P335" s="43">
        <f t="shared" si="75"/>
        <v>10.951415849858359</v>
      </c>
      <c r="Q335" s="43">
        <f t="shared" si="76"/>
        <v>6.7658943999999999E-2</v>
      </c>
      <c r="R335" s="43">
        <f t="shared" si="77"/>
        <v>1.9196714E-2</v>
      </c>
      <c r="S335" s="43">
        <f t="shared" si="78"/>
        <v>0.80463715700000005</v>
      </c>
      <c r="T335" s="43">
        <f t="shared" si="79"/>
        <v>3.1557377049999999</v>
      </c>
      <c r="U335" s="43">
        <f t="shared" si="80"/>
        <v>7.1133228510000004</v>
      </c>
      <c r="V335" s="43">
        <f t="shared" si="81"/>
        <v>9.1056910000000008E-3</v>
      </c>
      <c r="W335" s="230">
        <f t="shared" si="82"/>
        <v>0.16157723577235772</v>
      </c>
      <c r="X335" s="43">
        <f t="shared" si="83"/>
        <v>0.78534146299999996</v>
      </c>
      <c r="Y335" s="43">
        <v>142.26152189999999</v>
      </c>
      <c r="Z335" s="43">
        <f t="shared" si="72"/>
        <v>0</v>
      </c>
      <c r="AA335" s="43">
        <f t="shared" si="73"/>
        <v>478718</v>
      </c>
      <c r="AB335" s="43">
        <f t="shared" si="74"/>
        <v>186107</v>
      </c>
      <c r="AC335" s="43">
        <f t="shared" si="84"/>
        <v>7.5967312731255288E-2</v>
      </c>
      <c r="AD335" s="43">
        <f t="shared" si="85"/>
        <v>0.80847972010000058</v>
      </c>
      <c r="AF335" s="43">
        <v>10.951415849858359</v>
      </c>
      <c r="AG335" s="43">
        <v>6.7658943999999999E-2</v>
      </c>
      <c r="AH335" s="43">
        <v>1.9196714E-2</v>
      </c>
      <c r="AI335" s="43">
        <v>0.80463715700000005</v>
      </c>
      <c r="AJ335" s="43">
        <v>3.1557377049999999</v>
      </c>
      <c r="AK335" s="43">
        <v>7.1133228510000004</v>
      </c>
      <c r="AL335" s="43">
        <v>9.1056910000000008E-3</v>
      </c>
      <c r="AM335" s="230">
        <v>0.16157723577235772</v>
      </c>
      <c r="AN335" s="43">
        <v>0.78534146299999996</v>
      </c>
    </row>
    <row r="336" spans="1:40" x14ac:dyDescent="0.25">
      <c r="A336" s="134">
        <v>326</v>
      </c>
      <c r="B336" s="134" t="s">
        <v>209</v>
      </c>
      <c r="C336" s="134" t="s">
        <v>210</v>
      </c>
      <c r="D336" s="134" t="s">
        <v>211</v>
      </c>
      <c r="E336" s="134">
        <v>612</v>
      </c>
      <c r="F336" s="134">
        <v>1707</v>
      </c>
      <c r="G336" s="134">
        <v>73</v>
      </c>
      <c r="H336" s="134">
        <v>246</v>
      </c>
      <c r="I336" s="200">
        <v>9.8134706672900002E-2</v>
      </c>
      <c r="J336" s="134">
        <v>1953</v>
      </c>
      <c r="K336" s="134">
        <v>19901.216055100002</v>
      </c>
      <c r="L336" s="42">
        <v>0.80657048634999995</v>
      </c>
      <c r="M336" s="42">
        <v>0.286713286713</v>
      </c>
      <c r="N336" s="134">
        <v>0</v>
      </c>
      <c r="O336" s="43" t="s">
        <v>664</v>
      </c>
      <c r="P336" s="43">
        <f t="shared" si="75"/>
        <v>11.243974789416635</v>
      </c>
      <c r="Q336" s="43">
        <f t="shared" si="76"/>
        <v>7.0685698000000005E-2</v>
      </c>
      <c r="R336" s="43">
        <f t="shared" si="77"/>
        <v>1.8861101000000002E-2</v>
      </c>
      <c r="S336" s="43">
        <f t="shared" si="78"/>
        <v>0.80657048600000003</v>
      </c>
      <c r="T336" s="43">
        <f t="shared" si="79"/>
        <v>3.1701307540000001</v>
      </c>
      <c r="U336" s="43">
        <f t="shared" si="80"/>
        <v>7.4354072840000001</v>
      </c>
      <c r="V336" s="43">
        <f t="shared" si="81"/>
        <v>1.2146830000000001E-2</v>
      </c>
      <c r="W336" s="230">
        <f t="shared" si="82"/>
        <v>0.14716709439921963</v>
      </c>
      <c r="X336" s="43">
        <f t="shared" si="83"/>
        <v>0.79649994800000001</v>
      </c>
      <c r="Y336" s="43">
        <v>139.00625679999999</v>
      </c>
      <c r="Z336" s="43">
        <f t="shared" si="72"/>
        <v>0</v>
      </c>
      <c r="AA336" s="43">
        <f t="shared" si="73"/>
        <v>478718</v>
      </c>
      <c r="AB336" s="43">
        <f t="shared" si="74"/>
        <v>186107</v>
      </c>
      <c r="AC336" s="43">
        <f t="shared" si="84"/>
        <v>7.5967312731255288E-2</v>
      </c>
      <c r="AD336" s="43">
        <f t="shared" si="85"/>
        <v>0.80847972010000058</v>
      </c>
      <c r="AF336" s="43">
        <v>11.243974789416635</v>
      </c>
      <c r="AG336" s="43">
        <v>7.0685698000000005E-2</v>
      </c>
      <c r="AH336" s="43">
        <v>1.8861101000000002E-2</v>
      </c>
      <c r="AI336" s="43">
        <v>0.80657048600000003</v>
      </c>
      <c r="AJ336" s="43">
        <v>3.1701307540000001</v>
      </c>
      <c r="AK336" s="43">
        <v>7.4354072840000001</v>
      </c>
      <c r="AL336" s="43">
        <v>1.2146830000000001E-2</v>
      </c>
      <c r="AM336" s="230">
        <v>0.14716709439921963</v>
      </c>
      <c r="AN336" s="43">
        <v>0.79649994800000001</v>
      </c>
    </row>
    <row r="337" spans="1:40" x14ac:dyDescent="0.25">
      <c r="A337" s="134">
        <v>327</v>
      </c>
      <c r="B337" s="134" t="s">
        <v>209</v>
      </c>
      <c r="C337" s="134" t="s">
        <v>210</v>
      </c>
      <c r="D337" s="134" t="s">
        <v>211</v>
      </c>
      <c r="E337" s="134">
        <v>909</v>
      </c>
      <c r="F337" s="134">
        <v>2004</v>
      </c>
      <c r="G337" s="134">
        <v>107</v>
      </c>
      <c r="H337" s="134">
        <v>470</v>
      </c>
      <c r="I337" s="200">
        <v>0.15807567835200001</v>
      </c>
      <c r="J337" s="134">
        <v>2474</v>
      </c>
      <c r="K337" s="134">
        <v>15650.7315091</v>
      </c>
      <c r="L337" s="42">
        <v>0.829500358306</v>
      </c>
      <c r="M337" s="42">
        <v>0.34082668600400001</v>
      </c>
      <c r="N337" s="134">
        <v>0</v>
      </c>
      <c r="O337" s="43" t="s">
        <v>664</v>
      </c>
      <c r="P337" s="43">
        <f t="shared" si="75"/>
        <v>11.575028908654893</v>
      </c>
      <c r="Q337" s="43">
        <f t="shared" si="76"/>
        <v>7.6336321999999998E-2</v>
      </c>
      <c r="R337" s="43">
        <f t="shared" si="77"/>
        <v>1.3571481999999999E-2</v>
      </c>
      <c r="S337" s="43">
        <f t="shared" si="78"/>
        <v>0.82950035799999999</v>
      </c>
      <c r="T337" s="43">
        <f t="shared" si="79"/>
        <v>3.129213483</v>
      </c>
      <c r="U337" s="43">
        <f t="shared" si="80"/>
        <v>7.812157419</v>
      </c>
      <c r="V337" s="43">
        <f t="shared" si="81"/>
        <v>1.1841634E-2</v>
      </c>
      <c r="W337" s="230">
        <f t="shared" si="82"/>
        <v>0.14697676932118323</v>
      </c>
      <c r="X337" s="43">
        <f t="shared" si="83"/>
        <v>0.80373825499999996</v>
      </c>
      <c r="Y337" s="43">
        <v>208.63289309999999</v>
      </c>
      <c r="Z337" s="43">
        <f t="shared" si="72"/>
        <v>0</v>
      </c>
      <c r="AA337" s="43">
        <f t="shared" si="73"/>
        <v>478718</v>
      </c>
      <c r="AB337" s="43">
        <f t="shared" si="74"/>
        <v>186107</v>
      </c>
      <c r="AC337" s="43">
        <f t="shared" si="84"/>
        <v>7.5967312731255288E-2</v>
      </c>
      <c r="AD337" s="43">
        <f t="shared" si="85"/>
        <v>0.80847972010000058</v>
      </c>
      <c r="AF337" s="43">
        <v>11.575028908654893</v>
      </c>
      <c r="AG337" s="43">
        <v>7.6336321999999998E-2</v>
      </c>
      <c r="AH337" s="43">
        <v>1.3571481999999999E-2</v>
      </c>
      <c r="AI337" s="43">
        <v>0.82950035799999999</v>
      </c>
      <c r="AJ337" s="43">
        <v>3.129213483</v>
      </c>
      <c r="AK337" s="43">
        <v>7.812157419</v>
      </c>
      <c r="AL337" s="43">
        <v>1.1841634E-2</v>
      </c>
      <c r="AM337" s="230">
        <v>0.14697676932118323</v>
      </c>
      <c r="AN337" s="43">
        <v>0.80373825499999996</v>
      </c>
    </row>
    <row r="338" spans="1:40" x14ac:dyDescent="0.25">
      <c r="A338" s="134">
        <v>328</v>
      </c>
      <c r="B338" s="134" t="s">
        <v>209</v>
      </c>
      <c r="C338" s="134" t="s">
        <v>210</v>
      </c>
      <c r="D338" s="134" t="s">
        <v>211</v>
      </c>
      <c r="E338" s="134">
        <v>1122</v>
      </c>
      <c r="F338" s="134">
        <v>2474</v>
      </c>
      <c r="G338" s="134">
        <v>152</v>
      </c>
      <c r="H338" s="134">
        <v>660</v>
      </c>
      <c r="I338" s="200">
        <v>0.22630231970699999</v>
      </c>
      <c r="J338" s="134">
        <v>3134</v>
      </c>
      <c r="K338" s="134">
        <v>13848.7312196</v>
      </c>
      <c r="L338" s="42">
        <v>0.85356012146500004</v>
      </c>
      <c r="M338" s="42">
        <v>0.37037037036999998</v>
      </c>
      <c r="N338" s="134">
        <v>0</v>
      </c>
      <c r="O338" s="43" t="s">
        <v>664</v>
      </c>
      <c r="P338" s="43">
        <f t="shared" si="75"/>
        <v>11.671146383657787</v>
      </c>
      <c r="Q338" s="43">
        <f t="shared" si="76"/>
        <v>6.6754454000000005E-2</v>
      </c>
      <c r="R338" s="43">
        <f t="shared" si="77"/>
        <v>1.3267635999999999E-2</v>
      </c>
      <c r="S338" s="43">
        <f t="shared" si="78"/>
        <v>0.853560121</v>
      </c>
      <c r="T338" s="43">
        <f t="shared" si="79"/>
        <v>3.4358093329999999</v>
      </c>
      <c r="U338" s="43">
        <f t="shared" si="80"/>
        <v>8.4691378390000001</v>
      </c>
      <c r="V338" s="43">
        <f t="shared" si="81"/>
        <v>1.1241787E-2</v>
      </c>
      <c r="W338" s="230">
        <f t="shared" si="82"/>
        <v>0.13068078116444606</v>
      </c>
      <c r="X338" s="43">
        <f t="shared" si="83"/>
        <v>0.82795103999999997</v>
      </c>
      <c r="Y338" s="43">
        <v>141.00712630000001</v>
      </c>
      <c r="Z338" s="43">
        <f t="shared" si="72"/>
        <v>0</v>
      </c>
      <c r="AA338" s="43">
        <f t="shared" si="73"/>
        <v>478718</v>
      </c>
      <c r="AB338" s="43">
        <f t="shared" si="74"/>
        <v>186107</v>
      </c>
      <c r="AC338" s="43">
        <f t="shared" si="84"/>
        <v>7.5967312731255288E-2</v>
      </c>
      <c r="AD338" s="43">
        <f t="shared" si="85"/>
        <v>0.80847972010000058</v>
      </c>
      <c r="AF338" s="43">
        <v>11.671146383657787</v>
      </c>
      <c r="AG338" s="43">
        <v>6.6754454000000005E-2</v>
      </c>
      <c r="AH338" s="43">
        <v>1.3267635999999999E-2</v>
      </c>
      <c r="AI338" s="43">
        <v>0.853560121</v>
      </c>
      <c r="AJ338" s="43">
        <v>3.4358093329999999</v>
      </c>
      <c r="AK338" s="43">
        <v>8.4691378390000001</v>
      </c>
      <c r="AL338" s="43">
        <v>1.1241787E-2</v>
      </c>
      <c r="AM338" s="230">
        <v>0.13068078116444606</v>
      </c>
      <c r="AN338" s="43">
        <v>0.82795103999999997</v>
      </c>
    </row>
    <row r="339" spans="1:40" x14ac:dyDescent="0.25">
      <c r="A339" s="134">
        <v>329</v>
      </c>
      <c r="B339" s="134" t="s">
        <v>209</v>
      </c>
      <c r="C339" s="134" t="s">
        <v>210</v>
      </c>
      <c r="D339" s="134" t="s">
        <v>211</v>
      </c>
      <c r="E339" s="134">
        <v>1264</v>
      </c>
      <c r="F339" s="134">
        <v>2808</v>
      </c>
      <c r="G339" s="134">
        <v>153</v>
      </c>
      <c r="H339" s="134">
        <v>612</v>
      </c>
      <c r="I339" s="200">
        <v>0.24680019703100001</v>
      </c>
      <c r="J339" s="134">
        <v>3420</v>
      </c>
      <c r="K339" s="134">
        <v>13857.3633293</v>
      </c>
      <c r="L339" s="42">
        <v>0.85859316053800006</v>
      </c>
      <c r="M339" s="42">
        <v>0.32622601279300001</v>
      </c>
      <c r="N339" s="134">
        <v>0</v>
      </c>
      <c r="O339" s="43" t="s">
        <v>664</v>
      </c>
      <c r="P339" s="43">
        <f t="shared" si="75"/>
        <v>13.222875478016382</v>
      </c>
      <c r="Q339" s="43">
        <f t="shared" si="76"/>
        <v>6.3381789999999993E-2</v>
      </c>
      <c r="R339" s="43">
        <f t="shared" si="77"/>
        <v>1.3716290000000001E-2</v>
      </c>
      <c r="S339" s="43">
        <f t="shared" si="78"/>
        <v>0.85859316100000005</v>
      </c>
      <c r="T339" s="43">
        <f t="shared" si="79"/>
        <v>3.6451562169999998</v>
      </c>
      <c r="U339" s="43">
        <f t="shared" si="80"/>
        <v>9.3253908709999997</v>
      </c>
      <c r="V339" s="43">
        <f t="shared" si="81"/>
        <v>1.0128168999999999E-2</v>
      </c>
      <c r="W339" s="230">
        <f t="shared" si="82"/>
        <v>0.11842477661424007</v>
      </c>
      <c r="X339" s="43">
        <f t="shared" si="83"/>
        <v>0.84428193100000004</v>
      </c>
      <c r="Y339" s="43">
        <v>74.909370890000005</v>
      </c>
      <c r="Z339" s="43">
        <f t="shared" si="72"/>
        <v>0</v>
      </c>
      <c r="AA339" s="43">
        <f t="shared" si="73"/>
        <v>478718</v>
      </c>
      <c r="AB339" s="43">
        <f t="shared" si="74"/>
        <v>186107</v>
      </c>
      <c r="AC339" s="43">
        <f t="shared" si="84"/>
        <v>7.5967312731255288E-2</v>
      </c>
      <c r="AD339" s="43">
        <f t="shared" si="85"/>
        <v>0.80847972010000058</v>
      </c>
      <c r="AF339" s="43">
        <v>13.222875478016382</v>
      </c>
      <c r="AG339" s="43">
        <v>6.3381789999999993E-2</v>
      </c>
      <c r="AH339" s="43">
        <v>1.3716290000000001E-2</v>
      </c>
      <c r="AI339" s="43">
        <v>0.85859316100000005</v>
      </c>
      <c r="AJ339" s="43">
        <v>3.6451562169999998</v>
      </c>
      <c r="AK339" s="43">
        <v>9.3253908709999997</v>
      </c>
      <c r="AL339" s="43">
        <v>1.0128168999999999E-2</v>
      </c>
      <c r="AM339" s="230">
        <v>0.11842477661424007</v>
      </c>
      <c r="AN339" s="43">
        <v>0.84428193100000004</v>
      </c>
    </row>
    <row r="340" spans="1:40" x14ac:dyDescent="0.25">
      <c r="A340" s="134">
        <v>330</v>
      </c>
      <c r="B340" s="134" t="s">
        <v>209</v>
      </c>
      <c r="C340" s="134" t="s">
        <v>210</v>
      </c>
      <c r="D340" s="134" t="s">
        <v>211</v>
      </c>
      <c r="E340" s="134">
        <v>808</v>
      </c>
      <c r="F340" s="134">
        <v>1962</v>
      </c>
      <c r="G340" s="134">
        <v>304</v>
      </c>
      <c r="H340" s="134">
        <v>396</v>
      </c>
      <c r="I340" s="200">
        <v>0.46579235598000002</v>
      </c>
      <c r="J340" s="134">
        <v>2358</v>
      </c>
      <c r="K340" s="134">
        <v>5062.34155569</v>
      </c>
      <c r="L340" s="42">
        <v>0.88116613020000001</v>
      </c>
      <c r="M340" s="42">
        <v>0.32890365448499997</v>
      </c>
      <c r="N340" s="134">
        <v>0</v>
      </c>
      <c r="O340" s="43" t="s">
        <v>666</v>
      </c>
      <c r="P340" s="43">
        <f t="shared" si="75"/>
        <v>13.902264047977864</v>
      </c>
      <c r="Q340" s="43">
        <f t="shared" si="76"/>
        <v>5.1376067999999997E-2</v>
      </c>
      <c r="R340" s="43">
        <f t="shared" si="77"/>
        <v>2.3779043999999999E-2</v>
      </c>
      <c r="S340" s="43">
        <f t="shared" si="78"/>
        <v>0.88116612999999999</v>
      </c>
      <c r="T340" s="43">
        <f t="shared" si="79"/>
        <v>3.2117849459999999</v>
      </c>
      <c r="U340" s="43">
        <f t="shared" si="80"/>
        <v>9.963337332</v>
      </c>
      <c r="V340" s="43">
        <f t="shared" si="81"/>
        <v>5.0824099999999999E-3</v>
      </c>
      <c r="W340" s="230">
        <f t="shared" si="82"/>
        <v>9.9471975113245653E-2</v>
      </c>
      <c r="X340" s="43">
        <f t="shared" si="83"/>
        <v>0.88079872299999995</v>
      </c>
      <c r="Y340" s="43">
        <v>60.525804579999999</v>
      </c>
      <c r="Z340" s="43">
        <f t="shared" si="72"/>
        <v>0</v>
      </c>
      <c r="AA340" s="43">
        <f t="shared" si="73"/>
        <v>478718</v>
      </c>
      <c r="AB340" s="43">
        <f t="shared" si="74"/>
        <v>186107</v>
      </c>
      <c r="AC340" s="43">
        <f t="shared" si="84"/>
        <v>7.5967312731255288E-2</v>
      </c>
      <c r="AD340" s="43">
        <f t="shared" si="85"/>
        <v>0.80847972010000058</v>
      </c>
      <c r="AF340" s="43">
        <v>13.902264047977864</v>
      </c>
      <c r="AG340" s="43">
        <v>5.1376067999999997E-2</v>
      </c>
      <c r="AH340" s="43">
        <v>2.3779043999999999E-2</v>
      </c>
      <c r="AI340" s="43">
        <v>0.88116612999999999</v>
      </c>
      <c r="AJ340" s="43">
        <v>3.2117849459999999</v>
      </c>
      <c r="AK340" s="43">
        <v>9.963337332</v>
      </c>
      <c r="AL340" s="43">
        <v>5.0824099999999999E-3</v>
      </c>
      <c r="AM340" s="230">
        <v>9.9471975113245653E-2</v>
      </c>
      <c r="AN340" s="43">
        <v>0.88079872299999995</v>
      </c>
    </row>
    <row r="341" spans="1:40" x14ac:dyDescent="0.25">
      <c r="A341" s="134">
        <v>331</v>
      </c>
      <c r="B341" s="134" t="s">
        <v>209</v>
      </c>
      <c r="C341" s="134" t="s">
        <v>210</v>
      </c>
      <c r="D341" s="134" t="s">
        <v>211</v>
      </c>
      <c r="E341" s="134">
        <v>698</v>
      </c>
      <c r="F341" s="134">
        <v>1713</v>
      </c>
      <c r="G341" s="134">
        <v>262</v>
      </c>
      <c r="H341" s="134">
        <v>217</v>
      </c>
      <c r="I341" s="200">
        <v>0.42221865556600002</v>
      </c>
      <c r="J341" s="134">
        <v>1930</v>
      </c>
      <c r="K341" s="134">
        <v>4571.0912451499998</v>
      </c>
      <c r="L341" s="42">
        <v>0.89335476399400005</v>
      </c>
      <c r="M341" s="42">
        <v>0.23715846994500001</v>
      </c>
      <c r="N341" s="134">
        <v>0</v>
      </c>
      <c r="O341" s="43" t="s">
        <v>665</v>
      </c>
      <c r="P341" s="43">
        <f t="shared" si="75"/>
        <v>12.587924584802952</v>
      </c>
      <c r="Q341" s="43">
        <f t="shared" si="76"/>
        <v>5.1498502000000002E-2</v>
      </c>
      <c r="R341" s="43">
        <f t="shared" si="77"/>
        <v>1.1232921E-2</v>
      </c>
      <c r="S341" s="43">
        <f t="shared" si="78"/>
        <v>0.89335476400000002</v>
      </c>
      <c r="T341" s="43">
        <f t="shared" si="79"/>
        <v>3.6321506989999999</v>
      </c>
      <c r="U341" s="43">
        <f t="shared" si="80"/>
        <v>9.0490107250000005</v>
      </c>
      <c r="V341" s="43">
        <f t="shared" si="81"/>
        <v>5.1541149999999999E-3</v>
      </c>
      <c r="W341" s="230">
        <f t="shared" si="82"/>
        <v>0.12013620927370475</v>
      </c>
      <c r="X341" s="43">
        <f t="shared" si="83"/>
        <v>0.860774135</v>
      </c>
      <c r="Y341" s="43">
        <v>49.121039240000002</v>
      </c>
      <c r="Z341" s="43">
        <f t="shared" si="72"/>
        <v>0</v>
      </c>
      <c r="AA341" s="43">
        <f t="shared" si="73"/>
        <v>478718</v>
      </c>
      <c r="AB341" s="43">
        <f t="shared" si="74"/>
        <v>186107</v>
      </c>
      <c r="AC341" s="43">
        <f t="shared" si="84"/>
        <v>7.5967312731255288E-2</v>
      </c>
      <c r="AD341" s="43">
        <f t="shared" si="85"/>
        <v>0.80847972010000058</v>
      </c>
      <c r="AF341" s="43">
        <v>12.587924584802952</v>
      </c>
      <c r="AG341" s="43">
        <v>5.1498502000000002E-2</v>
      </c>
      <c r="AH341" s="43">
        <v>1.1232921E-2</v>
      </c>
      <c r="AI341" s="43">
        <v>0.89335476400000002</v>
      </c>
      <c r="AJ341" s="43">
        <v>3.6321506989999999</v>
      </c>
      <c r="AK341" s="43">
        <v>9.0490107250000005</v>
      </c>
      <c r="AL341" s="43">
        <v>5.1541149999999999E-3</v>
      </c>
      <c r="AM341" s="230">
        <v>0.12013620927370475</v>
      </c>
      <c r="AN341" s="43">
        <v>0.860774135</v>
      </c>
    </row>
    <row r="342" spans="1:40" x14ac:dyDescent="0.25">
      <c r="A342" s="134">
        <v>332</v>
      </c>
      <c r="B342" s="134" t="s">
        <v>209</v>
      </c>
      <c r="C342" s="134" t="s">
        <v>210</v>
      </c>
      <c r="D342" s="134" t="s">
        <v>211</v>
      </c>
      <c r="E342" s="134">
        <v>272</v>
      </c>
      <c r="F342" s="134">
        <v>700</v>
      </c>
      <c r="G342" s="134">
        <v>394</v>
      </c>
      <c r="H342" s="134">
        <v>1488</v>
      </c>
      <c r="I342" s="200">
        <v>0.62046648832100004</v>
      </c>
      <c r="J342" s="134">
        <v>2188</v>
      </c>
      <c r="K342" s="134">
        <v>3526.3790086700001</v>
      </c>
      <c r="L342" s="42">
        <v>0.88478712199999998</v>
      </c>
      <c r="M342" s="42">
        <v>0.84545454545499998</v>
      </c>
      <c r="N342" s="134">
        <v>0</v>
      </c>
      <c r="O342" s="43" t="s">
        <v>666</v>
      </c>
      <c r="P342" s="43">
        <f t="shared" si="75"/>
        <v>13.12543345413126</v>
      </c>
      <c r="Q342" s="43">
        <f t="shared" si="76"/>
        <v>2.9099327000000001E-2</v>
      </c>
      <c r="R342" s="43">
        <f t="shared" si="77"/>
        <v>2.0258152000000001E-2</v>
      </c>
      <c r="S342" s="43">
        <f t="shared" si="78"/>
        <v>0.88478712199999998</v>
      </c>
      <c r="T342" s="43">
        <f t="shared" si="79"/>
        <v>3.1929547629999999</v>
      </c>
      <c r="U342" s="43">
        <f t="shared" si="80"/>
        <v>8.3593697270000007</v>
      </c>
      <c r="V342" s="43">
        <f t="shared" si="81"/>
        <v>1.3576955E-2</v>
      </c>
      <c r="W342" s="230">
        <f t="shared" si="82"/>
        <v>4.635291390152723E-2</v>
      </c>
      <c r="X342" s="43">
        <f t="shared" si="83"/>
        <v>0.91400295600000003</v>
      </c>
      <c r="Y342" s="43">
        <v>84.257484959999999</v>
      </c>
      <c r="Z342" s="43">
        <f t="shared" si="72"/>
        <v>0</v>
      </c>
      <c r="AA342" s="43">
        <f t="shared" si="73"/>
        <v>478718</v>
      </c>
      <c r="AB342" s="43">
        <f t="shared" si="74"/>
        <v>186107</v>
      </c>
      <c r="AC342" s="43">
        <f t="shared" si="84"/>
        <v>7.5967312731255288E-2</v>
      </c>
      <c r="AD342" s="43">
        <f t="shared" si="85"/>
        <v>0.80847972010000058</v>
      </c>
      <c r="AF342" s="43">
        <v>13.12543345413126</v>
      </c>
      <c r="AG342" s="43">
        <v>2.9099327000000001E-2</v>
      </c>
      <c r="AH342" s="43">
        <v>2.0258152000000001E-2</v>
      </c>
      <c r="AI342" s="43">
        <v>0.88478712199999998</v>
      </c>
      <c r="AJ342" s="43">
        <v>3.1929547629999999</v>
      </c>
      <c r="AK342" s="43">
        <v>8.3593697270000007</v>
      </c>
      <c r="AL342" s="43">
        <v>1.3576955E-2</v>
      </c>
      <c r="AM342" s="230">
        <v>4.635291390152723E-2</v>
      </c>
      <c r="AN342" s="43">
        <v>0.91400295600000003</v>
      </c>
    </row>
    <row r="343" spans="1:40" x14ac:dyDescent="0.25">
      <c r="A343" s="134">
        <v>333</v>
      </c>
      <c r="B343" s="134" t="s">
        <v>209</v>
      </c>
      <c r="C343" s="134" t="s">
        <v>210</v>
      </c>
      <c r="D343" s="134" t="s">
        <v>211</v>
      </c>
      <c r="E343" s="134">
        <v>1122</v>
      </c>
      <c r="F343" s="134">
        <v>2891</v>
      </c>
      <c r="G343" s="134">
        <v>274</v>
      </c>
      <c r="H343" s="134">
        <v>431</v>
      </c>
      <c r="I343" s="200">
        <v>0.43209069817700002</v>
      </c>
      <c r="J343" s="134">
        <v>3322</v>
      </c>
      <c r="K343" s="134">
        <v>7688.2006810599996</v>
      </c>
      <c r="L343" s="42">
        <v>0.89435493402800004</v>
      </c>
      <c r="M343" s="42">
        <v>0.27752736638800002</v>
      </c>
      <c r="N343" s="134">
        <v>0</v>
      </c>
      <c r="O343" s="43" t="s">
        <v>666</v>
      </c>
      <c r="P343" s="43">
        <f t="shared" si="75"/>
        <v>12.444432070868798</v>
      </c>
      <c r="Q343" s="43">
        <f t="shared" si="76"/>
        <v>3.3588224999999999E-2</v>
      </c>
      <c r="R343" s="43">
        <f t="shared" si="77"/>
        <v>1.3611834E-2</v>
      </c>
      <c r="S343" s="43">
        <f t="shared" si="78"/>
        <v>0.89435493399999999</v>
      </c>
      <c r="T343" s="43">
        <f t="shared" si="79"/>
        <v>3.4780935629999998</v>
      </c>
      <c r="U343" s="43">
        <f t="shared" si="80"/>
        <v>8.7918187650000004</v>
      </c>
      <c r="V343" s="43">
        <f t="shared" si="81"/>
        <v>7.5766499999999999E-3</v>
      </c>
      <c r="W343" s="230">
        <f t="shared" si="82"/>
        <v>9.4672778262201593E-2</v>
      </c>
      <c r="X343" s="43">
        <f t="shared" si="83"/>
        <v>0.88209059000000001</v>
      </c>
      <c r="Y343" s="43">
        <v>103.92659260000001</v>
      </c>
      <c r="Z343" s="43">
        <f t="shared" si="72"/>
        <v>0</v>
      </c>
      <c r="AA343" s="43">
        <f t="shared" si="73"/>
        <v>478718</v>
      </c>
      <c r="AB343" s="43">
        <f t="shared" si="74"/>
        <v>186107</v>
      </c>
      <c r="AC343" s="43">
        <f t="shared" si="84"/>
        <v>7.5967312731255288E-2</v>
      </c>
      <c r="AD343" s="43">
        <f t="shared" si="85"/>
        <v>0.80847972010000058</v>
      </c>
      <c r="AF343" s="43">
        <v>12.444432070868798</v>
      </c>
      <c r="AG343" s="43">
        <v>3.3588224999999999E-2</v>
      </c>
      <c r="AH343" s="43">
        <v>1.3611834E-2</v>
      </c>
      <c r="AI343" s="43">
        <v>0.89435493399999999</v>
      </c>
      <c r="AJ343" s="43">
        <v>3.4780935629999998</v>
      </c>
      <c r="AK343" s="43">
        <v>8.7918187650000004</v>
      </c>
      <c r="AL343" s="43">
        <v>7.5766499999999999E-3</v>
      </c>
      <c r="AM343" s="230">
        <v>9.4672778262201593E-2</v>
      </c>
      <c r="AN343" s="43">
        <v>0.88209059000000001</v>
      </c>
    </row>
    <row r="344" spans="1:40" x14ac:dyDescent="0.25">
      <c r="A344" s="134">
        <v>334</v>
      </c>
      <c r="B344" s="134" t="s">
        <v>209</v>
      </c>
      <c r="C344" s="134" t="s">
        <v>210</v>
      </c>
      <c r="D344" s="134" t="s">
        <v>211</v>
      </c>
      <c r="E344" s="134">
        <v>941</v>
      </c>
      <c r="F344" s="134">
        <v>2279</v>
      </c>
      <c r="G344" s="134">
        <v>209</v>
      </c>
      <c r="H344" s="134">
        <v>375</v>
      </c>
      <c r="I344" s="200">
        <v>0.33478718284199999</v>
      </c>
      <c r="J344" s="134">
        <v>2654</v>
      </c>
      <c r="K344" s="134">
        <v>7927.4241548500004</v>
      </c>
      <c r="L344" s="42">
        <v>0.86654334651700005</v>
      </c>
      <c r="M344" s="42">
        <v>0.28495440729499999</v>
      </c>
      <c r="N344" s="134">
        <v>1</v>
      </c>
      <c r="O344" s="43" t="s">
        <v>666</v>
      </c>
      <c r="P344" s="43">
        <f t="shared" si="75"/>
        <v>12.559378001281265</v>
      </c>
      <c r="Q344" s="43">
        <f t="shared" si="76"/>
        <v>5.3841629000000002E-2</v>
      </c>
      <c r="R344" s="43">
        <f t="shared" si="77"/>
        <v>1.3592951000000001E-2</v>
      </c>
      <c r="S344" s="43">
        <f t="shared" si="78"/>
        <v>0.86654334700000002</v>
      </c>
      <c r="T344" s="43">
        <f t="shared" si="79"/>
        <v>3.0436329990000002</v>
      </c>
      <c r="U344" s="43">
        <f t="shared" si="80"/>
        <v>8.2291206169999995</v>
      </c>
      <c r="V344" s="43">
        <f t="shared" si="81"/>
        <v>8.0390389999999996E-3</v>
      </c>
      <c r="W344" s="230">
        <f t="shared" si="82"/>
        <v>0.12178203180663288</v>
      </c>
      <c r="X344" s="43">
        <f t="shared" si="83"/>
        <v>0.84422009200000003</v>
      </c>
      <c r="Y344" s="43">
        <v>132.96774250000001</v>
      </c>
      <c r="Z344" s="43">
        <f t="shared" si="72"/>
        <v>0</v>
      </c>
      <c r="AA344" s="43">
        <f t="shared" si="73"/>
        <v>478718</v>
      </c>
      <c r="AB344" s="43">
        <f t="shared" si="74"/>
        <v>186107</v>
      </c>
      <c r="AC344" s="43">
        <f t="shared" si="84"/>
        <v>7.5967312731255288E-2</v>
      </c>
      <c r="AD344" s="43">
        <f t="shared" si="85"/>
        <v>0.80847972010000058</v>
      </c>
      <c r="AF344" s="43">
        <v>12.559378001281265</v>
      </c>
      <c r="AG344" s="43">
        <v>5.3841629000000002E-2</v>
      </c>
      <c r="AH344" s="43">
        <v>1.3592951000000001E-2</v>
      </c>
      <c r="AI344" s="43">
        <v>0.86654334700000002</v>
      </c>
      <c r="AJ344" s="43">
        <v>3.0436329990000002</v>
      </c>
      <c r="AK344" s="43">
        <v>8.2291206169999995</v>
      </c>
      <c r="AL344" s="43">
        <v>8.0390389999999996E-3</v>
      </c>
      <c r="AM344" s="230">
        <v>0.12178203180663288</v>
      </c>
      <c r="AN344" s="43">
        <v>0.84422009200000003</v>
      </c>
    </row>
    <row r="345" spans="1:40" x14ac:dyDescent="0.25">
      <c r="A345" s="134">
        <v>335</v>
      </c>
      <c r="B345" s="134" t="s">
        <v>209</v>
      </c>
      <c r="C345" s="134" t="s">
        <v>210</v>
      </c>
      <c r="D345" s="134" t="s">
        <v>211</v>
      </c>
      <c r="E345" s="134">
        <v>47</v>
      </c>
      <c r="F345" s="134">
        <v>115</v>
      </c>
      <c r="G345" s="134">
        <v>74</v>
      </c>
      <c r="H345" s="134">
        <v>100</v>
      </c>
      <c r="I345" s="200">
        <v>0.11880950853400001</v>
      </c>
      <c r="J345" s="134">
        <v>215</v>
      </c>
      <c r="K345" s="134">
        <v>1809.6194711400001</v>
      </c>
      <c r="L345" s="42">
        <v>0.88086810489599998</v>
      </c>
      <c r="M345" s="42">
        <v>0.68027210884400002</v>
      </c>
      <c r="N345" s="134">
        <v>0</v>
      </c>
      <c r="O345" s="43" t="s">
        <v>666</v>
      </c>
      <c r="P345" s="43">
        <f t="shared" si="75"/>
        <v>13.8906241340476</v>
      </c>
      <c r="Q345" s="43">
        <f t="shared" si="76"/>
        <v>4.0124014999999999E-2</v>
      </c>
      <c r="R345" s="43">
        <f t="shared" si="77"/>
        <v>1.2375662000000001E-2</v>
      </c>
      <c r="S345" s="43">
        <f t="shared" si="78"/>
        <v>0.88086810500000001</v>
      </c>
      <c r="T345" s="43">
        <f t="shared" si="79"/>
        <v>3.3583509509999998</v>
      </c>
      <c r="U345" s="43">
        <f t="shared" si="80"/>
        <v>8.3382903430000006</v>
      </c>
      <c r="V345" s="43">
        <f t="shared" si="81"/>
        <v>4.6984449999999999E-3</v>
      </c>
      <c r="W345" s="230">
        <f t="shared" si="82"/>
        <v>6.2190329745429693E-2</v>
      </c>
      <c r="X345" s="43">
        <f t="shared" si="83"/>
        <v>0.85195626199999996</v>
      </c>
      <c r="Y345" s="43">
        <v>68.465254150000007</v>
      </c>
      <c r="Z345" s="43">
        <f t="shared" si="72"/>
        <v>0</v>
      </c>
      <c r="AA345" s="43">
        <f t="shared" si="73"/>
        <v>478718</v>
      </c>
      <c r="AB345" s="43">
        <f t="shared" si="74"/>
        <v>186107</v>
      </c>
      <c r="AC345" s="43">
        <f t="shared" si="84"/>
        <v>7.5967312731255288E-2</v>
      </c>
      <c r="AD345" s="43">
        <f t="shared" si="85"/>
        <v>0.80847972010000058</v>
      </c>
      <c r="AF345" s="43">
        <v>13.8906241340476</v>
      </c>
      <c r="AG345" s="43">
        <v>4.0124014999999999E-2</v>
      </c>
      <c r="AH345" s="43">
        <v>1.2375662000000001E-2</v>
      </c>
      <c r="AI345" s="43">
        <v>0.88086810500000001</v>
      </c>
      <c r="AJ345" s="43">
        <v>3.3583509509999998</v>
      </c>
      <c r="AK345" s="43">
        <v>8.3382903430000006</v>
      </c>
      <c r="AL345" s="43">
        <v>4.6984449999999999E-3</v>
      </c>
      <c r="AM345" s="230">
        <v>6.2190329745429693E-2</v>
      </c>
      <c r="AN345" s="43">
        <v>0.85195626199999996</v>
      </c>
    </row>
    <row r="346" spans="1:40" x14ac:dyDescent="0.25">
      <c r="A346" s="134">
        <v>336</v>
      </c>
      <c r="B346" s="134" t="s">
        <v>209</v>
      </c>
      <c r="C346" s="134" t="s">
        <v>210</v>
      </c>
      <c r="D346" s="134" t="s">
        <v>211</v>
      </c>
      <c r="E346" s="134">
        <v>378</v>
      </c>
      <c r="F346" s="134">
        <v>916</v>
      </c>
      <c r="G346" s="134">
        <v>172</v>
      </c>
      <c r="H346" s="134">
        <v>125</v>
      </c>
      <c r="I346" s="200">
        <v>0.27475720942300003</v>
      </c>
      <c r="J346" s="134">
        <v>1041</v>
      </c>
      <c r="K346" s="134">
        <v>3788.7995812300001</v>
      </c>
      <c r="L346" s="42">
        <v>0.91775430587100004</v>
      </c>
      <c r="M346" s="42">
        <v>0.24850894632199999</v>
      </c>
      <c r="N346" s="134">
        <v>1</v>
      </c>
      <c r="O346" s="43" t="s">
        <v>666</v>
      </c>
      <c r="P346" s="43">
        <f t="shared" si="75"/>
        <v>13.329618741120616</v>
      </c>
      <c r="Q346" s="43">
        <f t="shared" si="76"/>
        <v>3.9155011000000003E-2</v>
      </c>
      <c r="R346" s="43">
        <f t="shared" si="77"/>
        <v>1.2274375000000001E-2</v>
      </c>
      <c r="S346" s="43">
        <f t="shared" si="78"/>
        <v>0.91775430599999996</v>
      </c>
      <c r="T346" s="43">
        <f t="shared" si="79"/>
        <v>3.9662741970000002</v>
      </c>
      <c r="U346" s="43">
        <f t="shared" si="80"/>
        <v>9.8456719209999992</v>
      </c>
      <c r="V346" s="43">
        <f t="shared" si="81"/>
        <v>5.2154480000000001E-3</v>
      </c>
      <c r="W346" s="230">
        <f t="shared" si="82"/>
        <v>0.1056394245267957</v>
      </c>
      <c r="X346" s="43">
        <f t="shared" si="83"/>
        <v>0.87087332100000003</v>
      </c>
      <c r="Y346" s="43">
        <v>69.041968819999994</v>
      </c>
      <c r="Z346" s="43">
        <f t="shared" si="72"/>
        <v>0</v>
      </c>
      <c r="AA346" s="43">
        <f t="shared" si="73"/>
        <v>478718</v>
      </c>
      <c r="AB346" s="43">
        <f t="shared" si="74"/>
        <v>186107</v>
      </c>
      <c r="AC346" s="43">
        <f t="shared" si="84"/>
        <v>7.5967312731255288E-2</v>
      </c>
      <c r="AD346" s="43">
        <f t="shared" si="85"/>
        <v>0.80847972010000058</v>
      </c>
      <c r="AF346" s="43">
        <v>13.329618741120616</v>
      </c>
      <c r="AG346" s="43">
        <v>3.9155011000000003E-2</v>
      </c>
      <c r="AH346" s="43">
        <v>1.2274375000000001E-2</v>
      </c>
      <c r="AI346" s="43">
        <v>0.91775430599999996</v>
      </c>
      <c r="AJ346" s="43">
        <v>3.9662741970000002</v>
      </c>
      <c r="AK346" s="43">
        <v>9.8456719209999992</v>
      </c>
      <c r="AL346" s="43">
        <v>5.2154480000000001E-3</v>
      </c>
      <c r="AM346" s="230">
        <v>0.1056394245267957</v>
      </c>
      <c r="AN346" s="43">
        <v>0.87087332100000003</v>
      </c>
    </row>
    <row r="347" spans="1:40" x14ac:dyDescent="0.25">
      <c r="A347" s="134">
        <v>337</v>
      </c>
      <c r="B347" s="134" t="s">
        <v>209</v>
      </c>
      <c r="C347" s="134" t="s">
        <v>210</v>
      </c>
      <c r="D347" s="134" t="s">
        <v>211</v>
      </c>
      <c r="E347" s="134">
        <v>2335</v>
      </c>
      <c r="F347" s="134">
        <v>5480</v>
      </c>
      <c r="G347" s="134">
        <v>1007</v>
      </c>
      <c r="H347" s="134">
        <v>485</v>
      </c>
      <c r="I347" s="200">
        <v>1.5828802578600001</v>
      </c>
      <c r="J347" s="134">
        <v>5965</v>
      </c>
      <c r="K347" s="134">
        <v>3768.44677314</v>
      </c>
      <c r="L347" s="42">
        <v>0.89075550937600001</v>
      </c>
      <c r="M347" s="42">
        <v>0.171985815603</v>
      </c>
      <c r="N347" s="134">
        <v>0</v>
      </c>
      <c r="O347" s="43" t="s">
        <v>665</v>
      </c>
      <c r="P347" s="43">
        <f t="shared" si="75"/>
        <v>13.224132802287569</v>
      </c>
      <c r="Q347" s="43">
        <f t="shared" si="76"/>
        <v>4.1487915E-2</v>
      </c>
      <c r="R347" s="43">
        <f t="shared" si="77"/>
        <v>1.5074047E-2</v>
      </c>
      <c r="S347" s="43">
        <f t="shared" si="78"/>
        <v>0.890755509</v>
      </c>
      <c r="T347" s="43">
        <f t="shared" si="79"/>
        <v>3.7965570789999998</v>
      </c>
      <c r="U347" s="43">
        <f t="shared" si="80"/>
        <v>9.7074558759999992</v>
      </c>
      <c r="V347" s="43">
        <f t="shared" si="81"/>
        <v>4.1683700000000002E-3</v>
      </c>
      <c r="W347" s="230">
        <f t="shared" si="82"/>
        <v>0.11306516919643257</v>
      </c>
      <c r="X347" s="43">
        <f t="shared" si="83"/>
        <v>0.87468632800000001</v>
      </c>
      <c r="Y347" s="43">
        <v>39.152410969999998</v>
      </c>
      <c r="Z347" s="43">
        <f t="shared" si="72"/>
        <v>0</v>
      </c>
      <c r="AA347" s="43">
        <f t="shared" si="73"/>
        <v>478718</v>
      </c>
      <c r="AB347" s="43">
        <f t="shared" si="74"/>
        <v>186107</v>
      </c>
      <c r="AC347" s="43">
        <f t="shared" si="84"/>
        <v>7.5967312731255288E-2</v>
      </c>
      <c r="AD347" s="43">
        <f t="shared" si="85"/>
        <v>0.80847972010000058</v>
      </c>
      <c r="AF347" s="43">
        <v>13.224132802287569</v>
      </c>
      <c r="AG347" s="43">
        <v>4.1487915E-2</v>
      </c>
      <c r="AH347" s="43">
        <v>1.5074047E-2</v>
      </c>
      <c r="AI347" s="43">
        <v>0.890755509</v>
      </c>
      <c r="AJ347" s="43">
        <v>3.7965570789999998</v>
      </c>
      <c r="AK347" s="43">
        <v>9.7074558759999992</v>
      </c>
      <c r="AL347" s="43">
        <v>4.1683700000000002E-3</v>
      </c>
      <c r="AM347" s="230">
        <v>0.11306516919643257</v>
      </c>
      <c r="AN347" s="43">
        <v>0.87468632800000001</v>
      </c>
    </row>
    <row r="348" spans="1:40" x14ac:dyDescent="0.25">
      <c r="A348" s="134">
        <v>338</v>
      </c>
      <c r="B348" s="134" t="s">
        <v>209</v>
      </c>
      <c r="C348" s="134" t="s">
        <v>210</v>
      </c>
      <c r="D348" s="134" t="s">
        <v>211</v>
      </c>
      <c r="E348" s="134">
        <v>1185</v>
      </c>
      <c r="F348" s="134">
        <v>2824</v>
      </c>
      <c r="G348" s="134">
        <v>361</v>
      </c>
      <c r="H348" s="134">
        <v>2472</v>
      </c>
      <c r="I348" s="200">
        <v>0.56289652035299997</v>
      </c>
      <c r="J348" s="134">
        <v>5296</v>
      </c>
      <c r="K348" s="134">
        <v>9408.4788384900003</v>
      </c>
      <c r="L348" s="42">
        <v>0.90392212430200003</v>
      </c>
      <c r="M348" s="42">
        <v>0.67596390484000002</v>
      </c>
      <c r="N348" s="134">
        <v>0</v>
      </c>
      <c r="O348" s="43" t="s">
        <v>666</v>
      </c>
      <c r="P348" s="43">
        <f t="shared" si="75"/>
        <v>14.725796370818703</v>
      </c>
      <c r="Q348" s="43">
        <f t="shared" si="76"/>
        <v>2.2861532E-2</v>
      </c>
      <c r="R348" s="43">
        <f t="shared" si="77"/>
        <v>1.0239537E-2</v>
      </c>
      <c r="S348" s="43">
        <f t="shared" si="78"/>
        <v>0.90392212400000005</v>
      </c>
      <c r="T348" s="43">
        <f t="shared" si="79"/>
        <v>3.8683104730000002</v>
      </c>
      <c r="U348" s="43">
        <f t="shared" si="80"/>
        <v>10.20028746</v>
      </c>
      <c r="V348" s="43">
        <f t="shared" si="81"/>
        <v>8.6854689999999995E-3</v>
      </c>
      <c r="W348" s="230">
        <f t="shared" si="82"/>
        <v>4.934954706011864E-2</v>
      </c>
      <c r="X348" s="43">
        <f t="shared" si="83"/>
        <v>0.92647664100000005</v>
      </c>
      <c r="Y348" s="43">
        <v>72.168140309999998</v>
      </c>
      <c r="Z348" s="43">
        <f t="shared" si="72"/>
        <v>0</v>
      </c>
      <c r="AA348" s="43">
        <f t="shared" si="73"/>
        <v>478718</v>
      </c>
      <c r="AB348" s="43">
        <f t="shared" si="74"/>
        <v>186107</v>
      </c>
      <c r="AC348" s="43">
        <f t="shared" si="84"/>
        <v>7.5967312731255288E-2</v>
      </c>
      <c r="AD348" s="43">
        <f t="shared" si="85"/>
        <v>0.80847972010000058</v>
      </c>
      <c r="AF348" s="43">
        <v>14.725796370818703</v>
      </c>
      <c r="AG348" s="43">
        <v>2.2861532E-2</v>
      </c>
      <c r="AH348" s="43">
        <v>1.0239537E-2</v>
      </c>
      <c r="AI348" s="43">
        <v>0.90392212400000005</v>
      </c>
      <c r="AJ348" s="43">
        <v>3.8683104730000002</v>
      </c>
      <c r="AK348" s="43">
        <v>10.20028746</v>
      </c>
      <c r="AL348" s="43">
        <v>8.6854689999999995E-3</v>
      </c>
      <c r="AM348" s="230">
        <v>4.934954706011864E-2</v>
      </c>
      <c r="AN348" s="43">
        <v>0.92647664100000005</v>
      </c>
    </row>
    <row r="349" spans="1:40" x14ac:dyDescent="0.25">
      <c r="A349" s="134">
        <v>339</v>
      </c>
      <c r="B349" s="134" t="s">
        <v>209</v>
      </c>
      <c r="C349" s="134" t="s">
        <v>210</v>
      </c>
      <c r="D349" s="134" t="s">
        <v>211</v>
      </c>
      <c r="E349" s="134">
        <v>1271</v>
      </c>
      <c r="F349" s="134">
        <v>3029</v>
      </c>
      <c r="G349" s="134">
        <v>403</v>
      </c>
      <c r="H349" s="134">
        <v>313</v>
      </c>
      <c r="I349" s="200">
        <v>0.62873288145399997</v>
      </c>
      <c r="J349" s="134">
        <v>3342</v>
      </c>
      <c r="K349" s="134">
        <v>5315.4528712900001</v>
      </c>
      <c r="L349" s="42">
        <v>0.93250530871799997</v>
      </c>
      <c r="M349" s="42">
        <v>0.19760101010100001</v>
      </c>
      <c r="N349" s="134">
        <v>0</v>
      </c>
      <c r="O349" s="43" t="s">
        <v>666</v>
      </c>
      <c r="P349" s="43">
        <f t="shared" si="75"/>
        <v>14.495844812985819</v>
      </c>
      <c r="Q349" s="43">
        <f t="shared" si="76"/>
        <v>1.4976096E-2</v>
      </c>
      <c r="R349" s="43">
        <f t="shared" si="77"/>
        <v>1.0048852E-2</v>
      </c>
      <c r="S349" s="43">
        <f t="shared" si="78"/>
        <v>0.93250530899999995</v>
      </c>
      <c r="T349" s="43">
        <f t="shared" si="79"/>
        <v>4.65106383</v>
      </c>
      <c r="U349" s="43">
        <f t="shared" si="80"/>
        <v>11.290816919999999</v>
      </c>
      <c r="V349" s="43">
        <f t="shared" si="81"/>
        <v>4.4078379999999999E-3</v>
      </c>
      <c r="W349" s="230">
        <f t="shared" si="82"/>
        <v>4.6410431199290648E-2</v>
      </c>
      <c r="X349" s="43">
        <f t="shared" si="83"/>
        <v>0.94110411199999999</v>
      </c>
      <c r="Y349" s="43">
        <v>88.311273170000007</v>
      </c>
      <c r="Z349" s="43">
        <f t="shared" si="72"/>
        <v>0</v>
      </c>
      <c r="AA349" s="43">
        <f t="shared" si="73"/>
        <v>478718</v>
      </c>
      <c r="AB349" s="43">
        <f t="shared" si="74"/>
        <v>186107</v>
      </c>
      <c r="AC349" s="43">
        <f t="shared" si="84"/>
        <v>7.5967312731255288E-2</v>
      </c>
      <c r="AD349" s="43">
        <f t="shared" si="85"/>
        <v>0.80847972010000058</v>
      </c>
      <c r="AF349" s="43">
        <v>14.495844812985819</v>
      </c>
      <c r="AG349" s="43">
        <v>1.4976096E-2</v>
      </c>
      <c r="AH349" s="43">
        <v>1.0048852E-2</v>
      </c>
      <c r="AI349" s="43">
        <v>0.93250530899999995</v>
      </c>
      <c r="AJ349" s="43">
        <v>4.65106383</v>
      </c>
      <c r="AK349" s="43">
        <v>11.290816919999999</v>
      </c>
      <c r="AL349" s="43">
        <v>4.4078379999999999E-3</v>
      </c>
      <c r="AM349" s="230">
        <v>4.6410431199290648E-2</v>
      </c>
      <c r="AN349" s="43">
        <v>0.94110411199999999</v>
      </c>
    </row>
    <row r="350" spans="1:40" x14ac:dyDescent="0.25">
      <c r="A350" s="134">
        <v>340</v>
      </c>
      <c r="B350" s="134" t="s">
        <v>209</v>
      </c>
      <c r="C350" s="134" t="s">
        <v>210</v>
      </c>
      <c r="D350" s="134" t="s">
        <v>211</v>
      </c>
      <c r="E350" s="134">
        <v>1545</v>
      </c>
      <c r="F350" s="134">
        <v>3762</v>
      </c>
      <c r="G350" s="134">
        <v>584</v>
      </c>
      <c r="H350" s="134">
        <v>445</v>
      </c>
      <c r="I350" s="200">
        <v>0.90296148089600003</v>
      </c>
      <c r="J350" s="134">
        <v>4207</v>
      </c>
      <c r="K350" s="134">
        <v>4659.1134716300003</v>
      </c>
      <c r="L350" s="42">
        <v>0.90367881609099998</v>
      </c>
      <c r="M350" s="42">
        <v>0.22361809045200001</v>
      </c>
      <c r="N350" s="134">
        <v>0</v>
      </c>
      <c r="O350" s="43" t="s">
        <v>665</v>
      </c>
      <c r="P350" s="43">
        <f t="shared" si="75"/>
        <v>13.998998923536753</v>
      </c>
      <c r="Q350" s="43">
        <f t="shared" si="76"/>
        <v>4.0962110000000003E-2</v>
      </c>
      <c r="R350" s="43">
        <f t="shared" si="77"/>
        <v>1.0293060999999999E-2</v>
      </c>
      <c r="S350" s="43">
        <f t="shared" si="78"/>
        <v>0.903678816</v>
      </c>
      <c r="T350" s="43">
        <f t="shared" si="79"/>
        <v>4.1883095130000001</v>
      </c>
      <c r="U350" s="43">
        <f t="shared" si="80"/>
        <v>10.25114911</v>
      </c>
      <c r="V350" s="43">
        <f t="shared" si="81"/>
        <v>4.0082310000000001E-3</v>
      </c>
      <c r="W350" s="230">
        <f t="shared" si="82"/>
        <v>9.5986594117810964E-2</v>
      </c>
      <c r="X350" s="43">
        <f t="shared" si="83"/>
        <v>0.89128020600000002</v>
      </c>
      <c r="Y350" s="43">
        <v>76.035627450000007</v>
      </c>
      <c r="Z350" s="43">
        <f t="shared" si="72"/>
        <v>0</v>
      </c>
      <c r="AA350" s="43">
        <f t="shared" si="73"/>
        <v>478718</v>
      </c>
      <c r="AB350" s="43">
        <f t="shared" si="74"/>
        <v>186107</v>
      </c>
      <c r="AC350" s="43">
        <f t="shared" si="84"/>
        <v>7.5967312731255288E-2</v>
      </c>
      <c r="AD350" s="43">
        <f t="shared" si="85"/>
        <v>0.80847972010000058</v>
      </c>
      <c r="AF350" s="43">
        <v>13.998998923536753</v>
      </c>
      <c r="AG350" s="43">
        <v>4.0962110000000003E-2</v>
      </c>
      <c r="AH350" s="43">
        <v>1.0293060999999999E-2</v>
      </c>
      <c r="AI350" s="43">
        <v>0.903678816</v>
      </c>
      <c r="AJ350" s="43">
        <v>4.1883095130000001</v>
      </c>
      <c r="AK350" s="43">
        <v>10.25114911</v>
      </c>
      <c r="AL350" s="43">
        <v>4.0082310000000001E-3</v>
      </c>
      <c r="AM350" s="230">
        <v>9.5986594117810964E-2</v>
      </c>
      <c r="AN350" s="43">
        <v>0.89128020600000002</v>
      </c>
    </row>
    <row r="351" spans="1:40" x14ac:dyDescent="0.25">
      <c r="A351" s="134">
        <v>341</v>
      </c>
      <c r="B351" s="134" t="s">
        <v>209</v>
      </c>
      <c r="C351" s="134" t="s">
        <v>210</v>
      </c>
      <c r="D351" s="134" t="s">
        <v>211</v>
      </c>
      <c r="E351" s="134">
        <v>281</v>
      </c>
      <c r="F351" s="134">
        <v>683</v>
      </c>
      <c r="G351" s="134">
        <v>631</v>
      </c>
      <c r="H351" s="134">
        <v>628</v>
      </c>
      <c r="I351" s="200">
        <v>0.975465061104</v>
      </c>
      <c r="J351" s="134">
        <v>1311</v>
      </c>
      <c r="K351" s="134">
        <v>1343.97432802</v>
      </c>
      <c r="L351" s="42">
        <v>0.92784348918600001</v>
      </c>
      <c r="M351" s="42">
        <v>0.69086908690899995</v>
      </c>
      <c r="N351" s="134">
        <v>0</v>
      </c>
      <c r="O351" s="43" t="s">
        <v>665</v>
      </c>
      <c r="P351" s="43">
        <f t="shared" si="75"/>
        <v>14.571901261044601</v>
      </c>
      <c r="Q351" s="43">
        <f t="shared" si="76"/>
        <v>2.6976577000000002E-2</v>
      </c>
      <c r="R351" s="43">
        <f t="shared" si="77"/>
        <v>9.9721800000000006E-3</v>
      </c>
      <c r="S351" s="43">
        <f t="shared" si="78"/>
        <v>0.92784348900000002</v>
      </c>
      <c r="T351" s="43">
        <f t="shared" si="79"/>
        <v>4.2861001080000003</v>
      </c>
      <c r="U351" s="43">
        <f t="shared" si="80"/>
        <v>10.31739814</v>
      </c>
      <c r="V351" s="43">
        <f t="shared" si="81"/>
        <v>5.5307359999999996E-3</v>
      </c>
      <c r="W351" s="230">
        <f t="shared" si="82"/>
        <v>4.9227130468022066E-2</v>
      </c>
      <c r="X351" s="43">
        <f t="shared" si="83"/>
        <v>0.92941443499999998</v>
      </c>
      <c r="Y351" s="43">
        <v>50.900359829999999</v>
      </c>
      <c r="Z351" s="43">
        <f t="shared" si="72"/>
        <v>0</v>
      </c>
      <c r="AA351" s="43">
        <f t="shared" si="73"/>
        <v>478718</v>
      </c>
      <c r="AB351" s="43">
        <f t="shared" si="74"/>
        <v>186107</v>
      </c>
      <c r="AC351" s="43">
        <f t="shared" si="84"/>
        <v>7.5967312731255288E-2</v>
      </c>
      <c r="AD351" s="43">
        <f t="shared" si="85"/>
        <v>0.80847972010000058</v>
      </c>
      <c r="AF351" s="43">
        <v>14.571901261044601</v>
      </c>
      <c r="AG351" s="43">
        <v>2.6976577000000002E-2</v>
      </c>
      <c r="AH351" s="43">
        <v>9.9721800000000006E-3</v>
      </c>
      <c r="AI351" s="43">
        <v>0.92784348900000002</v>
      </c>
      <c r="AJ351" s="43">
        <v>4.2861001080000003</v>
      </c>
      <c r="AK351" s="43">
        <v>10.31739814</v>
      </c>
      <c r="AL351" s="43">
        <v>5.5307359999999996E-3</v>
      </c>
      <c r="AM351" s="230">
        <v>4.9227130468022066E-2</v>
      </c>
      <c r="AN351" s="43">
        <v>0.92941443499999998</v>
      </c>
    </row>
    <row r="352" spans="1:40" x14ac:dyDescent="0.25">
      <c r="A352" s="134">
        <v>342</v>
      </c>
      <c r="B352" s="134" t="s">
        <v>209</v>
      </c>
      <c r="C352" s="134" t="s">
        <v>210</v>
      </c>
      <c r="D352" s="134" t="s">
        <v>211</v>
      </c>
      <c r="E352" s="134">
        <v>1029</v>
      </c>
      <c r="F352" s="134">
        <v>2805</v>
      </c>
      <c r="G352" s="134">
        <v>463</v>
      </c>
      <c r="H352" s="134">
        <v>975</v>
      </c>
      <c r="I352" s="200">
        <v>0.72431557832299998</v>
      </c>
      <c r="J352" s="134">
        <v>3780</v>
      </c>
      <c r="K352" s="134">
        <v>5218.7197309100002</v>
      </c>
      <c r="L352" s="42">
        <v>0.90391668936500003</v>
      </c>
      <c r="M352" s="42">
        <v>0.48652694610800001</v>
      </c>
      <c r="N352" s="134">
        <v>0</v>
      </c>
      <c r="O352" s="43" t="s">
        <v>666</v>
      </c>
      <c r="P352" s="43">
        <f t="shared" si="75"/>
        <v>13.819019005724989</v>
      </c>
      <c r="Q352" s="43">
        <f t="shared" si="76"/>
        <v>4.8796645E-2</v>
      </c>
      <c r="R352" s="43">
        <f t="shared" si="77"/>
        <v>1.0124263E-2</v>
      </c>
      <c r="S352" s="43">
        <f t="shared" si="78"/>
        <v>0.903916689</v>
      </c>
      <c r="T352" s="43">
        <f t="shared" si="79"/>
        <v>4.2163376980000002</v>
      </c>
      <c r="U352" s="43">
        <f t="shared" si="80"/>
        <v>10.25902108</v>
      </c>
      <c r="V352" s="43">
        <f t="shared" si="81"/>
        <v>6.786907E-3</v>
      </c>
      <c r="W352" s="230">
        <f t="shared" si="82"/>
        <v>7.9396271993941642E-2</v>
      </c>
      <c r="X352" s="43">
        <f t="shared" si="83"/>
        <v>0.90397676299999996</v>
      </c>
      <c r="Y352" s="43">
        <v>53.622935740000003</v>
      </c>
      <c r="Z352" s="43">
        <f t="shared" si="72"/>
        <v>0</v>
      </c>
      <c r="AA352" s="43">
        <f t="shared" si="73"/>
        <v>478718</v>
      </c>
      <c r="AB352" s="43">
        <f t="shared" si="74"/>
        <v>186107</v>
      </c>
      <c r="AC352" s="43">
        <f t="shared" si="84"/>
        <v>7.5967312731255288E-2</v>
      </c>
      <c r="AD352" s="43">
        <f t="shared" si="85"/>
        <v>0.80847972010000058</v>
      </c>
      <c r="AF352" s="43">
        <v>13.819019005724989</v>
      </c>
      <c r="AG352" s="43">
        <v>4.8796645E-2</v>
      </c>
      <c r="AH352" s="43">
        <v>1.0124263E-2</v>
      </c>
      <c r="AI352" s="43">
        <v>0.903916689</v>
      </c>
      <c r="AJ352" s="43">
        <v>4.2163376980000002</v>
      </c>
      <c r="AK352" s="43">
        <v>10.25902108</v>
      </c>
      <c r="AL352" s="43">
        <v>6.786907E-3</v>
      </c>
      <c r="AM352" s="230">
        <v>7.9396271993941642E-2</v>
      </c>
      <c r="AN352" s="43">
        <v>0.90397676299999996</v>
      </c>
    </row>
    <row r="353" spans="1:40" x14ac:dyDescent="0.25">
      <c r="A353" s="134">
        <v>343</v>
      </c>
      <c r="B353" s="134" t="s">
        <v>209</v>
      </c>
      <c r="C353" s="134" t="s">
        <v>210</v>
      </c>
      <c r="D353" s="134" t="s">
        <v>211</v>
      </c>
      <c r="E353" s="134">
        <v>875</v>
      </c>
      <c r="F353" s="134">
        <v>2007</v>
      </c>
      <c r="G353" s="134">
        <v>237</v>
      </c>
      <c r="H353" s="134">
        <v>393</v>
      </c>
      <c r="I353" s="200">
        <v>0.36949682798200001</v>
      </c>
      <c r="J353" s="134">
        <v>2400</v>
      </c>
      <c r="K353" s="134">
        <v>6495.3196299700003</v>
      </c>
      <c r="L353" s="42">
        <v>0.87388881872799995</v>
      </c>
      <c r="M353" s="42">
        <v>0.30993690851700001</v>
      </c>
      <c r="N353" s="134">
        <v>0</v>
      </c>
      <c r="O353" s="43" t="s">
        <v>666</v>
      </c>
      <c r="P353" s="43">
        <f t="shared" si="75"/>
        <v>12.480897317770577</v>
      </c>
      <c r="Q353" s="43">
        <f t="shared" si="76"/>
        <v>4.9036458999999998E-2</v>
      </c>
      <c r="R353" s="43">
        <f t="shared" si="77"/>
        <v>1.3440129E-2</v>
      </c>
      <c r="S353" s="43">
        <f t="shared" si="78"/>
        <v>0.87388881900000004</v>
      </c>
      <c r="T353" s="43">
        <f t="shared" si="79"/>
        <v>3.6088134510000001</v>
      </c>
      <c r="U353" s="43">
        <f t="shared" si="80"/>
        <v>8.8314187069999992</v>
      </c>
      <c r="V353" s="43">
        <f t="shared" si="81"/>
        <v>7.2572019999999999E-3</v>
      </c>
      <c r="W353" s="230">
        <f t="shared" si="82"/>
        <v>9.7409355772838935E-2</v>
      </c>
      <c r="X353" s="43">
        <f t="shared" si="83"/>
        <v>0.87101296399999995</v>
      </c>
      <c r="Y353" s="43">
        <v>74.896568930000001</v>
      </c>
      <c r="Z353" s="43">
        <f t="shared" si="72"/>
        <v>0</v>
      </c>
      <c r="AA353" s="43">
        <f t="shared" si="73"/>
        <v>478718</v>
      </c>
      <c r="AB353" s="43">
        <f t="shared" si="74"/>
        <v>186107</v>
      </c>
      <c r="AC353" s="43">
        <f t="shared" si="84"/>
        <v>7.5967312731255288E-2</v>
      </c>
      <c r="AD353" s="43">
        <f t="shared" si="85"/>
        <v>0.80847972010000058</v>
      </c>
      <c r="AF353" s="43">
        <v>12.480897317770577</v>
      </c>
      <c r="AG353" s="43">
        <v>4.9036458999999998E-2</v>
      </c>
      <c r="AH353" s="43">
        <v>1.3440129E-2</v>
      </c>
      <c r="AI353" s="43">
        <v>0.87388881900000004</v>
      </c>
      <c r="AJ353" s="43">
        <v>3.6088134510000001</v>
      </c>
      <c r="AK353" s="43">
        <v>8.8314187069999992</v>
      </c>
      <c r="AL353" s="43">
        <v>7.2572019999999999E-3</v>
      </c>
      <c r="AM353" s="230">
        <v>9.7409355772838935E-2</v>
      </c>
      <c r="AN353" s="43">
        <v>0.87101296399999995</v>
      </c>
    </row>
    <row r="354" spans="1:40" x14ac:dyDescent="0.25">
      <c r="A354" s="134">
        <v>344</v>
      </c>
      <c r="B354" s="134" t="s">
        <v>209</v>
      </c>
      <c r="C354" s="134" t="s">
        <v>210</v>
      </c>
      <c r="D354" s="134" t="s">
        <v>211</v>
      </c>
      <c r="E354" s="134">
        <v>1394</v>
      </c>
      <c r="F354" s="134">
        <v>3195</v>
      </c>
      <c r="G354" s="134">
        <v>180</v>
      </c>
      <c r="H354" s="134">
        <v>834</v>
      </c>
      <c r="I354" s="200">
        <v>0.28004330225700003</v>
      </c>
      <c r="J354" s="134">
        <v>4029</v>
      </c>
      <c r="K354" s="134">
        <v>14387.060742199999</v>
      </c>
      <c r="L354" s="42">
        <v>0.84619977582600003</v>
      </c>
      <c r="M354" s="42">
        <v>0.37432675044899999</v>
      </c>
      <c r="N354" s="134">
        <v>0</v>
      </c>
      <c r="O354" s="43" t="s">
        <v>664</v>
      </c>
      <c r="P354" s="43">
        <f t="shared" si="75"/>
        <v>11.936728632104101</v>
      </c>
      <c r="Q354" s="43">
        <f t="shared" si="76"/>
        <v>5.8645015000000002E-2</v>
      </c>
      <c r="R354" s="43">
        <f t="shared" si="77"/>
        <v>1.4226101E-2</v>
      </c>
      <c r="S354" s="43">
        <f t="shared" si="78"/>
        <v>0.84619977599999996</v>
      </c>
      <c r="T354" s="43">
        <f t="shared" si="79"/>
        <v>3.3490027160000002</v>
      </c>
      <c r="U354" s="43">
        <f t="shared" si="80"/>
        <v>8.2425386750000005</v>
      </c>
      <c r="V354" s="43">
        <f t="shared" si="81"/>
        <v>9.7234820000000003E-3</v>
      </c>
      <c r="W354" s="230">
        <f t="shared" si="82"/>
        <v>0.11636019312969258</v>
      </c>
      <c r="X354" s="43">
        <f t="shared" si="83"/>
        <v>0.83458468600000002</v>
      </c>
      <c r="Y354" s="43">
        <v>113.931451</v>
      </c>
      <c r="Z354" s="43">
        <f t="shared" si="72"/>
        <v>0</v>
      </c>
      <c r="AA354" s="43">
        <f t="shared" si="73"/>
        <v>478718</v>
      </c>
      <c r="AB354" s="43">
        <f t="shared" si="74"/>
        <v>186107</v>
      </c>
      <c r="AC354" s="43">
        <f t="shared" si="84"/>
        <v>7.5967312731255288E-2</v>
      </c>
      <c r="AD354" s="43">
        <f t="shared" si="85"/>
        <v>0.80847972010000058</v>
      </c>
      <c r="AF354" s="43">
        <v>11.936728632104101</v>
      </c>
      <c r="AG354" s="43">
        <v>5.8645015000000002E-2</v>
      </c>
      <c r="AH354" s="43">
        <v>1.4226101E-2</v>
      </c>
      <c r="AI354" s="43">
        <v>0.84619977599999996</v>
      </c>
      <c r="AJ354" s="43">
        <v>3.3490027160000002</v>
      </c>
      <c r="AK354" s="43">
        <v>8.2425386750000005</v>
      </c>
      <c r="AL354" s="43">
        <v>9.7234820000000003E-3</v>
      </c>
      <c r="AM354" s="230">
        <v>0.11636019312969258</v>
      </c>
      <c r="AN354" s="43">
        <v>0.83458468600000002</v>
      </c>
    </row>
    <row r="355" spans="1:40" x14ac:dyDescent="0.25">
      <c r="A355" s="134">
        <v>345</v>
      </c>
      <c r="B355" s="134" t="s">
        <v>209</v>
      </c>
      <c r="C355" s="134" t="s">
        <v>210</v>
      </c>
      <c r="D355" s="134" t="s">
        <v>211</v>
      </c>
      <c r="E355" s="134">
        <v>812</v>
      </c>
      <c r="F355" s="134">
        <v>2047</v>
      </c>
      <c r="G355" s="134">
        <v>107</v>
      </c>
      <c r="H355" s="134">
        <v>194</v>
      </c>
      <c r="I355" s="200">
        <v>0.15955574454800001</v>
      </c>
      <c r="J355" s="134">
        <v>2241</v>
      </c>
      <c r="K355" s="134">
        <v>14045.2479874</v>
      </c>
      <c r="L355" s="42">
        <v>0.84562744696900005</v>
      </c>
      <c r="M355" s="42">
        <v>0.192842942346</v>
      </c>
      <c r="N355" s="134">
        <v>0</v>
      </c>
      <c r="O355" s="43" t="s">
        <v>664</v>
      </c>
      <c r="P355" s="43">
        <f t="shared" si="75"/>
        <v>11.915618548907421</v>
      </c>
      <c r="Q355" s="43">
        <f t="shared" si="76"/>
        <v>6.5261239999999998E-2</v>
      </c>
      <c r="R355" s="43">
        <f t="shared" si="77"/>
        <v>1.4395197E-2</v>
      </c>
      <c r="S355" s="43">
        <f t="shared" si="78"/>
        <v>0.84562744700000003</v>
      </c>
      <c r="T355" s="43">
        <f t="shared" si="79"/>
        <v>3.314569536</v>
      </c>
      <c r="U355" s="43">
        <f t="shared" si="80"/>
        <v>8.0804091029999991</v>
      </c>
      <c r="V355" s="43">
        <f t="shared" si="81"/>
        <v>7.1059720000000003E-3</v>
      </c>
      <c r="W355" s="230">
        <f t="shared" si="82"/>
        <v>0.13907921843378193</v>
      </c>
      <c r="X355" s="43">
        <f t="shared" si="83"/>
        <v>0.828177041</v>
      </c>
      <c r="Y355" s="43">
        <v>170.43162799999999</v>
      </c>
      <c r="Z355" s="43">
        <f t="shared" si="72"/>
        <v>0</v>
      </c>
      <c r="AA355" s="43">
        <f t="shared" si="73"/>
        <v>478718</v>
      </c>
      <c r="AB355" s="43">
        <f t="shared" si="74"/>
        <v>186107</v>
      </c>
      <c r="AC355" s="43">
        <f t="shared" si="84"/>
        <v>7.5967312731255288E-2</v>
      </c>
      <c r="AD355" s="43">
        <f t="shared" si="85"/>
        <v>0.80847972010000058</v>
      </c>
      <c r="AF355" s="43">
        <v>11.915618548907421</v>
      </c>
      <c r="AG355" s="43">
        <v>6.5261239999999998E-2</v>
      </c>
      <c r="AH355" s="43">
        <v>1.4395197E-2</v>
      </c>
      <c r="AI355" s="43">
        <v>0.84562744700000003</v>
      </c>
      <c r="AJ355" s="43">
        <v>3.314569536</v>
      </c>
      <c r="AK355" s="43">
        <v>8.0804091029999991</v>
      </c>
      <c r="AL355" s="43">
        <v>7.1059720000000003E-3</v>
      </c>
      <c r="AM355" s="230">
        <v>0.13907921843378193</v>
      </c>
      <c r="AN355" s="43">
        <v>0.828177041</v>
      </c>
    </row>
    <row r="356" spans="1:40" x14ac:dyDescent="0.25">
      <c r="A356" s="134">
        <v>346</v>
      </c>
      <c r="B356" s="134" t="s">
        <v>209</v>
      </c>
      <c r="C356" s="134" t="s">
        <v>210</v>
      </c>
      <c r="D356" s="134" t="s">
        <v>211</v>
      </c>
      <c r="E356" s="134">
        <v>588</v>
      </c>
      <c r="F356" s="134">
        <v>1481</v>
      </c>
      <c r="G356" s="134">
        <v>128</v>
      </c>
      <c r="H356" s="134">
        <v>288</v>
      </c>
      <c r="I356" s="200">
        <v>0.192686622601</v>
      </c>
      <c r="J356" s="134">
        <v>1769</v>
      </c>
      <c r="K356" s="134">
        <v>9180.7099845400007</v>
      </c>
      <c r="L356" s="42">
        <v>0.85958054164099995</v>
      </c>
      <c r="M356" s="42">
        <v>0.32876712328800001</v>
      </c>
      <c r="N356" s="134">
        <v>0</v>
      </c>
      <c r="O356" s="43" t="s">
        <v>666</v>
      </c>
      <c r="P356" s="43">
        <f t="shared" si="75"/>
        <v>12.672769428849822</v>
      </c>
      <c r="Q356" s="43">
        <f t="shared" si="76"/>
        <v>5.9633875000000003E-2</v>
      </c>
      <c r="R356" s="43">
        <f t="shared" si="77"/>
        <v>1.3739519E-2</v>
      </c>
      <c r="S356" s="43">
        <f t="shared" si="78"/>
        <v>0.859580542</v>
      </c>
      <c r="T356" s="43">
        <f t="shared" si="79"/>
        <v>3.4833112289999999</v>
      </c>
      <c r="U356" s="43">
        <f t="shared" si="80"/>
        <v>8.9266648340000003</v>
      </c>
      <c r="V356" s="43">
        <f t="shared" si="81"/>
        <v>7.1323139999999998E-3</v>
      </c>
      <c r="W356" s="230">
        <f t="shared" si="82"/>
        <v>0.11567560872392472</v>
      </c>
      <c r="X356" s="43">
        <f t="shared" si="83"/>
        <v>0.850045932</v>
      </c>
      <c r="Y356" s="43">
        <v>135.47180789999999</v>
      </c>
      <c r="Z356" s="43">
        <f t="shared" si="72"/>
        <v>0</v>
      </c>
      <c r="AA356" s="43">
        <f t="shared" si="73"/>
        <v>478718</v>
      </c>
      <c r="AB356" s="43">
        <f t="shared" si="74"/>
        <v>186107</v>
      </c>
      <c r="AC356" s="43">
        <f t="shared" si="84"/>
        <v>7.5967312731255288E-2</v>
      </c>
      <c r="AD356" s="43">
        <f t="shared" si="85"/>
        <v>0.80847972010000058</v>
      </c>
      <c r="AF356" s="43">
        <v>12.672769428849822</v>
      </c>
      <c r="AG356" s="43">
        <v>5.9633875000000003E-2</v>
      </c>
      <c r="AH356" s="43">
        <v>1.3739519E-2</v>
      </c>
      <c r="AI356" s="43">
        <v>0.859580542</v>
      </c>
      <c r="AJ356" s="43">
        <v>3.4833112289999999</v>
      </c>
      <c r="AK356" s="43">
        <v>8.9266648340000003</v>
      </c>
      <c r="AL356" s="43">
        <v>7.1323139999999998E-3</v>
      </c>
      <c r="AM356" s="230">
        <v>0.11567560872392472</v>
      </c>
      <c r="AN356" s="43">
        <v>0.850045932</v>
      </c>
    </row>
    <row r="357" spans="1:40" x14ac:dyDescent="0.25">
      <c r="A357" s="134">
        <v>347</v>
      </c>
      <c r="B357" s="134" t="s">
        <v>209</v>
      </c>
      <c r="C357" s="134" t="s">
        <v>210</v>
      </c>
      <c r="D357" s="134" t="s">
        <v>211</v>
      </c>
      <c r="E357" s="134">
        <v>1512</v>
      </c>
      <c r="F357" s="134">
        <v>3805</v>
      </c>
      <c r="G357" s="134">
        <v>217</v>
      </c>
      <c r="H357" s="134">
        <v>460</v>
      </c>
      <c r="I357" s="200">
        <v>0.33587595736999998</v>
      </c>
      <c r="J357" s="134">
        <v>4265</v>
      </c>
      <c r="K357" s="134">
        <v>12698.140210400001</v>
      </c>
      <c r="L357" s="42">
        <v>0.84893471659300002</v>
      </c>
      <c r="M357" s="42">
        <v>0.23326572008099999</v>
      </c>
      <c r="N357" s="134">
        <v>0</v>
      </c>
      <c r="O357" s="43" t="s">
        <v>666</v>
      </c>
      <c r="P357" s="43">
        <f t="shared" si="75"/>
        <v>12.108000527966039</v>
      </c>
      <c r="Q357" s="43">
        <f t="shared" si="76"/>
        <v>5.8191242999999997E-2</v>
      </c>
      <c r="R357" s="43">
        <f t="shared" si="77"/>
        <v>1.4613456E-2</v>
      </c>
      <c r="S357" s="43">
        <f t="shared" si="78"/>
        <v>0.84893471700000001</v>
      </c>
      <c r="T357" s="43">
        <f t="shared" si="79"/>
        <v>3.3916680540000002</v>
      </c>
      <c r="U357" s="43">
        <f t="shared" si="80"/>
        <v>8.4315890309999997</v>
      </c>
      <c r="V357" s="43">
        <f t="shared" si="81"/>
        <v>8.3302150000000002E-3</v>
      </c>
      <c r="W357" s="230">
        <f t="shared" si="82"/>
        <v>0.12593732241118827</v>
      </c>
      <c r="X357" s="43">
        <f t="shared" si="83"/>
        <v>0.83890760099999995</v>
      </c>
      <c r="Y357" s="43">
        <v>115.7111307</v>
      </c>
      <c r="Z357" s="43">
        <f t="shared" si="72"/>
        <v>0</v>
      </c>
      <c r="AA357" s="43">
        <f t="shared" si="73"/>
        <v>478718</v>
      </c>
      <c r="AB357" s="43">
        <f t="shared" si="74"/>
        <v>186107</v>
      </c>
      <c r="AC357" s="43">
        <f t="shared" si="84"/>
        <v>7.5967312731255288E-2</v>
      </c>
      <c r="AD357" s="43">
        <f t="shared" si="85"/>
        <v>0.80847972010000058</v>
      </c>
      <c r="AF357" s="43">
        <v>12.108000527966039</v>
      </c>
      <c r="AG357" s="43">
        <v>5.8191242999999997E-2</v>
      </c>
      <c r="AH357" s="43">
        <v>1.4613456E-2</v>
      </c>
      <c r="AI357" s="43">
        <v>0.84893471700000001</v>
      </c>
      <c r="AJ357" s="43">
        <v>3.3916680540000002</v>
      </c>
      <c r="AK357" s="43">
        <v>8.4315890309999997</v>
      </c>
      <c r="AL357" s="43">
        <v>8.3302150000000002E-3</v>
      </c>
      <c r="AM357" s="230">
        <v>0.12593732241118827</v>
      </c>
      <c r="AN357" s="43">
        <v>0.83890760099999995</v>
      </c>
    </row>
    <row r="358" spans="1:40" x14ac:dyDescent="0.25">
      <c r="A358" s="134">
        <v>348</v>
      </c>
      <c r="B358" s="134" t="s">
        <v>209</v>
      </c>
      <c r="C358" s="134" t="s">
        <v>210</v>
      </c>
      <c r="D358" s="134" t="s">
        <v>211</v>
      </c>
      <c r="E358" s="134">
        <v>602</v>
      </c>
      <c r="F358" s="134">
        <v>1484</v>
      </c>
      <c r="G358" s="134">
        <v>262</v>
      </c>
      <c r="H358" s="134">
        <v>212</v>
      </c>
      <c r="I358" s="200">
        <v>0.35659094521500001</v>
      </c>
      <c r="J358" s="134">
        <v>1696</v>
      </c>
      <c r="K358" s="134">
        <v>4756.1499324599999</v>
      </c>
      <c r="L358" s="42">
        <v>0.88313684506500001</v>
      </c>
      <c r="M358" s="42">
        <v>0.26044226044199997</v>
      </c>
      <c r="N358" s="134">
        <v>0</v>
      </c>
      <c r="O358" s="43" t="s">
        <v>666</v>
      </c>
      <c r="P358" s="43">
        <f t="shared" si="75"/>
        <v>12.222575786749745</v>
      </c>
      <c r="Q358" s="43">
        <f t="shared" si="76"/>
        <v>5.1973132999999998E-2</v>
      </c>
      <c r="R358" s="43">
        <f t="shared" si="77"/>
        <v>1.294439E-2</v>
      </c>
      <c r="S358" s="43">
        <f t="shared" si="78"/>
        <v>0.883136845</v>
      </c>
      <c r="T358" s="43">
        <f t="shared" si="79"/>
        <v>3.6684409750000002</v>
      </c>
      <c r="U358" s="43">
        <f t="shared" si="80"/>
        <v>9.0445064750000004</v>
      </c>
      <c r="V358" s="43">
        <f t="shared" si="81"/>
        <v>5.8342339999999998E-3</v>
      </c>
      <c r="W358" s="230">
        <f t="shared" si="82"/>
        <v>0.10491422043613961</v>
      </c>
      <c r="X358" s="43">
        <f t="shared" si="83"/>
        <v>0.87099406400000001</v>
      </c>
      <c r="Y358" s="43">
        <v>128.2134188</v>
      </c>
      <c r="Z358" s="43">
        <f t="shared" si="72"/>
        <v>0</v>
      </c>
      <c r="AA358" s="43">
        <f t="shared" si="73"/>
        <v>478718</v>
      </c>
      <c r="AB358" s="43">
        <f t="shared" si="74"/>
        <v>186107</v>
      </c>
      <c r="AC358" s="43">
        <f t="shared" si="84"/>
        <v>7.5967312731255288E-2</v>
      </c>
      <c r="AD358" s="43">
        <f t="shared" si="85"/>
        <v>0.80847972010000058</v>
      </c>
      <c r="AF358" s="43">
        <v>12.222575786749745</v>
      </c>
      <c r="AG358" s="43">
        <v>5.1973132999999998E-2</v>
      </c>
      <c r="AH358" s="43">
        <v>1.294439E-2</v>
      </c>
      <c r="AI358" s="43">
        <v>0.883136845</v>
      </c>
      <c r="AJ358" s="43">
        <v>3.6684409750000002</v>
      </c>
      <c r="AK358" s="43">
        <v>9.0445064750000004</v>
      </c>
      <c r="AL358" s="43">
        <v>5.8342339999999998E-3</v>
      </c>
      <c r="AM358" s="230">
        <v>0.10491422043613961</v>
      </c>
      <c r="AN358" s="43">
        <v>0.87099406400000001</v>
      </c>
    </row>
    <row r="359" spans="1:40" x14ac:dyDescent="0.25">
      <c r="A359" s="134">
        <v>349</v>
      </c>
      <c r="B359" s="134" t="s">
        <v>209</v>
      </c>
      <c r="C359" s="134" t="s">
        <v>210</v>
      </c>
      <c r="D359" s="134" t="s">
        <v>211</v>
      </c>
      <c r="E359" s="134">
        <v>1751</v>
      </c>
      <c r="F359" s="134">
        <v>5179</v>
      </c>
      <c r="G359" s="134">
        <v>161</v>
      </c>
      <c r="H359" s="134">
        <v>690</v>
      </c>
      <c r="I359" s="200">
        <v>0.25475975653999999</v>
      </c>
      <c r="J359" s="134">
        <v>5869</v>
      </c>
      <c r="K359" s="134">
        <v>23037.390519199998</v>
      </c>
      <c r="L359" s="42">
        <v>0.79879475363300001</v>
      </c>
      <c r="M359" s="42">
        <v>0.28267103646000002</v>
      </c>
      <c r="N359" s="134">
        <v>0</v>
      </c>
      <c r="O359" s="43" t="s">
        <v>664</v>
      </c>
      <c r="P359" s="43">
        <f t="shared" si="75"/>
        <v>11.964249202317564</v>
      </c>
      <c r="Q359" s="43">
        <f t="shared" si="76"/>
        <v>7.4148576999999993E-2</v>
      </c>
      <c r="R359" s="43">
        <f t="shared" si="77"/>
        <v>1.9208811999999999E-2</v>
      </c>
      <c r="S359" s="43">
        <f t="shared" si="78"/>
        <v>0.798794754</v>
      </c>
      <c r="T359" s="43">
        <f t="shared" si="79"/>
        <v>3.283117598</v>
      </c>
      <c r="U359" s="43">
        <f t="shared" si="80"/>
        <v>7.8356691029999999</v>
      </c>
      <c r="V359" s="43">
        <f t="shared" si="81"/>
        <v>1.4231306000000001E-2</v>
      </c>
      <c r="W359" s="230">
        <f t="shared" si="82"/>
        <v>0.15590892923512228</v>
      </c>
      <c r="X359" s="43">
        <f t="shared" si="83"/>
        <v>0.78519960200000005</v>
      </c>
      <c r="Y359" s="43">
        <v>187.4343585</v>
      </c>
      <c r="Z359" s="43">
        <f t="shared" si="72"/>
        <v>0</v>
      </c>
      <c r="AA359" s="43">
        <f t="shared" si="73"/>
        <v>478718</v>
      </c>
      <c r="AB359" s="43">
        <f t="shared" si="74"/>
        <v>186107</v>
      </c>
      <c r="AC359" s="43">
        <f t="shared" si="84"/>
        <v>7.5967312731255288E-2</v>
      </c>
      <c r="AD359" s="43">
        <f t="shared" si="85"/>
        <v>0.80847972010000058</v>
      </c>
      <c r="AF359" s="43">
        <v>11.964249202317564</v>
      </c>
      <c r="AG359" s="43">
        <v>7.4148576999999993E-2</v>
      </c>
      <c r="AH359" s="43">
        <v>1.9208811999999999E-2</v>
      </c>
      <c r="AI359" s="43">
        <v>0.798794754</v>
      </c>
      <c r="AJ359" s="43">
        <v>3.283117598</v>
      </c>
      <c r="AK359" s="43">
        <v>7.8356691029999999</v>
      </c>
      <c r="AL359" s="43">
        <v>1.4231306000000001E-2</v>
      </c>
      <c r="AM359" s="230">
        <v>0.15590892923512228</v>
      </c>
      <c r="AN359" s="43">
        <v>0.78519960200000005</v>
      </c>
    </row>
    <row r="360" spans="1:40" x14ac:dyDescent="0.25">
      <c r="A360" s="134">
        <v>350</v>
      </c>
      <c r="B360" s="134" t="s">
        <v>209</v>
      </c>
      <c r="C360" s="134" t="s">
        <v>210</v>
      </c>
      <c r="D360" s="134" t="s">
        <v>211</v>
      </c>
      <c r="E360" s="134">
        <v>391</v>
      </c>
      <c r="F360" s="134">
        <v>1155</v>
      </c>
      <c r="G360" s="134">
        <v>51</v>
      </c>
      <c r="H360" s="134">
        <v>453</v>
      </c>
      <c r="I360" s="200">
        <v>8.0907452808599997E-2</v>
      </c>
      <c r="J360" s="134">
        <v>1608</v>
      </c>
      <c r="K360" s="134">
        <v>19874.5596874</v>
      </c>
      <c r="L360" s="42">
        <v>0.81300338902799996</v>
      </c>
      <c r="M360" s="42">
        <v>0.53672985782000004</v>
      </c>
      <c r="N360" s="134">
        <v>0</v>
      </c>
      <c r="O360" s="43" t="s">
        <v>664</v>
      </c>
      <c r="P360" s="43">
        <f t="shared" si="75"/>
        <v>11.730959404762343</v>
      </c>
      <c r="Q360" s="43">
        <f t="shared" si="76"/>
        <v>5.9492519000000001E-2</v>
      </c>
      <c r="R360" s="43">
        <f t="shared" si="77"/>
        <v>1.6004213999999999E-2</v>
      </c>
      <c r="S360" s="43">
        <f t="shared" si="78"/>
        <v>0.81300338900000002</v>
      </c>
      <c r="T360" s="43">
        <f t="shared" si="79"/>
        <v>3.0576568669999999</v>
      </c>
      <c r="U360" s="43">
        <f t="shared" si="80"/>
        <v>7.0488016949999999</v>
      </c>
      <c r="V360" s="43">
        <f t="shared" si="81"/>
        <v>1.4048293E-2</v>
      </c>
      <c r="W360" s="230">
        <f t="shared" si="82"/>
        <v>0.1393625120301076</v>
      </c>
      <c r="X360" s="43">
        <f t="shared" si="83"/>
        <v>0.79072640299999997</v>
      </c>
      <c r="Y360" s="43">
        <v>89.820095960000003</v>
      </c>
      <c r="Z360" s="43">
        <f t="shared" si="72"/>
        <v>0</v>
      </c>
      <c r="AA360" s="43">
        <f t="shared" si="73"/>
        <v>478718</v>
      </c>
      <c r="AB360" s="43">
        <f t="shared" si="74"/>
        <v>186107</v>
      </c>
      <c r="AC360" s="43">
        <f t="shared" si="84"/>
        <v>7.5967312731255288E-2</v>
      </c>
      <c r="AD360" s="43">
        <f t="shared" si="85"/>
        <v>0.80847972010000058</v>
      </c>
      <c r="AF360" s="43">
        <v>11.730959404762343</v>
      </c>
      <c r="AG360" s="43">
        <v>5.9492519000000001E-2</v>
      </c>
      <c r="AH360" s="43">
        <v>1.6004213999999999E-2</v>
      </c>
      <c r="AI360" s="43">
        <v>0.81300338900000002</v>
      </c>
      <c r="AJ360" s="43">
        <v>3.0576568669999999</v>
      </c>
      <c r="AK360" s="43">
        <v>7.0488016949999999</v>
      </c>
      <c r="AL360" s="43">
        <v>1.4048293E-2</v>
      </c>
      <c r="AM360" s="230">
        <v>0.1393625120301076</v>
      </c>
      <c r="AN360" s="43">
        <v>0.79072640299999997</v>
      </c>
    </row>
    <row r="361" spans="1:40" x14ac:dyDescent="0.25">
      <c r="A361" s="134">
        <v>351</v>
      </c>
      <c r="B361" s="134" t="s">
        <v>209</v>
      </c>
      <c r="C361" s="134" t="s">
        <v>210</v>
      </c>
      <c r="D361" s="134" t="s">
        <v>211</v>
      </c>
      <c r="E361" s="134">
        <v>607</v>
      </c>
      <c r="F361" s="134">
        <v>2095</v>
      </c>
      <c r="G361" s="134">
        <v>69</v>
      </c>
      <c r="H361" s="134">
        <v>76</v>
      </c>
      <c r="I361" s="200">
        <v>9.5202357781699998E-2</v>
      </c>
      <c r="J361" s="134">
        <v>2171</v>
      </c>
      <c r="K361" s="134">
        <v>22804.057069499999</v>
      </c>
      <c r="L361" s="42">
        <v>0.78871930863299999</v>
      </c>
      <c r="M361" s="42">
        <v>0.111273792094</v>
      </c>
      <c r="N361" s="134">
        <v>0</v>
      </c>
      <c r="O361" s="43" t="s">
        <v>664</v>
      </c>
      <c r="P361" s="43">
        <f t="shared" si="75"/>
        <v>11.420278535717113</v>
      </c>
      <c r="Q361" s="43">
        <f t="shared" si="76"/>
        <v>7.1410575000000004E-2</v>
      </c>
      <c r="R361" s="43">
        <f t="shared" si="77"/>
        <v>2.1236725000000001E-2</v>
      </c>
      <c r="S361" s="43">
        <f t="shared" si="78"/>
        <v>0.78871930899999998</v>
      </c>
      <c r="T361" s="43">
        <f t="shared" si="79"/>
        <v>3.0359738909999998</v>
      </c>
      <c r="U361" s="43">
        <f t="shared" si="80"/>
        <v>7.0319633149999996</v>
      </c>
      <c r="V361" s="43">
        <f t="shared" si="81"/>
        <v>1.0475399999999999E-2</v>
      </c>
      <c r="W361" s="230">
        <f t="shared" si="82"/>
        <v>0.18482211854947195</v>
      </c>
      <c r="X361" s="43">
        <f t="shared" si="83"/>
        <v>0.75538796200000002</v>
      </c>
      <c r="Y361" s="43">
        <v>115.80086180000001</v>
      </c>
      <c r="Z361" s="43">
        <f t="shared" si="72"/>
        <v>0</v>
      </c>
      <c r="AA361" s="43">
        <f t="shared" si="73"/>
        <v>478718</v>
      </c>
      <c r="AB361" s="43">
        <f t="shared" si="74"/>
        <v>186107</v>
      </c>
      <c r="AC361" s="43">
        <f t="shared" si="84"/>
        <v>7.5967312731255288E-2</v>
      </c>
      <c r="AD361" s="43">
        <f t="shared" si="85"/>
        <v>0.80847972010000058</v>
      </c>
      <c r="AF361" s="43">
        <v>11.420278535717113</v>
      </c>
      <c r="AG361" s="43">
        <v>7.1410575000000004E-2</v>
      </c>
      <c r="AH361" s="43">
        <v>2.1236725000000001E-2</v>
      </c>
      <c r="AI361" s="43">
        <v>0.78871930899999998</v>
      </c>
      <c r="AJ361" s="43">
        <v>3.0359738909999998</v>
      </c>
      <c r="AK361" s="43">
        <v>7.0319633149999996</v>
      </c>
      <c r="AL361" s="43">
        <v>1.0475399999999999E-2</v>
      </c>
      <c r="AM361" s="230">
        <v>0.18482211854947195</v>
      </c>
      <c r="AN361" s="43">
        <v>0.75538796200000002</v>
      </c>
    </row>
    <row r="362" spans="1:40" x14ac:dyDescent="0.25">
      <c r="A362" s="134">
        <v>352</v>
      </c>
      <c r="B362" s="134" t="s">
        <v>209</v>
      </c>
      <c r="C362" s="134" t="s">
        <v>210</v>
      </c>
      <c r="D362" s="134" t="s">
        <v>211</v>
      </c>
      <c r="E362" s="134">
        <v>718</v>
      </c>
      <c r="F362" s="134">
        <v>2478</v>
      </c>
      <c r="G362" s="134">
        <v>83</v>
      </c>
      <c r="H362" s="134">
        <v>202</v>
      </c>
      <c r="I362" s="200">
        <v>0.10789577867</v>
      </c>
      <c r="J362" s="134">
        <v>2680</v>
      </c>
      <c r="K362" s="134">
        <v>24838.784547700001</v>
      </c>
      <c r="L362" s="42">
        <v>0.783213495925</v>
      </c>
      <c r="M362" s="42">
        <v>0.21956521739099999</v>
      </c>
      <c r="N362" s="134">
        <v>0</v>
      </c>
      <c r="O362" s="43" t="s">
        <v>664</v>
      </c>
      <c r="P362" s="43">
        <f t="shared" si="75"/>
        <v>11.507914951171836</v>
      </c>
      <c r="Q362" s="43">
        <f t="shared" si="76"/>
        <v>7.4268023000000002E-2</v>
      </c>
      <c r="R362" s="43">
        <f t="shared" si="77"/>
        <v>2.1307891999999998E-2</v>
      </c>
      <c r="S362" s="43">
        <f t="shared" si="78"/>
        <v>0.78321349600000001</v>
      </c>
      <c r="T362" s="43">
        <f t="shared" si="79"/>
        <v>3.0110254890000001</v>
      </c>
      <c r="U362" s="43">
        <f t="shared" si="80"/>
        <v>7.1296336509999998</v>
      </c>
      <c r="V362" s="43">
        <f t="shared" si="81"/>
        <v>1.3709353000000001E-2</v>
      </c>
      <c r="W362" s="230">
        <f t="shared" si="82"/>
        <v>0.17509044364990373</v>
      </c>
      <c r="X362" s="43">
        <f t="shared" si="83"/>
        <v>0.74780502299999996</v>
      </c>
      <c r="Y362" s="43">
        <v>104.48906890000001</v>
      </c>
      <c r="Z362" s="43">
        <f t="shared" si="72"/>
        <v>0</v>
      </c>
      <c r="AA362" s="43">
        <f t="shared" si="73"/>
        <v>478718</v>
      </c>
      <c r="AB362" s="43">
        <f t="shared" si="74"/>
        <v>186107</v>
      </c>
      <c r="AC362" s="43">
        <f t="shared" si="84"/>
        <v>7.5967312731255288E-2</v>
      </c>
      <c r="AD362" s="43">
        <f t="shared" si="85"/>
        <v>0.80847972010000058</v>
      </c>
      <c r="AF362" s="43">
        <v>11.507914951171836</v>
      </c>
      <c r="AG362" s="43">
        <v>7.4268023000000002E-2</v>
      </c>
      <c r="AH362" s="43">
        <v>2.1307891999999998E-2</v>
      </c>
      <c r="AI362" s="43">
        <v>0.78321349600000001</v>
      </c>
      <c r="AJ362" s="43">
        <v>3.0110254890000001</v>
      </c>
      <c r="AK362" s="43">
        <v>7.1296336509999998</v>
      </c>
      <c r="AL362" s="43">
        <v>1.3709353000000001E-2</v>
      </c>
      <c r="AM362" s="230">
        <v>0.17509044364990373</v>
      </c>
      <c r="AN362" s="43">
        <v>0.74780502299999996</v>
      </c>
    </row>
    <row r="363" spans="1:40" x14ac:dyDescent="0.25">
      <c r="A363" s="134">
        <v>353</v>
      </c>
      <c r="B363" s="134" t="s">
        <v>209</v>
      </c>
      <c r="C363" s="134" t="s">
        <v>210</v>
      </c>
      <c r="D363" s="134" t="s">
        <v>211</v>
      </c>
      <c r="E363" s="134">
        <v>537</v>
      </c>
      <c r="F363" s="134">
        <v>1852</v>
      </c>
      <c r="G363" s="134">
        <v>58</v>
      </c>
      <c r="H363" s="134">
        <v>98</v>
      </c>
      <c r="I363" s="200">
        <v>0.110493409744</v>
      </c>
      <c r="J363" s="134">
        <v>1950</v>
      </c>
      <c r="K363" s="134">
        <v>17648.111362700001</v>
      </c>
      <c r="L363" s="42">
        <v>0.78600259127100003</v>
      </c>
      <c r="M363" s="42">
        <v>0.15433070866099999</v>
      </c>
      <c r="N363" s="134">
        <v>0</v>
      </c>
      <c r="O363" s="43" t="s">
        <v>664</v>
      </c>
      <c r="P363" s="43">
        <f t="shared" si="75"/>
        <v>11.459383929184851</v>
      </c>
      <c r="Q363" s="43">
        <f t="shared" si="76"/>
        <v>7.5182574000000002E-2</v>
      </c>
      <c r="R363" s="43">
        <f t="shared" si="77"/>
        <v>2.0788616999999999E-2</v>
      </c>
      <c r="S363" s="43">
        <f t="shared" si="78"/>
        <v>0.78600259100000003</v>
      </c>
      <c r="T363" s="43">
        <f t="shared" si="79"/>
        <v>2.9552041130000002</v>
      </c>
      <c r="U363" s="43">
        <f t="shared" si="80"/>
        <v>6.916855548</v>
      </c>
      <c r="V363" s="43">
        <f t="shared" si="81"/>
        <v>1.2074408E-2</v>
      </c>
      <c r="W363" s="230">
        <f t="shared" si="82"/>
        <v>0.18985014250252827</v>
      </c>
      <c r="X363" s="43">
        <f t="shared" si="83"/>
        <v>0.74436885200000003</v>
      </c>
      <c r="Y363" s="43">
        <v>102.9264367</v>
      </c>
      <c r="Z363" s="43">
        <f t="shared" si="72"/>
        <v>0</v>
      </c>
      <c r="AA363" s="43">
        <f t="shared" si="73"/>
        <v>478718</v>
      </c>
      <c r="AB363" s="43">
        <f t="shared" si="74"/>
        <v>186107</v>
      </c>
      <c r="AC363" s="43">
        <f t="shared" si="84"/>
        <v>7.5967312731255288E-2</v>
      </c>
      <c r="AD363" s="43">
        <f t="shared" si="85"/>
        <v>0.80847972010000058</v>
      </c>
      <c r="AF363" s="43">
        <v>11.459383929184851</v>
      </c>
      <c r="AG363" s="43">
        <v>7.5182574000000002E-2</v>
      </c>
      <c r="AH363" s="43">
        <v>2.0788616999999999E-2</v>
      </c>
      <c r="AI363" s="43">
        <v>0.78600259100000003</v>
      </c>
      <c r="AJ363" s="43">
        <v>2.9552041130000002</v>
      </c>
      <c r="AK363" s="43">
        <v>6.916855548</v>
      </c>
      <c r="AL363" s="43">
        <v>1.2074408E-2</v>
      </c>
      <c r="AM363" s="230">
        <v>0.18985014250252827</v>
      </c>
      <c r="AN363" s="43">
        <v>0.74436885200000003</v>
      </c>
    </row>
    <row r="364" spans="1:40" x14ac:dyDescent="0.25">
      <c r="A364" s="134">
        <v>354</v>
      </c>
      <c r="B364" s="134" t="s">
        <v>209</v>
      </c>
      <c r="C364" s="134" t="s">
        <v>210</v>
      </c>
      <c r="D364" s="134" t="s">
        <v>211</v>
      </c>
      <c r="E364" s="134">
        <v>560</v>
      </c>
      <c r="F364" s="134">
        <v>1680</v>
      </c>
      <c r="G364" s="134">
        <v>67</v>
      </c>
      <c r="H364" s="134">
        <v>573</v>
      </c>
      <c r="I364" s="200">
        <v>0.103052613902</v>
      </c>
      <c r="J364" s="134">
        <v>2253</v>
      </c>
      <c r="K364" s="134">
        <v>21862.6186633</v>
      </c>
      <c r="L364" s="42">
        <v>0.81185188345399995</v>
      </c>
      <c r="M364" s="42">
        <v>0.50573698146500001</v>
      </c>
      <c r="N364" s="134">
        <v>0</v>
      </c>
      <c r="O364" s="43" t="s">
        <v>664</v>
      </c>
      <c r="P364" s="43">
        <f t="shared" si="75"/>
        <v>12.245144816598961</v>
      </c>
      <c r="Q364" s="43">
        <f t="shared" si="76"/>
        <v>5.8552804999999999E-2</v>
      </c>
      <c r="R364" s="43">
        <f t="shared" si="77"/>
        <v>1.8809211999999999E-2</v>
      </c>
      <c r="S364" s="43">
        <f t="shared" si="78"/>
        <v>0.811851883</v>
      </c>
      <c r="T364" s="43">
        <f t="shared" si="79"/>
        <v>3.0670070200000001</v>
      </c>
      <c r="U364" s="43">
        <f t="shared" si="80"/>
        <v>7.7359650090000001</v>
      </c>
      <c r="V364" s="43">
        <f t="shared" si="81"/>
        <v>1.2936553999999999E-2</v>
      </c>
      <c r="W364" s="230">
        <f t="shared" si="82"/>
        <v>0.1205964706648434</v>
      </c>
      <c r="X364" s="43">
        <f t="shared" si="83"/>
        <v>0.81854094799999999</v>
      </c>
      <c r="Y364" s="43">
        <v>115.93574889999999</v>
      </c>
      <c r="Z364" s="43">
        <f t="shared" si="72"/>
        <v>0</v>
      </c>
      <c r="AA364" s="43">
        <f t="shared" si="73"/>
        <v>478718</v>
      </c>
      <c r="AB364" s="43">
        <f t="shared" si="74"/>
        <v>186107</v>
      </c>
      <c r="AC364" s="43">
        <f t="shared" si="84"/>
        <v>7.5967312731255288E-2</v>
      </c>
      <c r="AD364" s="43">
        <f t="shared" si="85"/>
        <v>0.80847972010000058</v>
      </c>
      <c r="AF364" s="43">
        <v>12.245144816598961</v>
      </c>
      <c r="AG364" s="43">
        <v>5.8552804999999999E-2</v>
      </c>
      <c r="AH364" s="43">
        <v>1.8809211999999999E-2</v>
      </c>
      <c r="AI364" s="43">
        <v>0.811851883</v>
      </c>
      <c r="AJ364" s="43">
        <v>3.0670070200000001</v>
      </c>
      <c r="AK364" s="43">
        <v>7.7359650090000001</v>
      </c>
      <c r="AL364" s="43">
        <v>1.2936553999999999E-2</v>
      </c>
      <c r="AM364" s="230">
        <v>0.1205964706648434</v>
      </c>
      <c r="AN364" s="43">
        <v>0.81854094799999999</v>
      </c>
    </row>
    <row r="365" spans="1:40" x14ac:dyDescent="0.25">
      <c r="A365" s="134">
        <v>355</v>
      </c>
      <c r="B365" s="134" t="s">
        <v>209</v>
      </c>
      <c r="C365" s="134" t="s">
        <v>210</v>
      </c>
      <c r="D365" s="134" t="s">
        <v>211</v>
      </c>
      <c r="E365" s="134">
        <v>774</v>
      </c>
      <c r="F365" s="134">
        <v>2322</v>
      </c>
      <c r="G365" s="134">
        <v>84</v>
      </c>
      <c r="H365" s="134">
        <v>167</v>
      </c>
      <c r="I365" s="200">
        <v>0.12906599991600001</v>
      </c>
      <c r="J365" s="134">
        <v>2489</v>
      </c>
      <c r="K365" s="134">
        <v>19284.707061699999</v>
      </c>
      <c r="L365" s="42">
        <v>0.80500828968100002</v>
      </c>
      <c r="M365" s="42">
        <v>0.17747077577000001</v>
      </c>
      <c r="N365" s="134">
        <v>0</v>
      </c>
      <c r="O365" s="43" t="s">
        <v>664</v>
      </c>
      <c r="P365" s="43">
        <f t="shared" si="75"/>
        <v>11.77764527128088</v>
      </c>
      <c r="Q365" s="43">
        <f t="shared" si="76"/>
        <v>6.3901393000000001E-2</v>
      </c>
      <c r="R365" s="43">
        <f t="shared" si="77"/>
        <v>1.9680316E-2</v>
      </c>
      <c r="S365" s="43">
        <f t="shared" si="78"/>
        <v>0.80500828999999996</v>
      </c>
      <c r="T365" s="43">
        <f t="shared" si="79"/>
        <v>2.9474063400000001</v>
      </c>
      <c r="U365" s="43">
        <f t="shared" si="80"/>
        <v>7.0712719379999998</v>
      </c>
      <c r="V365" s="43">
        <f t="shared" si="81"/>
        <v>1.0209588E-2</v>
      </c>
      <c r="W365" s="230">
        <f t="shared" si="82"/>
        <v>0.1559743163320374</v>
      </c>
      <c r="X365" s="43">
        <f t="shared" si="83"/>
        <v>0.79051070000000001</v>
      </c>
      <c r="Y365" s="43">
        <v>139.5406395</v>
      </c>
      <c r="Z365" s="43">
        <f t="shared" si="72"/>
        <v>0</v>
      </c>
      <c r="AA365" s="43">
        <f t="shared" si="73"/>
        <v>478718</v>
      </c>
      <c r="AB365" s="43">
        <f t="shared" si="74"/>
        <v>186107</v>
      </c>
      <c r="AC365" s="43">
        <f t="shared" si="84"/>
        <v>7.5967312731255288E-2</v>
      </c>
      <c r="AD365" s="43">
        <f t="shared" si="85"/>
        <v>0.80847972010000058</v>
      </c>
      <c r="AF365" s="43">
        <v>11.77764527128088</v>
      </c>
      <c r="AG365" s="43">
        <v>6.3901393000000001E-2</v>
      </c>
      <c r="AH365" s="43">
        <v>1.9680316E-2</v>
      </c>
      <c r="AI365" s="43">
        <v>0.80500828999999996</v>
      </c>
      <c r="AJ365" s="43">
        <v>2.9474063400000001</v>
      </c>
      <c r="AK365" s="43">
        <v>7.0712719379999998</v>
      </c>
      <c r="AL365" s="43">
        <v>1.0209588E-2</v>
      </c>
      <c r="AM365" s="230">
        <v>0.1559743163320374</v>
      </c>
      <c r="AN365" s="43">
        <v>0.79051070000000001</v>
      </c>
    </row>
    <row r="366" spans="1:40" x14ac:dyDescent="0.25">
      <c r="A366" s="134">
        <v>356</v>
      </c>
      <c r="B366" s="134" t="s">
        <v>209</v>
      </c>
      <c r="C366" s="134" t="s">
        <v>210</v>
      </c>
      <c r="D366" s="134" t="s">
        <v>211</v>
      </c>
      <c r="E366" s="134">
        <v>845</v>
      </c>
      <c r="F366" s="134">
        <v>2537</v>
      </c>
      <c r="G366" s="134">
        <v>108</v>
      </c>
      <c r="H366" s="134">
        <v>245</v>
      </c>
      <c r="I366" s="200">
        <v>0.16594462666699999</v>
      </c>
      <c r="J366" s="134">
        <v>2782</v>
      </c>
      <c r="K366" s="134">
        <v>16764.628393700001</v>
      </c>
      <c r="L366" s="42">
        <v>0.82003551900899996</v>
      </c>
      <c r="M366" s="42">
        <v>0.22477064220199999</v>
      </c>
      <c r="N366" s="134">
        <v>0</v>
      </c>
      <c r="O366" s="43" t="s">
        <v>664</v>
      </c>
      <c r="P366" s="43">
        <f t="shared" si="75"/>
        <v>12.294339799657038</v>
      </c>
      <c r="Q366" s="43">
        <f t="shared" si="76"/>
        <v>5.952706E-2</v>
      </c>
      <c r="R366" s="43">
        <f t="shared" si="77"/>
        <v>1.9864919000000002E-2</v>
      </c>
      <c r="S366" s="43">
        <f t="shared" si="78"/>
        <v>0.82003551900000005</v>
      </c>
      <c r="T366" s="43">
        <f t="shared" si="79"/>
        <v>3.2530695770000002</v>
      </c>
      <c r="U366" s="43">
        <f t="shared" si="80"/>
        <v>7.8911632620000001</v>
      </c>
      <c r="V366" s="43">
        <f t="shared" si="81"/>
        <v>9.4808589999999995E-3</v>
      </c>
      <c r="W366" s="230">
        <f t="shared" si="82"/>
        <v>0.13183761086109175</v>
      </c>
      <c r="X366" s="43">
        <f t="shared" si="83"/>
        <v>0.82274464800000002</v>
      </c>
      <c r="Y366" s="43">
        <v>118.88426219999999</v>
      </c>
      <c r="Z366" s="43">
        <f t="shared" si="72"/>
        <v>0</v>
      </c>
      <c r="AA366" s="43">
        <f t="shared" si="73"/>
        <v>478718</v>
      </c>
      <c r="AB366" s="43">
        <f t="shared" si="74"/>
        <v>186107</v>
      </c>
      <c r="AC366" s="43">
        <f t="shared" si="84"/>
        <v>7.5967312731255288E-2</v>
      </c>
      <c r="AD366" s="43">
        <f t="shared" si="85"/>
        <v>0.80847972010000058</v>
      </c>
      <c r="AF366" s="43">
        <v>12.294339799657038</v>
      </c>
      <c r="AG366" s="43">
        <v>5.952706E-2</v>
      </c>
      <c r="AH366" s="43">
        <v>1.9864919000000002E-2</v>
      </c>
      <c r="AI366" s="43">
        <v>0.82003551900000005</v>
      </c>
      <c r="AJ366" s="43">
        <v>3.2530695770000002</v>
      </c>
      <c r="AK366" s="43">
        <v>7.8911632620000001</v>
      </c>
      <c r="AL366" s="43">
        <v>9.4808589999999995E-3</v>
      </c>
      <c r="AM366" s="230">
        <v>0.13183761086109175</v>
      </c>
      <c r="AN366" s="43">
        <v>0.82274464800000002</v>
      </c>
    </row>
    <row r="367" spans="1:40" x14ac:dyDescent="0.25">
      <c r="A367" s="134">
        <v>357</v>
      </c>
      <c r="B367" s="134" t="s">
        <v>209</v>
      </c>
      <c r="C367" s="134" t="s">
        <v>210</v>
      </c>
      <c r="D367" s="134" t="s">
        <v>211</v>
      </c>
      <c r="E367" s="134">
        <v>491</v>
      </c>
      <c r="F367" s="134">
        <v>1185</v>
      </c>
      <c r="G367" s="134">
        <v>70</v>
      </c>
      <c r="H367" s="134">
        <v>260</v>
      </c>
      <c r="I367" s="200">
        <v>0.108467407881</v>
      </c>
      <c r="J367" s="134">
        <v>1445</v>
      </c>
      <c r="K367" s="134">
        <v>13321.974114000001</v>
      </c>
      <c r="L367" s="42">
        <v>0.844588398505</v>
      </c>
      <c r="M367" s="42">
        <v>0.34620505992</v>
      </c>
      <c r="N367" s="134">
        <v>0</v>
      </c>
      <c r="O367" s="43" t="s">
        <v>664</v>
      </c>
      <c r="P367" s="43">
        <f t="shared" si="75"/>
        <v>11.561265592398419</v>
      </c>
      <c r="Q367" s="43">
        <f t="shared" si="76"/>
        <v>5.6886672999999999E-2</v>
      </c>
      <c r="R367" s="43">
        <f t="shared" si="77"/>
        <v>1.5965575999999999E-2</v>
      </c>
      <c r="S367" s="43">
        <f t="shared" si="78"/>
        <v>0.84458839900000005</v>
      </c>
      <c r="T367" s="43">
        <f t="shared" si="79"/>
        <v>3.4637254899999999</v>
      </c>
      <c r="U367" s="43">
        <f t="shared" si="80"/>
        <v>8.0244836379999995</v>
      </c>
      <c r="V367" s="43">
        <f t="shared" si="81"/>
        <v>9.3139420000000004E-3</v>
      </c>
      <c r="W367" s="230">
        <f t="shared" si="82"/>
        <v>0.1120758043190833</v>
      </c>
      <c r="X367" s="43">
        <f t="shared" si="83"/>
        <v>0.84122227100000002</v>
      </c>
      <c r="Y367" s="43">
        <v>226.35902189999999</v>
      </c>
      <c r="Z367" s="43">
        <f t="shared" si="72"/>
        <v>0</v>
      </c>
      <c r="AA367" s="43">
        <f t="shared" si="73"/>
        <v>478718</v>
      </c>
      <c r="AB367" s="43">
        <f t="shared" si="74"/>
        <v>186107</v>
      </c>
      <c r="AC367" s="43">
        <f t="shared" si="84"/>
        <v>7.5967312731255288E-2</v>
      </c>
      <c r="AD367" s="43">
        <f t="shared" si="85"/>
        <v>0.80847972010000058</v>
      </c>
      <c r="AF367" s="43">
        <v>11.561265592398419</v>
      </c>
      <c r="AG367" s="43">
        <v>5.6886672999999999E-2</v>
      </c>
      <c r="AH367" s="43">
        <v>1.5965575999999999E-2</v>
      </c>
      <c r="AI367" s="43">
        <v>0.84458839900000005</v>
      </c>
      <c r="AJ367" s="43">
        <v>3.4637254899999999</v>
      </c>
      <c r="AK367" s="43">
        <v>8.0244836379999995</v>
      </c>
      <c r="AL367" s="43">
        <v>9.3139420000000004E-3</v>
      </c>
      <c r="AM367" s="230">
        <v>0.1120758043190833</v>
      </c>
      <c r="AN367" s="43">
        <v>0.84122227100000002</v>
      </c>
    </row>
    <row r="368" spans="1:40" x14ac:dyDescent="0.25">
      <c r="A368" s="134">
        <v>358</v>
      </c>
      <c r="B368" s="134" t="s">
        <v>209</v>
      </c>
      <c r="C368" s="134" t="s">
        <v>210</v>
      </c>
      <c r="D368" s="134" t="s">
        <v>211</v>
      </c>
      <c r="E368" s="134">
        <v>977</v>
      </c>
      <c r="F368" s="134">
        <v>2359</v>
      </c>
      <c r="G368" s="134">
        <v>125</v>
      </c>
      <c r="H368" s="134">
        <v>386</v>
      </c>
      <c r="I368" s="200">
        <v>0.19532036827800001</v>
      </c>
      <c r="J368" s="134">
        <v>2745</v>
      </c>
      <c r="K368" s="134">
        <v>14053.8338331</v>
      </c>
      <c r="L368" s="42">
        <v>0.83790242762599998</v>
      </c>
      <c r="M368" s="42">
        <v>0.28319882611899999</v>
      </c>
      <c r="N368" s="134">
        <v>0</v>
      </c>
      <c r="O368" s="43" t="s">
        <v>664</v>
      </c>
      <c r="P368" s="43">
        <f t="shared" si="75"/>
        <v>11.595255194542988</v>
      </c>
      <c r="Q368" s="43">
        <f t="shared" si="76"/>
        <v>5.0702984E-2</v>
      </c>
      <c r="R368" s="43">
        <f t="shared" si="77"/>
        <v>1.6105654E-2</v>
      </c>
      <c r="S368" s="43">
        <f t="shared" si="78"/>
        <v>0.83790242800000003</v>
      </c>
      <c r="T368" s="43">
        <f t="shared" si="79"/>
        <v>3.2645827189999999</v>
      </c>
      <c r="U368" s="43">
        <f t="shared" si="80"/>
        <v>7.6572634940000004</v>
      </c>
      <c r="V368" s="43">
        <f t="shared" si="81"/>
        <v>1.0054667999999999E-2</v>
      </c>
      <c r="W368" s="230">
        <f t="shared" si="82"/>
        <v>0.11087691597277047</v>
      </c>
      <c r="X368" s="43">
        <f t="shared" si="83"/>
        <v>0.83957219299999997</v>
      </c>
      <c r="Y368" s="43">
        <v>178.93649669999999</v>
      </c>
      <c r="Z368" s="43">
        <f t="shared" si="72"/>
        <v>0</v>
      </c>
      <c r="AA368" s="43">
        <f t="shared" si="73"/>
        <v>478718</v>
      </c>
      <c r="AB368" s="43">
        <f t="shared" si="74"/>
        <v>186107</v>
      </c>
      <c r="AC368" s="43">
        <f t="shared" si="84"/>
        <v>7.5967312731255288E-2</v>
      </c>
      <c r="AD368" s="43">
        <f t="shared" si="85"/>
        <v>0.80847972010000058</v>
      </c>
      <c r="AF368" s="43">
        <v>11.595255194542988</v>
      </c>
      <c r="AG368" s="43">
        <v>5.0702984E-2</v>
      </c>
      <c r="AH368" s="43">
        <v>1.6105654E-2</v>
      </c>
      <c r="AI368" s="43">
        <v>0.83790242800000003</v>
      </c>
      <c r="AJ368" s="43">
        <v>3.2645827189999999</v>
      </c>
      <c r="AK368" s="43">
        <v>7.6572634940000004</v>
      </c>
      <c r="AL368" s="43">
        <v>1.0054667999999999E-2</v>
      </c>
      <c r="AM368" s="230">
        <v>0.11087691597277047</v>
      </c>
      <c r="AN368" s="43">
        <v>0.83957219299999997</v>
      </c>
    </row>
    <row r="369" spans="1:40" x14ac:dyDescent="0.25">
      <c r="A369" s="134">
        <v>359</v>
      </c>
      <c r="B369" s="134" t="s">
        <v>209</v>
      </c>
      <c r="C369" s="134" t="s">
        <v>210</v>
      </c>
      <c r="D369" s="134" t="s">
        <v>211</v>
      </c>
      <c r="E369" s="134">
        <v>278</v>
      </c>
      <c r="F369" s="134">
        <v>670</v>
      </c>
      <c r="G369" s="134">
        <v>33</v>
      </c>
      <c r="H369" s="134">
        <v>47</v>
      </c>
      <c r="I369" s="200">
        <v>5.1335391453999998E-2</v>
      </c>
      <c r="J369" s="134">
        <v>717</v>
      </c>
      <c r="K369" s="134">
        <v>13966.9724861</v>
      </c>
      <c r="L369" s="42">
        <v>0.82240785565399999</v>
      </c>
      <c r="M369" s="42">
        <v>0.14461538461500001</v>
      </c>
      <c r="N369" s="134">
        <v>0</v>
      </c>
      <c r="O369" s="43" t="s">
        <v>664</v>
      </c>
      <c r="P369" s="43">
        <f t="shared" si="75"/>
        <v>11.237252200290524</v>
      </c>
      <c r="Q369" s="43">
        <f t="shared" si="76"/>
        <v>5.7833127999999998E-2</v>
      </c>
      <c r="R369" s="43">
        <f t="shared" si="77"/>
        <v>1.5798355E-2</v>
      </c>
      <c r="S369" s="43">
        <f t="shared" si="78"/>
        <v>0.82240785599999999</v>
      </c>
      <c r="T369" s="43">
        <f t="shared" si="79"/>
        <v>3.1406401549999998</v>
      </c>
      <c r="U369" s="43">
        <f t="shared" si="80"/>
        <v>7.0948837659999997</v>
      </c>
      <c r="V369" s="43">
        <f t="shared" si="81"/>
        <v>5.2899940000000001E-3</v>
      </c>
      <c r="W369" s="230">
        <f t="shared" si="82"/>
        <v>0.13349267049075844</v>
      </c>
      <c r="X369" s="43">
        <f t="shared" si="83"/>
        <v>0.80340981499999997</v>
      </c>
      <c r="Y369" s="43">
        <v>266.46293709999998</v>
      </c>
      <c r="Z369" s="43">
        <f t="shared" si="72"/>
        <v>0</v>
      </c>
      <c r="AA369" s="43">
        <f t="shared" si="73"/>
        <v>478718</v>
      </c>
      <c r="AB369" s="43">
        <f t="shared" si="74"/>
        <v>186107</v>
      </c>
      <c r="AC369" s="43">
        <f t="shared" si="84"/>
        <v>7.5967312731255288E-2</v>
      </c>
      <c r="AD369" s="43">
        <f t="shared" si="85"/>
        <v>0.80847972010000058</v>
      </c>
      <c r="AF369" s="43">
        <v>11.237252200290524</v>
      </c>
      <c r="AG369" s="43">
        <v>5.7833127999999998E-2</v>
      </c>
      <c r="AH369" s="43">
        <v>1.5798355E-2</v>
      </c>
      <c r="AI369" s="43">
        <v>0.82240785599999999</v>
      </c>
      <c r="AJ369" s="43">
        <v>3.1406401549999998</v>
      </c>
      <c r="AK369" s="43">
        <v>7.0948837659999997</v>
      </c>
      <c r="AL369" s="43">
        <v>5.2899940000000001E-3</v>
      </c>
      <c r="AM369" s="230">
        <v>0.13349267049075844</v>
      </c>
      <c r="AN369" s="43">
        <v>0.80340981499999997</v>
      </c>
    </row>
    <row r="370" spans="1:40" x14ac:dyDescent="0.25">
      <c r="A370" s="134">
        <v>360</v>
      </c>
      <c r="B370" s="134" t="s">
        <v>209</v>
      </c>
      <c r="C370" s="134" t="s">
        <v>210</v>
      </c>
      <c r="D370" s="134" t="s">
        <v>211</v>
      </c>
      <c r="E370" s="134">
        <v>717</v>
      </c>
      <c r="F370" s="134">
        <v>2482</v>
      </c>
      <c r="G370" s="134">
        <v>125</v>
      </c>
      <c r="H370" s="134">
        <v>163</v>
      </c>
      <c r="I370" s="200">
        <v>0.19937283882000001</v>
      </c>
      <c r="J370" s="134">
        <v>2645</v>
      </c>
      <c r="K370" s="134">
        <v>13266.6014872</v>
      </c>
      <c r="L370" s="42">
        <v>0.80470071384599995</v>
      </c>
      <c r="M370" s="42">
        <v>0.18522727272699999</v>
      </c>
      <c r="N370" s="134">
        <v>0</v>
      </c>
      <c r="O370" s="43" t="s">
        <v>664</v>
      </c>
      <c r="P370" s="43">
        <f t="shared" si="75"/>
        <v>12.224395611764956</v>
      </c>
      <c r="Q370" s="43">
        <f t="shared" si="76"/>
        <v>7.3409893000000004E-2</v>
      </c>
      <c r="R370" s="43">
        <f t="shared" si="77"/>
        <v>1.4053569E-2</v>
      </c>
      <c r="S370" s="43">
        <f t="shared" si="78"/>
        <v>0.80470071399999998</v>
      </c>
      <c r="T370" s="43">
        <f t="shared" si="79"/>
        <v>3.3600896169999999</v>
      </c>
      <c r="U370" s="43">
        <f t="shared" si="80"/>
        <v>7.6127942879999999</v>
      </c>
      <c r="V370" s="43">
        <f t="shared" si="81"/>
        <v>8.3191210000000005E-3</v>
      </c>
      <c r="W370" s="230">
        <f t="shared" si="82"/>
        <v>0.16008148569262837</v>
      </c>
      <c r="X370" s="43">
        <f t="shared" si="83"/>
        <v>0.80140231200000001</v>
      </c>
      <c r="Y370" s="43">
        <v>138.10661680000001</v>
      </c>
      <c r="Z370" s="43">
        <f t="shared" si="72"/>
        <v>0</v>
      </c>
      <c r="AA370" s="43">
        <f t="shared" si="73"/>
        <v>478718</v>
      </c>
      <c r="AB370" s="43">
        <f t="shared" si="74"/>
        <v>186107</v>
      </c>
      <c r="AC370" s="43">
        <f t="shared" si="84"/>
        <v>7.5967312731255288E-2</v>
      </c>
      <c r="AD370" s="43">
        <f t="shared" si="85"/>
        <v>0.80847972010000058</v>
      </c>
      <c r="AF370" s="43">
        <v>12.224395611764956</v>
      </c>
      <c r="AG370" s="43">
        <v>7.3409893000000004E-2</v>
      </c>
      <c r="AH370" s="43">
        <v>1.4053569E-2</v>
      </c>
      <c r="AI370" s="43">
        <v>0.80470071399999998</v>
      </c>
      <c r="AJ370" s="43">
        <v>3.3600896169999999</v>
      </c>
      <c r="AK370" s="43">
        <v>7.6127942879999999</v>
      </c>
      <c r="AL370" s="43">
        <v>8.3191210000000005E-3</v>
      </c>
      <c r="AM370" s="230">
        <v>0.16008148569262837</v>
      </c>
      <c r="AN370" s="43">
        <v>0.80140231200000001</v>
      </c>
    </row>
    <row r="371" spans="1:40" x14ac:dyDescent="0.25">
      <c r="A371" s="134">
        <v>361</v>
      </c>
      <c r="B371" s="134" t="s">
        <v>209</v>
      </c>
      <c r="C371" s="134" t="s">
        <v>210</v>
      </c>
      <c r="D371" s="134" t="s">
        <v>211</v>
      </c>
      <c r="E371" s="134">
        <v>42</v>
      </c>
      <c r="F371" s="134">
        <v>144</v>
      </c>
      <c r="G371" s="134">
        <v>171</v>
      </c>
      <c r="H371" s="134">
        <v>122</v>
      </c>
      <c r="I371" s="200">
        <v>0.274084931832</v>
      </c>
      <c r="J371" s="134">
        <v>266</v>
      </c>
      <c r="K371" s="134">
        <v>970.50209299200003</v>
      </c>
      <c r="L371" s="42">
        <v>0.85905313411700002</v>
      </c>
      <c r="M371" s="42">
        <v>0.743902439024</v>
      </c>
      <c r="N371" s="134">
        <v>0</v>
      </c>
      <c r="O371" s="43" t="s">
        <v>666</v>
      </c>
      <c r="P371" s="43">
        <f t="shared" si="75"/>
        <v>13.244677126491688</v>
      </c>
      <c r="Q371" s="43">
        <f t="shared" si="76"/>
        <v>4.2922818000000001E-2</v>
      </c>
      <c r="R371" s="43">
        <f t="shared" si="77"/>
        <v>1.1559544E-2</v>
      </c>
      <c r="S371" s="43">
        <f t="shared" si="78"/>
        <v>0.85905313400000005</v>
      </c>
      <c r="T371" s="43">
        <f t="shared" si="79"/>
        <v>3.6592664090000002</v>
      </c>
      <c r="U371" s="43">
        <f t="shared" si="80"/>
        <v>8.2508209269999995</v>
      </c>
      <c r="V371" s="43">
        <f t="shared" si="81"/>
        <v>4.9728410000000004E-3</v>
      </c>
      <c r="W371" s="230">
        <f t="shared" si="82"/>
        <v>6.0133119118659629E-2</v>
      </c>
      <c r="X371" s="43">
        <f t="shared" si="83"/>
        <v>0.85127381199999996</v>
      </c>
      <c r="Y371" s="43">
        <v>57.916171589999998</v>
      </c>
      <c r="Z371" s="43">
        <f t="shared" si="72"/>
        <v>0</v>
      </c>
      <c r="AA371" s="43">
        <f t="shared" si="73"/>
        <v>478718</v>
      </c>
      <c r="AB371" s="43">
        <f t="shared" si="74"/>
        <v>186107</v>
      </c>
      <c r="AC371" s="43">
        <f t="shared" si="84"/>
        <v>7.5967312731255288E-2</v>
      </c>
      <c r="AD371" s="43">
        <f t="shared" si="85"/>
        <v>0.80847972010000058</v>
      </c>
      <c r="AF371" s="43">
        <v>13.244677126491688</v>
      </c>
      <c r="AG371" s="43">
        <v>4.2922818000000001E-2</v>
      </c>
      <c r="AH371" s="43">
        <v>1.1559544E-2</v>
      </c>
      <c r="AI371" s="43">
        <v>0.85905313400000005</v>
      </c>
      <c r="AJ371" s="43">
        <v>3.6592664090000002</v>
      </c>
      <c r="AK371" s="43">
        <v>8.2508209269999995</v>
      </c>
      <c r="AL371" s="43">
        <v>4.9728410000000004E-3</v>
      </c>
      <c r="AM371" s="230">
        <v>6.0133119118659629E-2</v>
      </c>
      <c r="AN371" s="43">
        <v>0.85127381199999996</v>
      </c>
    </row>
    <row r="372" spans="1:40" x14ac:dyDescent="0.25">
      <c r="A372" s="134">
        <v>362</v>
      </c>
      <c r="B372" s="134" t="s">
        <v>209</v>
      </c>
      <c r="C372" s="134" t="s">
        <v>210</v>
      </c>
      <c r="D372" s="134" t="s">
        <v>211</v>
      </c>
      <c r="E372" s="134">
        <v>994</v>
      </c>
      <c r="F372" s="134">
        <v>2476</v>
      </c>
      <c r="G372" s="134">
        <v>139</v>
      </c>
      <c r="H372" s="134">
        <v>90</v>
      </c>
      <c r="I372" s="200">
        <v>0.21952649178700001</v>
      </c>
      <c r="J372" s="134">
        <v>2566</v>
      </c>
      <c r="K372" s="134">
        <v>11688.7942731</v>
      </c>
      <c r="L372" s="42">
        <v>0.82909774369099998</v>
      </c>
      <c r="M372" s="42">
        <v>8.3025830258300001E-2</v>
      </c>
      <c r="N372" s="134">
        <v>0</v>
      </c>
      <c r="O372" s="43" t="s">
        <v>666</v>
      </c>
      <c r="P372" s="43">
        <f t="shared" si="75"/>
        <v>12.188981533068201</v>
      </c>
      <c r="Q372" s="43">
        <f t="shared" si="76"/>
        <v>6.4625031999999999E-2</v>
      </c>
      <c r="R372" s="43">
        <f t="shared" si="77"/>
        <v>1.7369926000000001E-2</v>
      </c>
      <c r="S372" s="43">
        <f t="shared" si="78"/>
        <v>0.82909774400000003</v>
      </c>
      <c r="T372" s="43">
        <f t="shared" si="79"/>
        <v>3.407783201</v>
      </c>
      <c r="U372" s="43">
        <f t="shared" si="80"/>
        <v>8.0575009810000005</v>
      </c>
      <c r="V372" s="43">
        <f t="shared" si="81"/>
        <v>5.6876139999999997E-3</v>
      </c>
      <c r="W372" s="230">
        <f t="shared" si="82"/>
        <v>0.13799946782562419</v>
      </c>
      <c r="X372" s="43">
        <f t="shared" si="83"/>
        <v>0.82708767599999999</v>
      </c>
      <c r="Y372" s="43">
        <v>114.8933239</v>
      </c>
      <c r="Z372" s="43">
        <f t="shared" si="72"/>
        <v>0</v>
      </c>
      <c r="AA372" s="43">
        <f t="shared" si="73"/>
        <v>478718</v>
      </c>
      <c r="AB372" s="43">
        <f t="shared" si="74"/>
        <v>186107</v>
      </c>
      <c r="AC372" s="43">
        <f t="shared" si="84"/>
        <v>7.5967312731255288E-2</v>
      </c>
      <c r="AD372" s="43">
        <f t="shared" si="85"/>
        <v>0.80847972010000058</v>
      </c>
      <c r="AF372" s="43">
        <v>12.188981533068201</v>
      </c>
      <c r="AG372" s="43">
        <v>6.4625031999999999E-2</v>
      </c>
      <c r="AH372" s="43">
        <v>1.7369926000000001E-2</v>
      </c>
      <c r="AI372" s="43">
        <v>0.82909774400000003</v>
      </c>
      <c r="AJ372" s="43">
        <v>3.407783201</v>
      </c>
      <c r="AK372" s="43">
        <v>8.0575009810000005</v>
      </c>
      <c r="AL372" s="43">
        <v>5.6876139999999997E-3</v>
      </c>
      <c r="AM372" s="230">
        <v>0.13799946782562419</v>
      </c>
      <c r="AN372" s="43">
        <v>0.82708767599999999</v>
      </c>
    </row>
    <row r="373" spans="1:40" x14ac:dyDescent="0.25">
      <c r="A373" s="134">
        <v>363</v>
      </c>
      <c r="B373" s="134" t="s">
        <v>209</v>
      </c>
      <c r="C373" s="134" t="s">
        <v>210</v>
      </c>
      <c r="D373" s="134" t="s">
        <v>211</v>
      </c>
      <c r="E373" s="134">
        <v>762</v>
      </c>
      <c r="F373" s="134">
        <v>1899</v>
      </c>
      <c r="G373" s="134">
        <v>83</v>
      </c>
      <c r="H373" s="134">
        <v>169</v>
      </c>
      <c r="I373" s="200">
        <v>0.13107050416900001</v>
      </c>
      <c r="J373" s="134">
        <v>2068</v>
      </c>
      <c r="K373" s="134">
        <v>15777.767951</v>
      </c>
      <c r="L373" s="42">
        <v>0.82517713059599995</v>
      </c>
      <c r="M373" s="42">
        <v>0.18152524167600001</v>
      </c>
      <c r="N373" s="134">
        <v>0</v>
      </c>
      <c r="O373" s="43" t="s">
        <v>664</v>
      </c>
      <c r="P373" s="43">
        <f t="shared" si="75"/>
        <v>12.902089770938943</v>
      </c>
      <c r="Q373" s="43">
        <f t="shared" si="76"/>
        <v>6.3035023999999995E-2</v>
      </c>
      <c r="R373" s="43">
        <f t="shared" si="77"/>
        <v>1.7464405999999998E-2</v>
      </c>
      <c r="S373" s="43">
        <f t="shared" si="78"/>
        <v>0.82517713100000001</v>
      </c>
      <c r="T373" s="43">
        <f t="shared" si="79"/>
        <v>3.4273435619999999</v>
      </c>
      <c r="U373" s="43">
        <f t="shared" si="80"/>
        <v>8.5217696410000006</v>
      </c>
      <c r="V373" s="43">
        <f t="shared" si="81"/>
        <v>8.7272909999999999E-3</v>
      </c>
      <c r="W373" s="230">
        <f t="shared" si="82"/>
        <v>0.12428262418884958</v>
      </c>
      <c r="X373" s="43">
        <f t="shared" si="83"/>
        <v>0.82697958199999999</v>
      </c>
      <c r="Y373" s="43">
        <v>64.139667299999999</v>
      </c>
      <c r="Z373" s="43">
        <f t="shared" si="72"/>
        <v>0</v>
      </c>
      <c r="AA373" s="43">
        <f t="shared" si="73"/>
        <v>478718</v>
      </c>
      <c r="AB373" s="43">
        <f t="shared" si="74"/>
        <v>186107</v>
      </c>
      <c r="AC373" s="43">
        <f t="shared" si="84"/>
        <v>7.5967312731255288E-2</v>
      </c>
      <c r="AD373" s="43">
        <f t="shared" si="85"/>
        <v>0.80847972010000058</v>
      </c>
      <c r="AF373" s="43">
        <v>12.902089770938943</v>
      </c>
      <c r="AG373" s="43">
        <v>6.3035023999999995E-2</v>
      </c>
      <c r="AH373" s="43">
        <v>1.7464405999999998E-2</v>
      </c>
      <c r="AI373" s="43">
        <v>0.82517713100000001</v>
      </c>
      <c r="AJ373" s="43">
        <v>3.4273435619999999</v>
      </c>
      <c r="AK373" s="43">
        <v>8.5217696410000006</v>
      </c>
      <c r="AL373" s="43">
        <v>8.7272909999999999E-3</v>
      </c>
      <c r="AM373" s="230">
        <v>0.12428262418884958</v>
      </c>
      <c r="AN373" s="43">
        <v>0.82697958199999999</v>
      </c>
    </row>
    <row r="374" spans="1:40" x14ac:dyDescent="0.25">
      <c r="A374" s="134">
        <v>364</v>
      </c>
      <c r="B374" s="134" t="s">
        <v>209</v>
      </c>
      <c r="C374" s="134" t="s">
        <v>210</v>
      </c>
      <c r="D374" s="134" t="s">
        <v>211</v>
      </c>
      <c r="E374" s="134">
        <v>196</v>
      </c>
      <c r="F374" s="134">
        <v>637</v>
      </c>
      <c r="G374" s="134">
        <v>45</v>
      </c>
      <c r="H374" s="134">
        <v>100</v>
      </c>
      <c r="I374" s="200">
        <v>6.9570689264099997E-2</v>
      </c>
      <c r="J374" s="134">
        <v>737</v>
      </c>
      <c r="K374" s="134">
        <v>10593.541731400001</v>
      </c>
      <c r="L374" s="42">
        <v>0.80221637228300002</v>
      </c>
      <c r="M374" s="42">
        <v>0.33783783783799998</v>
      </c>
      <c r="N374" s="134">
        <v>0</v>
      </c>
      <c r="O374" s="43" t="s">
        <v>664</v>
      </c>
      <c r="P374" s="43">
        <f t="shared" si="75"/>
        <v>11.831964294844376</v>
      </c>
      <c r="Q374" s="43">
        <f t="shared" si="76"/>
        <v>6.7145041000000003E-2</v>
      </c>
      <c r="R374" s="43">
        <f t="shared" si="77"/>
        <v>1.8206521999999999E-2</v>
      </c>
      <c r="S374" s="43">
        <f t="shared" si="78"/>
        <v>0.80221637199999996</v>
      </c>
      <c r="T374" s="43">
        <f t="shared" si="79"/>
        <v>3.2042661720000001</v>
      </c>
      <c r="U374" s="43">
        <f t="shared" si="80"/>
        <v>7.4191821129999997</v>
      </c>
      <c r="V374" s="43">
        <f t="shared" si="81"/>
        <v>7.3336249999999999E-3</v>
      </c>
      <c r="W374" s="230">
        <f t="shared" si="82"/>
        <v>0.1169731465265616</v>
      </c>
      <c r="X374" s="43">
        <f t="shared" si="83"/>
        <v>0.79312609499999998</v>
      </c>
      <c r="Y374" s="43">
        <v>80.451744649999995</v>
      </c>
      <c r="Z374" s="43">
        <f t="shared" si="72"/>
        <v>0</v>
      </c>
      <c r="AA374" s="43">
        <f t="shared" si="73"/>
        <v>478718</v>
      </c>
      <c r="AB374" s="43">
        <f t="shared" si="74"/>
        <v>186107</v>
      </c>
      <c r="AC374" s="43">
        <f t="shared" si="84"/>
        <v>7.5967312731255288E-2</v>
      </c>
      <c r="AD374" s="43">
        <f t="shared" si="85"/>
        <v>0.80847972010000058</v>
      </c>
      <c r="AF374" s="43">
        <v>11.831964294844376</v>
      </c>
      <c r="AG374" s="43">
        <v>6.7145041000000003E-2</v>
      </c>
      <c r="AH374" s="43">
        <v>1.8206521999999999E-2</v>
      </c>
      <c r="AI374" s="43">
        <v>0.80221637199999996</v>
      </c>
      <c r="AJ374" s="43">
        <v>3.2042661720000001</v>
      </c>
      <c r="AK374" s="43">
        <v>7.4191821129999997</v>
      </c>
      <c r="AL374" s="43">
        <v>7.3336249999999999E-3</v>
      </c>
      <c r="AM374" s="230">
        <v>0.1169731465265616</v>
      </c>
      <c r="AN374" s="43">
        <v>0.79312609499999998</v>
      </c>
    </row>
    <row r="375" spans="1:40" x14ac:dyDescent="0.25">
      <c r="A375" s="134">
        <v>365</v>
      </c>
      <c r="B375" s="134" t="s">
        <v>209</v>
      </c>
      <c r="C375" s="134" t="s">
        <v>210</v>
      </c>
      <c r="D375" s="134" t="s">
        <v>211</v>
      </c>
      <c r="E375" s="134">
        <v>107</v>
      </c>
      <c r="F375" s="134">
        <v>349</v>
      </c>
      <c r="G375" s="134">
        <v>46</v>
      </c>
      <c r="H375" s="134">
        <v>1965</v>
      </c>
      <c r="I375" s="200">
        <v>7.0766485689399999E-2</v>
      </c>
      <c r="J375" s="134">
        <v>2314</v>
      </c>
      <c r="K375" s="134">
        <v>32699.094457700001</v>
      </c>
      <c r="L375" s="42">
        <v>0.83261950656200001</v>
      </c>
      <c r="M375" s="42">
        <v>0.94835907335900005</v>
      </c>
      <c r="N375" s="134">
        <v>0</v>
      </c>
      <c r="O375" s="43" t="s">
        <v>627</v>
      </c>
      <c r="P375" s="43">
        <f t="shared" si="75"/>
        <v>12.727096533842206</v>
      </c>
      <c r="Q375" s="43">
        <f t="shared" si="76"/>
        <v>6.1162149999999998E-2</v>
      </c>
      <c r="R375" s="43">
        <f t="shared" si="77"/>
        <v>1.2326738E-2</v>
      </c>
      <c r="S375" s="43">
        <f t="shared" si="78"/>
        <v>0.83261950699999998</v>
      </c>
      <c r="T375" s="43">
        <f t="shared" si="79"/>
        <v>3.246520318</v>
      </c>
      <c r="U375" s="43">
        <f t="shared" si="80"/>
        <v>8.2090285240000007</v>
      </c>
      <c r="V375" s="43">
        <f t="shared" si="81"/>
        <v>1.2424407E-2</v>
      </c>
      <c r="W375" s="230">
        <f t="shared" si="82"/>
        <v>0.11599285431889067</v>
      </c>
      <c r="X375" s="43">
        <f t="shared" si="83"/>
        <v>0.80372805400000003</v>
      </c>
      <c r="Y375" s="43">
        <v>79.472298969999997</v>
      </c>
      <c r="Z375" s="43">
        <f t="shared" si="72"/>
        <v>0</v>
      </c>
      <c r="AA375" s="43">
        <f t="shared" si="73"/>
        <v>478718</v>
      </c>
      <c r="AB375" s="43">
        <f t="shared" si="74"/>
        <v>186107</v>
      </c>
      <c r="AC375" s="43">
        <f t="shared" si="84"/>
        <v>7.5967312731255288E-2</v>
      </c>
      <c r="AD375" s="43">
        <f t="shared" si="85"/>
        <v>0.80847972010000058</v>
      </c>
      <c r="AF375" s="43">
        <v>12.727096533842206</v>
      </c>
      <c r="AG375" s="43">
        <v>6.1162149999999998E-2</v>
      </c>
      <c r="AH375" s="43">
        <v>1.2326738E-2</v>
      </c>
      <c r="AI375" s="43">
        <v>0.83261950699999998</v>
      </c>
      <c r="AJ375" s="43">
        <v>3.246520318</v>
      </c>
      <c r="AK375" s="43">
        <v>8.2090285240000007</v>
      </c>
      <c r="AL375" s="43">
        <v>1.2424407E-2</v>
      </c>
      <c r="AM375" s="230">
        <v>0.11599285431889067</v>
      </c>
      <c r="AN375" s="43">
        <v>0.80372805400000003</v>
      </c>
    </row>
    <row r="376" spans="1:40" x14ac:dyDescent="0.25">
      <c r="A376" s="134">
        <v>366</v>
      </c>
      <c r="B376" s="134" t="s">
        <v>209</v>
      </c>
      <c r="C376" s="134" t="s">
        <v>210</v>
      </c>
      <c r="D376" s="134" t="s">
        <v>211</v>
      </c>
      <c r="E376" s="134">
        <v>456</v>
      </c>
      <c r="F376" s="134">
        <v>1480</v>
      </c>
      <c r="G376" s="134">
        <v>54</v>
      </c>
      <c r="H376" s="134">
        <v>33</v>
      </c>
      <c r="I376" s="200">
        <v>8.3761674417200005E-2</v>
      </c>
      <c r="J376" s="134">
        <v>1513</v>
      </c>
      <c r="K376" s="134">
        <v>18063.153709900002</v>
      </c>
      <c r="L376" s="42">
        <v>0.79818347037399995</v>
      </c>
      <c r="M376" s="42">
        <v>6.7484662576699994E-2</v>
      </c>
      <c r="N376" s="134">
        <v>0</v>
      </c>
      <c r="O376" s="43" t="s">
        <v>664</v>
      </c>
      <c r="P376" s="43">
        <f t="shared" si="75"/>
        <v>11.851011756936858</v>
      </c>
      <c r="Q376" s="43">
        <f t="shared" si="76"/>
        <v>7.1598087000000005E-2</v>
      </c>
      <c r="R376" s="43">
        <f t="shared" si="77"/>
        <v>2.0467939000000001E-2</v>
      </c>
      <c r="S376" s="43">
        <f t="shared" si="78"/>
        <v>0.79818347000000001</v>
      </c>
      <c r="T376" s="43">
        <f t="shared" si="79"/>
        <v>3.1961480529999999</v>
      </c>
      <c r="U376" s="43">
        <f t="shared" si="80"/>
        <v>7.4025488590000004</v>
      </c>
      <c r="V376" s="43">
        <f t="shared" si="81"/>
        <v>6.2655289999999997E-3</v>
      </c>
      <c r="W376" s="230">
        <f t="shared" si="82"/>
        <v>0.16569082856216916</v>
      </c>
      <c r="X376" s="43">
        <f t="shared" si="83"/>
        <v>0.77845954399999995</v>
      </c>
      <c r="Y376" s="43">
        <v>84.312506029999994</v>
      </c>
      <c r="Z376" s="43">
        <f t="shared" si="72"/>
        <v>0</v>
      </c>
      <c r="AA376" s="43">
        <f t="shared" si="73"/>
        <v>478718</v>
      </c>
      <c r="AB376" s="43">
        <f t="shared" si="74"/>
        <v>186107</v>
      </c>
      <c r="AC376" s="43">
        <f t="shared" si="84"/>
        <v>7.5967312731255288E-2</v>
      </c>
      <c r="AD376" s="43">
        <f t="shared" si="85"/>
        <v>0.80847972010000058</v>
      </c>
      <c r="AF376" s="43">
        <v>11.851011756936858</v>
      </c>
      <c r="AG376" s="43">
        <v>7.1598087000000005E-2</v>
      </c>
      <c r="AH376" s="43">
        <v>2.0467939000000001E-2</v>
      </c>
      <c r="AI376" s="43">
        <v>0.79818347000000001</v>
      </c>
      <c r="AJ376" s="43">
        <v>3.1961480529999999</v>
      </c>
      <c r="AK376" s="43">
        <v>7.4025488590000004</v>
      </c>
      <c r="AL376" s="43">
        <v>6.2655289999999997E-3</v>
      </c>
      <c r="AM376" s="230">
        <v>0.16569082856216916</v>
      </c>
      <c r="AN376" s="43">
        <v>0.77845954399999995</v>
      </c>
    </row>
    <row r="377" spans="1:40" x14ac:dyDescent="0.25">
      <c r="A377" s="134">
        <v>367</v>
      </c>
      <c r="B377" s="134" t="s">
        <v>209</v>
      </c>
      <c r="C377" s="134" t="s">
        <v>210</v>
      </c>
      <c r="D377" s="134" t="s">
        <v>211</v>
      </c>
      <c r="E377" s="134">
        <v>367</v>
      </c>
      <c r="F377" s="134">
        <v>1192</v>
      </c>
      <c r="G377" s="134">
        <v>42</v>
      </c>
      <c r="H377" s="134">
        <v>31</v>
      </c>
      <c r="I377" s="200">
        <v>6.5159254144800005E-2</v>
      </c>
      <c r="J377" s="134">
        <v>1223</v>
      </c>
      <c r="K377" s="134">
        <v>18769.398392499999</v>
      </c>
      <c r="L377" s="42">
        <v>0.80745885533799999</v>
      </c>
      <c r="M377" s="42">
        <v>7.7889447236200005E-2</v>
      </c>
      <c r="N377" s="134">
        <v>0</v>
      </c>
      <c r="O377" s="43" t="s">
        <v>664</v>
      </c>
      <c r="P377" s="43">
        <f t="shared" si="75"/>
        <v>11.93173188884094</v>
      </c>
      <c r="Q377" s="43">
        <f t="shared" si="76"/>
        <v>6.6324044999999998E-2</v>
      </c>
      <c r="R377" s="43">
        <f t="shared" si="77"/>
        <v>2.0830939E-2</v>
      </c>
      <c r="S377" s="43">
        <f t="shared" si="78"/>
        <v>0.80745885500000003</v>
      </c>
      <c r="T377" s="43">
        <f t="shared" si="79"/>
        <v>3.2964903090000002</v>
      </c>
      <c r="U377" s="43">
        <f t="shared" si="80"/>
        <v>7.4793622969999998</v>
      </c>
      <c r="V377" s="43">
        <f t="shared" si="81"/>
        <v>7.1965370000000002E-3</v>
      </c>
      <c r="W377" s="230">
        <f t="shared" si="82"/>
        <v>0.14260296890352392</v>
      </c>
      <c r="X377" s="43">
        <f t="shared" si="83"/>
        <v>0.80131184099999997</v>
      </c>
      <c r="Y377" s="43">
        <v>121.49138550000001</v>
      </c>
      <c r="Z377" s="43">
        <f t="shared" si="72"/>
        <v>0</v>
      </c>
      <c r="AA377" s="43">
        <f t="shared" si="73"/>
        <v>478718</v>
      </c>
      <c r="AB377" s="43">
        <f t="shared" si="74"/>
        <v>186107</v>
      </c>
      <c r="AC377" s="43">
        <f t="shared" si="84"/>
        <v>7.5967312731255288E-2</v>
      </c>
      <c r="AD377" s="43">
        <f t="shared" si="85"/>
        <v>0.80847972010000058</v>
      </c>
      <c r="AF377" s="43">
        <v>11.93173188884094</v>
      </c>
      <c r="AG377" s="43">
        <v>6.6324044999999998E-2</v>
      </c>
      <c r="AH377" s="43">
        <v>2.0830939E-2</v>
      </c>
      <c r="AI377" s="43">
        <v>0.80745885500000003</v>
      </c>
      <c r="AJ377" s="43">
        <v>3.2964903090000002</v>
      </c>
      <c r="AK377" s="43">
        <v>7.4793622969999998</v>
      </c>
      <c r="AL377" s="43">
        <v>7.1965370000000002E-3</v>
      </c>
      <c r="AM377" s="230">
        <v>0.14260296890352392</v>
      </c>
      <c r="AN377" s="43">
        <v>0.80131184099999997</v>
      </c>
    </row>
    <row r="378" spans="1:40" x14ac:dyDescent="0.25">
      <c r="A378" s="134">
        <v>368</v>
      </c>
      <c r="B378" s="134" t="s">
        <v>209</v>
      </c>
      <c r="C378" s="134" t="s">
        <v>210</v>
      </c>
      <c r="D378" s="134" t="s">
        <v>211</v>
      </c>
      <c r="E378" s="134">
        <v>717</v>
      </c>
      <c r="F378" s="134">
        <v>2330</v>
      </c>
      <c r="G378" s="134">
        <v>82</v>
      </c>
      <c r="H378" s="134">
        <v>102</v>
      </c>
      <c r="I378" s="200">
        <v>0.12710452241299999</v>
      </c>
      <c r="J378" s="134">
        <v>2432</v>
      </c>
      <c r="K378" s="134">
        <v>19133.858920400002</v>
      </c>
      <c r="L378" s="42">
        <v>0.78534031413600003</v>
      </c>
      <c r="M378" s="42">
        <v>0.124542124542</v>
      </c>
      <c r="N378" s="134">
        <v>0</v>
      </c>
      <c r="O378" s="43" t="s">
        <v>664</v>
      </c>
      <c r="P378" s="43">
        <f t="shared" si="75"/>
        <v>11.919546605293649</v>
      </c>
      <c r="Q378" s="43">
        <f t="shared" si="76"/>
        <v>7.8384671000000003E-2</v>
      </c>
      <c r="R378" s="43">
        <f t="shared" si="77"/>
        <v>2.0779712999999998E-2</v>
      </c>
      <c r="S378" s="43">
        <f t="shared" si="78"/>
        <v>0.78534031400000004</v>
      </c>
      <c r="T378" s="43">
        <f t="shared" si="79"/>
        <v>3.1513905840000001</v>
      </c>
      <c r="U378" s="43">
        <f t="shared" si="80"/>
        <v>7.2643981469999996</v>
      </c>
      <c r="V378" s="43">
        <f t="shared" si="81"/>
        <v>9.9485589999999992E-3</v>
      </c>
      <c r="W378" s="230">
        <f t="shared" si="82"/>
        <v>0.16657233772277352</v>
      </c>
      <c r="X378" s="43">
        <f t="shared" si="83"/>
        <v>0.77366084300000004</v>
      </c>
      <c r="Y378" s="43">
        <v>105.6014907</v>
      </c>
      <c r="Z378" s="43">
        <f t="shared" si="72"/>
        <v>0</v>
      </c>
      <c r="AA378" s="43">
        <f t="shared" si="73"/>
        <v>478718</v>
      </c>
      <c r="AB378" s="43">
        <f t="shared" si="74"/>
        <v>186107</v>
      </c>
      <c r="AC378" s="43">
        <f t="shared" si="84"/>
        <v>7.5967312731255288E-2</v>
      </c>
      <c r="AD378" s="43">
        <f t="shared" si="85"/>
        <v>0.80847972010000058</v>
      </c>
      <c r="AF378" s="43">
        <v>11.919546605293649</v>
      </c>
      <c r="AG378" s="43">
        <v>7.8384671000000003E-2</v>
      </c>
      <c r="AH378" s="43">
        <v>2.0779712999999998E-2</v>
      </c>
      <c r="AI378" s="43">
        <v>0.78534031400000004</v>
      </c>
      <c r="AJ378" s="43">
        <v>3.1513905840000001</v>
      </c>
      <c r="AK378" s="43">
        <v>7.2643981469999996</v>
      </c>
      <c r="AL378" s="43">
        <v>9.9485589999999992E-3</v>
      </c>
      <c r="AM378" s="230">
        <v>0.16657233772277352</v>
      </c>
      <c r="AN378" s="43">
        <v>0.77366084300000004</v>
      </c>
    </row>
    <row r="379" spans="1:40" x14ac:dyDescent="0.25">
      <c r="A379" s="134">
        <v>369</v>
      </c>
      <c r="B379" s="134" t="s">
        <v>209</v>
      </c>
      <c r="C379" s="134" t="s">
        <v>210</v>
      </c>
      <c r="D379" s="134" t="s">
        <v>211</v>
      </c>
      <c r="E379" s="134">
        <v>533</v>
      </c>
      <c r="F379" s="134">
        <v>1711</v>
      </c>
      <c r="G379" s="134">
        <v>53</v>
      </c>
      <c r="H379" s="134">
        <v>98</v>
      </c>
      <c r="I379" s="200">
        <v>8.2254111670199997E-2</v>
      </c>
      <c r="J379" s="134">
        <v>1809</v>
      </c>
      <c r="K379" s="134">
        <v>21992.821553500002</v>
      </c>
      <c r="L379" s="42">
        <v>0.79951138722600001</v>
      </c>
      <c r="M379" s="42">
        <v>0.15530903328099999</v>
      </c>
      <c r="N379" s="134">
        <v>0</v>
      </c>
      <c r="O379" s="43" t="s">
        <v>664</v>
      </c>
      <c r="P379" s="43">
        <f t="shared" si="75"/>
        <v>11.309766016125016</v>
      </c>
      <c r="Q379" s="43">
        <f t="shared" si="76"/>
        <v>6.9571115000000003E-2</v>
      </c>
      <c r="R379" s="43">
        <f t="shared" si="77"/>
        <v>2.0739813999999999E-2</v>
      </c>
      <c r="S379" s="43">
        <f t="shared" si="78"/>
        <v>0.79951138700000002</v>
      </c>
      <c r="T379" s="43">
        <f t="shared" si="79"/>
        <v>3.2624401700000001</v>
      </c>
      <c r="U379" s="43">
        <f t="shared" si="80"/>
        <v>7.2128615930000004</v>
      </c>
      <c r="V379" s="43">
        <f t="shared" si="81"/>
        <v>1.1103007999999999E-2</v>
      </c>
      <c r="W379" s="230">
        <f t="shared" si="82"/>
        <v>0.14791248860528713</v>
      </c>
      <c r="X379" s="43">
        <f t="shared" si="83"/>
        <v>0.788204193</v>
      </c>
      <c r="Y379" s="43">
        <v>127.6652461</v>
      </c>
      <c r="Z379" s="43">
        <f t="shared" si="72"/>
        <v>0</v>
      </c>
      <c r="AA379" s="43">
        <f t="shared" si="73"/>
        <v>478718</v>
      </c>
      <c r="AB379" s="43">
        <f t="shared" si="74"/>
        <v>186107</v>
      </c>
      <c r="AC379" s="43">
        <f t="shared" si="84"/>
        <v>7.5967312731255288E-2</v>
      </c>
      <c r="AD379" s="43">
        <f t="shared" si="85"/>
        <v>0.80847972010000058</v>
      </c>
      <c r="AF379" s="43">
        <v>11.309766016125016</v>
      </c>
      <c r="AG379" s="43">
        <v>6.9571115000000003E-2</v>
      </c>
      <c r="AH379" s="43">
        <v>2.0739813999999999E-2</v>
      </c>
      <c r="AI379" s="43">
        <v>0.79951138700000002</v>
      </c>
      <c r="AJ379" s="43">
        <v>3.2624401700000001</v>
      </c>
      <c r="AK379" s="43">
        <v>7.2128615930000004</v>
      </c>
      <c r="AL379" s="43">
        <v>1.1103007999999999E-2</v>
      </c>
      <c r="AM379" s="230">
        <v>0.14791248860528713</v>
      </c>
      <c r="AN379" s="43">
        <v>0.788204193</v>
      </c>
    </row>
    <row r="380" spans="1:40" x14ac:dyDescent="0.25">
      <c r="A380" s="134">
        <v>370</v>
      </c>
      <c r="B380" s="134" t="s">
        <v>209</v>
      </c>
      <c r="C380" s="134" t="s">
        <v>210</v>
      </c>
      <c r="D380" s="134" t="s">
        <v>211</v>
      </c>
      <c r="E380" s="134">
        <v>622</v>
      </c>
      <c r="F380" s="134">
        <v>1997</v>
      </c>
      <c r="G380" s="134">
        <v>70</v>
      </c>
      <c r="H380" s="134">
        <v>312</v>
      </c>
      <c r="I380" s="200">
        <v>0.10897223169299999</v>
      </c>
      <c r="J380" s="134">
        <v>2309</v>
      </c>
      <c r="K380" s="134">
        <v>21188.884215099999</v>
      </c>
      <c r="L380" s="42">
        <v>0.79757405695299999</v>
      </c>
      <c r="M380" s="42">
        <v>0.33404710920800001</v>
      </c>
      <c r="N380" s="134">
        <v>0</v>
      </c>
      <c r="O380" s="43" t="s">
        <v>664</v>
      </c>
      <c r="P380" s="43">
        <f t="shared" si="75"/>
        <v>11.459230311585413</v>
      </c>
      <c r="Q380" s="43">
        <f t="shared" si="76"/>
        <v>7.3129720999999995E-2</v>
      </c>
      <c r="R380" s="43">
        <f t="shared" si="77"/>
        <v>2.001795E-2</v>
      </c>
      <c r="S380" s="43">
        <f t="shared" si="78"/>
        <v>0.79757405699999995</v>
      </c>
      <c r="T380" s="43">
        <f t="shared" si="79"/>
        <v>3.2238564300000001</v>
      </c>
      <c r="U380" s="43">
        <f t="shared" si="80"/>
        <v>7.2335385360000002</v>
      </c>
      <c r="V380" s="43">
        <f t="shared" si="81"/>
        <v>1.4366268999999999E-2</v>
      </c>
      <c r="W380" s="230">
        <f t="shared" si="82"/>
        <v>0.14593105215942587</v>
      </c>
      <c r="X380" s="43">
        <f t="shared" si="83"/>
        <v>0.78085351800000002</v>
      </c>
      <c r="Y380" s="43">
        <v>137.20153300000001</v>
      </c>
      <c r="Z380" s="43">
        <f t="shared" si="72"/>
        <v>0</v>
      </c>
      <c r="AA380" s="43">
        <f t="shared" si="73"/>
        <v>478718</v>
      </c>
      <c r="AB380" s="43">
        <f t="shared" si="74"/>
        <v>186107</v>
      </c>
      <c r="AC380" s="43">
        <f t="shared" si="84"/>
        <v>7.5967312731255288E-2</v>
      </c>
      <c r="AD380" s="43">
        <f t="shared" si="85"/>
        <v>0.80847972010000058</v>
      </c>
      <c r="AF380" s="43">
        <v>11.459230311585413</v>
      </c>
      <c r="AG380" s="43">
        <v>7.3129720999999995E-2</v>
      </c>
      <c r="AH380" s="43">
        <v>2.001795E-2</v>
      </c>
      <c r="AI380" s="43">
        <v>0.79757405699999995</v>
      </c>
      <c r="AJ380" s="43">
        <v>3.2238564300000001</v>
      </c>
      <c r="AK380" s="43">
        <v>7.2335385360000002</v>
      </c>
      <c r="AL380" s="43">
        <v>1.4366268999999999E-2</v>
      </c>
      <c r="AM380" s="230">
        <v>0.14593105215942587</v>
      </c>
      <c r="AN380" s="43">
        <v>0.78085351800000002</v>
      </c>
    </row>
    <row r="381" spans="1:40" x14ac:dyDescent="0.25">
      <c r="A381" s="134">
        <v>371</v>
      </c>
      <c r="B381" s="134" t="s">
        <v>209</v>
      </c>
      <c r="C381" s="134" t="s">
        <v>210</v>
      </c>
      <c r="D381" s="134" t="s">
        <v>211</v>
      </c>
      <c r="E381" s="134">
        <v>531</v>
      </c>
      <c r="F381" s="134">
        <v>1705</v>
      </c>
      <c r="G381" s="134">
        <v>80</v>
      </c>
      <c r="H381" s="134">
        <v>368</v>
      </c>
      <c r="I381" s="200">
        <v>0.123877335782</v>
      </c>
      <c r="J381" s="134">
        <v>2073</v>
      </c>
      <c r="K381" s="134">
        <v>16734.2959624</v>
      </c>
      <c r="L381" s="42">
        <v>0.80789750404799998</v>
      </c>
      <c r="M381" s="42">
        <v>0.40934371523899998</v>
      </c>
      <c r="N381" s="134">
        <v>0</v>
      </c>
      <c r="O381" s="43" t="s">
        <v>664</v>
      </c>
      <c r="P381" s="43">
        <f t="shared" si="75"/>
        <v>11.711629250473504</v>
      </c>
      <c r="Q381" s="43">
        <f t="shared" si="76"/>
        <v>6.5488901000000002E-2</v>
      </c>
      <c r="R381" s="43">
        <f t="shared" si="77"/>
        <v>1.8824470999999999E-2</v>
      </c>
      <c r="S381" s="43">
        <f t="shared" si="78"/>
        <v>0.80789750400000004</v>
      </c>
      <c r="T381" s="43">
        <f t="shared" si="79"/>
        <v>3.2731879080000001</v>
      </c>
      <c r="U381" s="43">
        <f t="shared" si="80"/>
        <v>7.6328648350000003</v>
      </c>
      <c r="V381" s="43">
        <f t="shared" si="81"/>
        <v>1.1903649000000001E-2</v>
      </c>
      <c r="W381" s="230">
        <f t="shared" si="82"/>
        <v>0.12121414543559873</v>
      </c>
      <c r="X381" s="43">
        <f t="shared" si="83"/>
        <v>0.80577413799999997</v>
      </c>
      <c r="Y381" s="43">
        <v>125.2604048</v>
      </c>
      <c r="Z381" s="43">
        <f t="shared" si="72"/>
        <v>0</v>
      </c>
      <c r="AA381" s="43">
        <f t="shared" si="73"/>
        <v>478718</v>
      </c>
      <c r="AB381" s="43">
        <f t="shared" si="74"/>
        <v>186107</v>
      </c>
      <c r="AC381" s="43">
        <f t="shared" si="84"/>
        <v>7.5967312731255288E-2</v>
      </c>
      <c r="AD381" s="43">
        <f t="shared" si="85"/>
        <v>0.80847972010000058</v>
      </c>
      <c r="AF381" s="43">
        <v>11.711629250473504</v>
      </c>
      <c r="AG381" s="43">
        <v>6.5488901000000002E-2</v>
      </c>
      <c r="AH381" s="43">
        <v>1.8824470999999999E-2</v>
      </c>
      <c r="AI381" s="43">
        <v>0.80789750400000004</v>
      </c>
      <c r="AJ381" s="43">
        <v>3.2731879080000001</v>
      </c>
      <c r="AK381" s="43">
        <v>7.6328648350000003</v>
      </c>
      <c r="AL381" s="43">
        <v>1.1903649000000001E-2</v>
      </c>
      <c r="AM381" s="230">
        <v>0.12121414543559873</v>
      </c>
      <c r="AN381" s="43">
        <v>0.80577413799999997</v>
      </c>
    </row>
    <row r="382" spans="1:40" x14ac:dyDescent="0.25">
      <c r="A382" s="134">
        <v>372</v>
      </c>
      <c r="B382" s="134" t="s">
        <v>209</v>
      </c>
      <c r="C382" s="134" t="s">
        <v>210</v>
      </c>
      <c r="D382" s="134" t="s">
        <v>211</v>
      </c>
      <c r="E382" s="134">
        <v>770</v>
      </c>
      <c r="F382" s="134">
        <v>2472</v>
      </c>
      <c r="G382" s="134">
        <v>78</v>
      </c>
      <c r="H382" s="134">
        <v>486</v>
      </c>
      <c r="I382" s="200">
        <v>0.12158278482400001</v>
      </c>
      <c r="J382" s="134">
        <v>2958</v>
      </c>
      <c r="K382" s="134">
        <v>24329.1022185</v>
      </c>
      <c r="L382" s="42">
        <v>0.80081071636599999</v>
      </c>
      <c r="M382" s="42">
        <v>0.38694267515899999</v>
      </c>
      <c r="N382" s="134">
        <v>0</v>
      </c>
      <c r="O382" s="43" t="s">
        <v>664</v>
      </c>
      <c r="P382" s="43">
        <f t="shared" si="75"/>
        <v>11.400432524907213</v>
      </c>
      <c r="Q382" s="43">
        <f t="shared" si="76"/>
        <v>7.0287711000000003E-2</v>
      </c>
      <c r="R382" s="43">
        <f t="shared" si="77"/>
        <v>2.0368084000000002E-2</v>
      </c>
      <c r="S382" s="43">
        <f t="shared" si="78"/>
        <v>0.80081071599999998</v>
      </c>
      <c r="T382" s="43">
        <f t="shared" si="79"/>
        <v>3.2517903179999998</v>
      </c>
      <c r="U382" s="43">
        <f t="shared" si="80"/>
        <v>7.6565463720000002</v>
      </c>
      <c r="V382" s="43">
        <f t="shared" si="81"/>
        <v>1.4939354E-2</v>
      </c>
      <c r="W382" s="230">
        <f t="shared" si="82"/>
        <v>0.13969792954264523</v>
      </c>
      <c r="X382" s="43">
        <f t="shared" si="83"/>
        <v>0.7890625</v>
      </c>
      <c r="Y382" s="43">
        <v>240.7647685</v>
      </c>
      <c r="Z382" s="43">
        <f t="shared" si="72"/>
        <v>0</v>
      </c>
      <c r="AA382" s="43">
        <f t="shared" si="73"/>
        <v>478718</v>
      </c>
      <c r="AB382" s="43">
        <f t="shared" si="74"/>
        <v>186107</v>
      </c>
      <c r="AC382" s="43">
        <f t="shared" si="84"/>
        <v>7.5967312731255288E-2</v>
      </c>
      <c r="AD382" s="43">
        <f t="shared" si="85"/>
        <v>0.80847972010000058</v>
      </c>
      <c r="AF382" s="43">
        <v>11.400432524907213</v>
      </c>
      <c r="AG382" s="43">
        <v>7.0287711000000003E-2</v>
      </c>
      <c r="AH382" s="43">
        <v>2.0368084000000002E-2</v>
      </c>
      <c r="AI382" s="43">
        <v>0.80081071599999998</v>
      </c>
      <c r="AJ382" s="43">
        <v>3.2517903179999998</v>
      </c>
      <c r="AK382" s="43">
        <v>7.6565463720000002</v>
      </c>
      <c r="AL382" s="43">
        <v>1.4939354E-2</v>
      </c>
      <c r="AM382" s="230">
        <v>0.13969792954264523</v>
      </c>
      <c r="AN382" s="43">
        <v>0.7890625</v>
      </c>
    </row>
    <row r="383" spans="1:40" x14ac:dyDescent="0.25">
      <c r="A383" s="134">
        <v>373</v>
      </c>
      <c r="B383" s="134" t="s">
        <v>209</v>
      </c>
      <c r="C383" s="134" t="s">
        <v>210</v>
      </c>
      <c r="D383" s="134" t="s">
        <v>211</v>
      </c>
      <c r="E383" s="134">
        <v>368</v>
      </c>
      <c r="F383" s="134">
        <v>1216</v>
      </c>
      <c r="G383" s="134">
        <v>26</v>
      </c>
      <c r="H383" s="134">
        <v>172</v>
      </c>
      <c r="I383" s="200">
        <v>3.9088659391099997E-2</v>
      </c>
      <c r="J383" s="134">
        <v>1388</v>
      </c>
      <c r="K383" s="134">
        <v>35509.020304600002</v>
      </c>
      <c r="L383" s="42">
        <v>0.77978688187199996</v>
      </c>
      <c r="M383" s="42">
        <v>0.31851851851899998</v>
      </c>
      <c r="N383" s="134">
        <v>0</v>
      </c>
      <c r="O383" s="43" t="s">
        <v>664</v>
      </c>
      <c r="P383" s="43">
        <f t="shared" si="75"/>
        <v>11.971475250770748</v>
      </c>
      <c r="Q383" s="43">
        <f t="shared" si="76"/>
        <v>7.4819494E-2</v>
      </c>
      <c r="R383" s="43">
        <f t="shared" si="77"/>
        <v>2.1146293E-2</v>
      </c>
      <c r="S383" s="43">
        <f t="shared" si="78"/>
        <v>0.77978688200000001</v>
      </c>
      <c r="T383" s="43">
        <f t="shared" si="79"/>
        <v>3.1261736469999999</v>
      </c>
      <c r="U383" s="43">
        <f t="shared" si="80"/>
        <v>6.9748930869999999</v>
      </c>
      <c r="V383" s="43">
        <f t="shared" si="81"/>
        <v>1.5806292E-2</v>
      </c>
      <c r="W383" s="230">
        <f t="shared" si="82"/>
        <v>0.15413816029339225</v>
      </c>
      <c r="X383" s="43">
        <f t="shared" si="83"/>
        <v>0.75861625200000005</v>
      </c>
      <c r="Y383" s="43">
        <v>243.1565138</v>
      </c>
      <c r="Z383" s="43">
        <f t="shared" si="72"/>
        <v>0</v>
      </c>
      <c r="AA383" s="43">
        <f t="shared" si="73"/>
        <v>478718</v>
      </c>
      <c r="AB383" s="43">
        <f t="shared" si="74"/>
        <v>186107</v>
      </c>
      <c r="AC383" s="43">
        <f t="shared" si="84"/>
        <v>7.5967312731255288E-2</v>
      </c>
      <c r="AD383" s="43">
        <f t="shared" si="85"/>
        <v>0.80847972010000058</v>
      </c>
      <c r="AF383" s="43">
        <v>11.971475250770748</v>
      </c>
      <c r="AG383" s="43">
        <v>7.4819494E-2</v>
      </c>
      <c r="AH383" s="43">
        <v>2.1146293E-2</v>
      </c>
      <c r="AI383" s="43">
        <v>0.77978688200000001</v>
      </c>
      <c r="AJ383" s="43">
        <v>3.1261736469999999</v>
      </c>
      <c r="AK383" s="43">
        <v>6.9748930869999999</v>
      </c>
      <c r="AL383" s="43">
        <v>1.5806292E-2</v>
      </c>
      <c r="AM383" s="230">
        <v>0.15413816029339225</v>
      </c>
      <c r="AN383" s="43">
        <v>0.75861625200000005</v>
      </c>
    </row>
    <row r="384" spans="1:40" x14ac:dyDescent="0.25">
      <c r="A384" s="134">
        <v>374</v>
      </c>
      <c r="B384" s="134" t="s">
        <v>209</v>
      </c>
      <c r="C384" s="134" t="s">
        <v>210</v>
      </c>
      <c r="D384" s="134" t="s">
        <v>211</v>
      </c>
      <c r="E384" s="134">
        <v>359</v>
      </c>
      <c r="F384" s="134">
        <v>1186</v>
      </c>
      <c r="G384" s="134">
        <v>41</v>
      </c>
      <c r="H384" s="134">
        <v>18</v>
      </c>
      <c r="I384" s="200">
        <v>6.29868667144E-2</v>
      </c>
      <c r="J384" s="134">
        <v>1204</v>
      </c>
      <c r="K384" s="134">
        <v>19115.0959367</v>
      </c>
      <c r="L384" s="42">
        <v>0.78267269117500005</v>
      </c>
      <c r="M384" s="42">
        <v>4.7745358090200002E-2</v>
      </c>
      <c r="N384" s="134">
        <v>0</v>
      </c>
      <c r="O384" s="43" t="s">
        <v>664</v>
      </c>
      <c r="P384" s="43">
        <f t="shared" si="75"/>
        <v>11.295113558532144</v>
      </c>
      <c r="Q384" s="43">
        <f t="shared" si="76"/>
        <v>7.3315304999999997E-2</v>
      </c>
      <c r="R384" s="43">
        <f t="shared" si="77"/>
        <v>2.1633462999999999E-2</v>
      </c>
      <c r="S384" s="43">
        <f t="shared" si="78"/>
        <v>0.78267269100000003</v>
      </c>
      <c r="T384" s="43">
        <f t="shared" si="79"/>
        <v>3.0641330170000001</v>
      </c>
      <c r="U384" s="43">
        <f t="shared" si="80"/>
        <v>6.7287750329999998</v>
      </c>
      <c r="V384" s="43">
        <f t="shared" si="81"/>
        <v>5.6653729999999996E-3</v>
      </c>
      <c r="W384" s="230">
        <f t="shared" si="82"/>
        <v>0.18181538272061087</v>
      </c>
      <c r="X384" s="43">
        <f t="shared" si="83"/>
        <v>0.74832194100000005</v>
      </c>
      <c r="Y384" s="43">
        <v>240.31506999999999</v>
      </c>
      <c r="Z384" s="43">
        <f t="shared" si="72"/>
        <v>0</v>
      </c>
      <c r="AA384" s="43">
        <f t="shared" si="73"/>
        <v>478718</v>
      </c>
      <c r="AB384" s="43">
        <f t="shared" si="74"/>
        <v>186107</v>
      </c>
      <c r="AC384" s="43">
        <f t="shared" si="84"/>
        <v>7.5967312731255288E-2</v>
      </c>
      <c r="AD384" s="43">
        <f t="shared" si="85"/>
        <v>0.80847972010000058</v>
      </c>
      <c r="AF384" s="43">
        <v>11.295113558532144</v>
      </c>
      <c r="AG384" s="43">
        <v>7.3315304999999997E-2</v>
      </c>
      <c r="AH384" s="43">
        <v>2.1633462999999999E-2</v>
      </c>
      <c r="AI384" s="43">
        <v>0.78267269100000003</v>
      </c>
      <c r="AJ384" s="43">
        <v>3.0641330170000001</v>
      </c>
      <c r="AK384" s="43">
        <v>6.7287750329999998</v>
      </c>
      <c r="AL384" s="43">
        <v>5.6653729999999996E-3</v>
      </c>
      <c r="AM384" s="230">
        <v>0.18181538272061087</v>
      </c>
      <c r="AN384" s="43">
        <v>0.74832194100000005</v>
      </c>
    </row>
    <row r="385" spans="1:40" x14ac:dyDescent="0.25">
      <c r="A385" s="134">
        <v>375</v>
      </c>
      <c r="B385" s="134" t="s">
        <v>209</v>
      </c>
      <c r="C385" s="134" t="s">
        <v>210</v>
      </c>
      <c r="D385" s="134" t="s">
        <v>211</v>
      </c>
      <c r="E385" s="134">
        <v>610</v>
      </c>
      <c r="F385" s="134">
        <v>2016</v>
      </c>
      <c r="G385" s="134">
        <v>58</v>
      </c>
      <c r="H385" s="134">
        <v>237</v>
      </c>
      <c r="I385" s="200">
        <v>8.9116885621300004E-2</v>
      </c>
      <c r="J385" s="134">
        <v>2253</v>
      </c>
      <c r="K385" s="134">
        <v>25281.4041278</v>
      </c>
      <c r="L385" s="42">
        <v>0.78523476659000002</v>
      </c>
      <c r="M385" s="42">
        <v>0.27981109799300002</v>
      </c>
      <c r="N385" s="134">
        <v>0</v>
      </c>
      <c r="O385" s="43" t="s">
        <v>664</v>
      </c>
      <c r="P385" s="43">
        <f t="shared" si="75"/>
        <v>12.040358523863123</v>
      </c>
      <c r="Q385" s="43">
        <f t="shared" si="76"/>
        <v>7.6883303E-2</v>
      </c>
      <c r="R385" s="43">
        <f t="shared" si="77"/>
        <v>2.1645767999999999E-2</v>
      </c>
      <c r="S385" s="43">
        <f t="shared" si="78"/>
        <v>0.78523476699999994</v>
      </c>
      <c r="T385" s="43">
        <f t="shared" si="79"/>
        <v>3.1356020600000001</v>
      </c>
      <c r="U385" s="43">
        <f t="shared" si="80"/>
        <v>7.3388300380000002</v>
      </c>
      <c r="V385" s="43">
        <f t="shared" si="81"/>
        <v>1.4909584E-2</v>
      </c>
      <c r="W385" s="230">
        <f t="shared" si="82"/>
        <v>0.14811265572301527</v>
      </c>
      <c r="X385" s="43">
        <f t="shared" si="83"/>
        <v>0.77747632300000002</v>
      </c>
      <c r="Y385" s="43">
        <v>177.3141239</v>
      </c>
      <c r="Z385" s="43">
        <f t="shared" si="72"/>
        <v>0</v>
      </c>
      <c r="AA385" s="43">
        <f t="shared" si="73"/>
        <v>478718</v>
      </c>
      <c r="AB385" s="43">
        <f t="shared" si="74"/>
        <v>186107</v>
      </c>
      <c r="AC385" s="43">
        <f t="shared" si="84"/>
        <v>7.5967312731255288E-2</v>
      </c>
      <c r="AD385" s="43">
        <f t="shared" si="85"/>
        <v>0.80847972010000058</v>
      </c>
      <c r="AF385" s="43">
        <v>12.040358523863123</v>
      </c>
      <c r="AG385" s="43">
        <v>7.6883303E-2</v>
      </c>
      <c r="AH385" s="43">
        <v>2.1645767999999999E-2</v>
      </c>
      <c r="AI385" s="43">
        <v>0.78523476699999994</v>
      </c>
      <c r="AJ385" s="43">
        <v>3.1356020600000001</v>
      </c>
      <c r="AK385" s="43">
        <v>7.3388300380000002</v>
      </c>
      <c r="AL385" s="43">
        <v>1.4909584E-2</v>
      </c>
      <c r="AM385" s="230">
        <v>0.14811265572301527</v>
      </c>
      <c r="AN385" s="43">
        <v>0.77747632300000002</v>
      </c>
    </row>
    <row r="386" spans="1:40" x14ac:dyDescent="0.25">
      <c r="A386" s="134">
        <v>376</v>
      </c>
      <c r="B386" s="134" t="s">
        <v>209</v>
      </c>
      <c r="C386" s="134" t="s">
        <v>210</v>
      </c>
      <c r="D386" s="134" t="s">
        <v>211</v>
      </c>
      <c r="E386" s="134">
        <v>690</v>
      </c>
      <c r="F386" s="134">
        <v>2541</v>
      </c>
      <c r="G386" s="134">
        <v>76</v>
      </c>
      <c r="H386" s="134">
        <v>159</v>
      </c>
      <c r="I386" s="200">
        <v>0.11876411283299999</v>
      </c>
      <c r="J386" s="134">
        <v>2700</v>
      </c>
      <c r="K386" s="134">
        <v>22734.140268499999</v>
      </c>
      <c r="L386" s="42">
        <v>0.77536034601399995</v>
      </c>
      <c r="M386" s="42">
        <v>0.18727915194299999</v>
      </c>
      <c r="N386" s="134">
        <v>0</v>
      </c>
      <c r="O386" s="43" t="s">
        <v>664</v>
      </c>
      <c r="P386" s="43">
        <f t="shared" si="75"/>
        <v>11.271589577515313</v>
      </c>
      <c r="Q386" s="43">
        <f t="shared" si="76"/>
        <v>8.3860711000000004E-2</v>
      </c>
      <c r="R386" s="43">
        <f t="shared" si="77"/>
        <v>2.2529972999999998E-2</v>
      </c>
      <c r="S386" s="43">
        <f t="shared" si="78"/>
        <v>0.77536034600000003</v>
      </c>
      <c r="T386" s="43">
        <f t="shared" si="79"/>
        <v>3.0028491650000002</v>
      </c>
      <c r="U386" s="43">
        <f t="shared" si="80"/>
        <v>6.8609261080000001</v>
      </c>
      <c r="V386" s="43">
        <f t="shared" si="81"/>
        <v>1.4798899000000001E-2</v>
      </c>
      <c r="W386" s="230">
        <f t="shared" si="82"/>
        <v>0.18281348075901696</v>
      </c>
      <c r="X386" s="43">
        <f t="shared" si="83"/>
        <v>0.74662015400000004</v>
      </c>
      <c r="Y386" s="43">
        <v>126.45192780000001</v>
      </c>
      <c r="Z386" s="43">
        <f t="shared" si="72"/>
        <v>0</v>
      </c>
      <c r="AA386" s="43">
        <f t="shared" si="73"/>
        <v>478718</v>
      </c>
      <c r="AB386" s="43">
        <f t="shared" si="74"/>
        <v>186107</v>
      </c>
      <c r="AC386" s="43">
        <f t="shared" si="84"/>
        <v>7.5967312731255288E-2</v>
      </c>
      <c r="AD386" s="43">
        <f t="shared" si="85"/>
        <v>0.80847972010000058</v>
      </c>
      <c r="AF386" s="43">
        <v>11.271589577515313</v>
      </c>
      <c r="AG386" s="43">
        <v>8.3860711000000004E-2</v>
      </c>
      <c r="AH386" s="43">
        <v>2.2529972999999998E-2</v>
      </c>
      <c r="AI386" s="43">
        <v>0.77536034600000003</v>
      </c>
      <c r="AJ386" s="43">
        <v>3.0028491650000002</v>
      </c>
      <c r="AK386" s="43">
        <v>6.8609261080000001</v>
      </c>
      <c r="AL386" s="43">
        <v>1.4798899000000001E-2</v>
      </c>
      <c r="AM386" s="230">
        <v>0.18281348075901696</v>
      </c>
      <c r="AN386" s="43">
        <v>0.74662015400000004</v>
      </c>
    </row>
    <row r="387" spans="1:40" x14ac:dyDescent="0.25">
      <c r="A387" s="134">
        <v>377</v>
      </c>
      <c r="B387" s="134" t="s">
        <v>209</v>
      </c>
      <c r="C387" s="134" t="s">
        <v>210</v>
      </c>
      <c r="D387" s="134" t="s">
        <v>211</v>
      </c>
      <c r="E387" s="134">
        <v>454</v>
      </c>
      <c r="F387" s="134">
        <v>1673</v>
      </c>
      <c r="G387" s="134">
        <v>52</v>
      </c>
      <c r="H387" s="134">
        <v>185</v>
      </c>
      <c r="I387" s="200">
        <v>8.0600410213400003E-2</v>
      </c>
      <c r="J387" s="134">
        <v>1858</v>
      </c>
      <c r="K387" s="134">
        <v>23051.991858099998</v>
      </c>
      <c r="L387" s="42">
        <v>0.782476556165</v>
      </c>
      <c r="M387" s="42">
        <v>0.28951486698000001</v>
      </c>
      <c r="N387" s="134">
        <v>0</v>
      </c>
      <c r="O387" s="43" t="s">
        <v>664</v>
      </c>
      <c r="P387" s="43">
        <f t="shared" si="75"/>
        <v>11.194529479151893</v>
      </c>
      <c r="Q387" s="43">
        <f t="shared" si="76"/>
        <v>7.9210013999999995E-2</v>
      </c>
      <c r="R387" s="43">
        <f t="shared" si="77"/>
        <v>2.1340300999999999E-2</v>
      </c>
      <c r="S387" s="43">
        <f t="shared" si="78"/>
        <v>0.78247655599999999</v>
      </c>
      <c r="T387" s="43">
        <f t="shared" si="79"/>
        <v>2.9254325400000001</v>
      </c>
      <c r="U387" s="43">
        <f t="shared" si="80"/>
        <v>6.6875988709999996</v>
      </c>
      <c r="V387" s="43">
        <f t="shared" si="81"/>
        <v>1.6981399000000001E-2</v>
      </c>
      <c r="W387" s="230">
        <f t="shared" si="82"/>
        <v>0.16753408072453968</v>
      </c>
      <c r="X387" s="43">
        <f t="shared" si="83"/>
        <v>0.74968159899999998</v>
      </c>
      <c r="Y387" s="43">
        <v>123.39347290000001</v>
      </c>
      <c r="Z387" s="43">
        <f t="shared" si="72"/>
        <v>0</v>
      </c>
      <c r="AA387" s="43">
        <f t="shared" si="73"/>
        <v>478718</v>
      </c>
      <c r="AB387" s="43">
        <f t="shared" si="74"/>
        <v>186107</v>
      </c>
      <c r="AC387" s="43">
        <f t="shared" si="84"/>
        <v>7.5967312731255288E-2</v>
      </c>
      <c r="AD387" s="43">
        <f t="shared" si="85"/>
        <v>0.80847972010000058</v>
      </c>
      <c r="AF387" s="43">
        <v>11.194529479151893</v>
      </c>
      <c r="AG387" s="43">
        <v>7.9210013999999995E-2</v>
      </c>
      <c r="AH387" s="43">
        <v>2.1340300999999999E-2</v>
      </c>
      <c r="AI387" s="43">
        <v>0.78247655599999999</v>
      </c>
      <c r="AJ387" s="43">
        <v>2.9254325400000001</v>
      </c>
      <c r="AK387" s="43">
        <v>6.6875988709999996</v>
      </c>
      <c r="AL387" s="43">
        <v>1.6981399000000001E-2</v>
      </c>
      <c r="AM387" s="230">
        <v>0.16753408072453968</v>
      </c>
      <c r="AN387" s="43">
        <v>0.74968159899999998</v>
      </c>
    </row>
    <row r="388" spans="1:40" x14ac:dyDescent="0.25">
      <c r="A388" s="134">
        <v>378</v>
      </c>
      <c r="B388" s="134" t="s">
        <v>209</v>
      </c>
      <c r="C388" s="134" t="s">
        <v>210</v>
      </c>
      <c r="D388" s="134" t="s">
        <v>211</v>
      </c>
      <c r="E388" s="134">
        <v>5</v>
      </c>
      <c r="F388" s="134">
        <v>18</v>
      </c>
      <c r="G388" s="134">
        <v>128</v>
      </c>
      <c r="H388" s="134">
        <v>1637</v>
      </c>
      <c r="I388" s="200">
        <v>0.200256273289</v>
      </c>
      <c r="J388" s="134">
        <v>1655</v>
      </c>
      <c r="K388" s="134">
        <v>8264.4102620199992</v>
      </c>
      <c r="L388" s="42">
        <v>0.74626299801600005</v>
      </c>
      <c r="M388" s="42">
        <v>0.99695493300899996</v>
      </c>
      <c r="N388" s="134">
        <v>0</v>
      </c>
      <c r="O388" s="43" t="s">
        <v>664</v>
      </c>
      <c r="P388" s="43">
        <f t="shared" si="75"/>
        <v>12.968400297367761</v>
      </c>
      <c r="Q388" s="43">
        <f t="shared" si="76"/>
        <v>4.6691140999999999E-2</v>
      </c>
      <c r="R388" s="43">
        <f t="shared" si="77"/>
        <v>0.12527568</v>
      </c>
      <c r="S388" s="43">
        <f t="shared" si="78"/>
        <v>0.74626299799999996</v>
      </c>
      <c r="T388" s="43">
        <f t="shared" si="79"/>
        <v>2.6712897600000001</v>
      </c>
      <c r="U388" s="43">
        <f t="shared" si="80"/>
        <v>7.9885538929999997</v>
      </c>
      <c r="V388" s="43">
        <f t="shared" si="81"/>
        <v>1.4096312999999999E-2</v>
      </c>
      <c r="W388" s="230">
        <f t="shared" si="82"/>
        <v>3.3953933154669845E-2</v>
      </c>
      <c r="X388" s="43">
        <f t="shared" si="83"/>
        <v>0.92531551400000001</v>
      </c>
      <c r="Y388" s="43">
        <v>54.055070100000002</v>
      </c>
      <c r="Z388" s="43">
        <f t="shared" si="72"/>
        <v>0</v>
      </c>
      <c r="AA388" s="43">
        <f t="shared" si="73"/>
        <v>478718</v>
      </c>
      <c r="AB388" s="43">
        <f t="shared" si="74"/>
        <v>186107</v>
      </c>
      <c r="AC388" s="43">
        <f t="shared" si="84"/>
        <v>7.5967312731255288E-2</v>
      </c>
      <c r="AD388" s="43">
        <f t="shared" si="85"/>
        <v>0.80847972010000058</v>
      </c>
      <c r="AF388" s="43">
        <v>12.968400297367761</v>
      </c>
      <c r="AG388" s="43">
        <v>4.6691140999999999E-2</v>
      </c>
      <c r="AH388" s="43">
        <v>0.12527568</v>
      </c>
      <c r="AI388" s="43">
        <v>0.74626299799999996</v>
      </c>
      <c r="AJ388" s="43">
        <v>2.6712897600000001</v>
      </c>
      <c r="AK388" s="43">
        <v>7.9885538929999997</v>
      </c>
      <c r="AL388" s="43">
        <v>1.4096312999999999E-2</v>
      </c>
      <c r="AM388" s="230">
        <v>3.3953933154669845E-2</v>
      </c>
      <c r="AN388" s="43">
        <v>0.92531551400000001</v>
      </c>
    </row>
    <row r="389" spans="1:40" x14ac:dyDescent="0.25">
      <c r="A389" s="134">
        <v>379</v>
      </c>
      <c r="B389" s="134" t="s">
        <v>209</v>
      </c>
      <c r="C389" s="134" t="s">
        <v>210</v>
      </c>
      <c r="D389" s="134" t="s">
        <v>211</v>
      </c>
      <c r="E389" s="134">
        <v>226</v>
      </c>
      <c r="F389" s="134">
        <v>800</v>
      </c>
      <c r="G389" s="134">
        <v>103</v>
      </c>
      <c r="H389" s="134">
        <v>596</v>
      </c>
      <c r="I389" s="200">
        <v>0.16045417977500001</v>
      </c>
      <c r="J389" s="134">
        <v>1396</v>
      </c>
      <c r="K389" s="134">
        <v>8700.3031143299995</v>
      </c>
      <c r="L389" s="42">
        <v>0.83111519471399997</v>
      </c>
      <c r="M389" s="42">
        <v>0.72506082725099996</v>
      </c>
      <c r="N389" s="134">
        <v>0</v>
      </c>
      <c r="O389" s="43" t="s">
        <v>664</v>
      </c>
      <c r="P389" s="43">
        <f t="shared" si="75"/>
        <v>12.327194103935494</v>
      </c>
      <c r="Q389" s="43">
        <f t="shared" si="76"/>
        <v>5.7286445999999998E-2</v>
      </c>
      <c r="R389" s="43">
        <f t="shared" si="77"/>
        <v>1.714185E-2</v>
      </c>
      <c r="S389" s="43">
        <f t="shared" si="78"/>
        <v>0.83111519499999997</v>
      </c>
      <c r="T389" s="43">
        <f t="shared" si="79"/>
        <v>3.1112012990000002</v>
      </c>
      <c r="U389" s="43">
        <f t="shared" si="80"/>
        <v>7.5148773159999998</v>
      </c>
      <c r="V389" s="43">
        <f t="shared" si="81"/>
        <v>1.3055714E-2</v>
      </c>
      <c r="W389" s="230">
        <f t="shared" si="82"/>
        <v>9.1528395023758632E-2</v>
      </c>
      <c r="X389" s="43">
        <f t="shared" si="83"/>
        <v>0.83667286900000004</v>
      </c>
      <c r="Y389" s="43">
        <v>70.249975019999994</v>
      </c>
      <c r="Z389" s="43">
        <f t="shared" si="72"/>
        <v>0</v>
      </c>
      <c r="AA389" s="43">
        <f t="shared" si="73"/>
        <v>478718</v>
      </c>
      <c r="AB389" s="43">
        <f t="shared" si="74"/>
        <v>186107</v>
      </c>
      <c r="AC389" s="43">
        <f t="shared" si="84"/>
        <v>7.5967312731255288E-2</v>
      </c>
      <c r="AD389" s="43">
        <f t="shared" si="85"/>
        <v>0.80847972010000058</v>
      </c>
      <c r="AF389" s="43">
        <v>12.327194103935494</v>
      </c>
      <c r="AG389" s="43">
        <v>5.7286445999999998E-2</v>
      </c>
      <c r="AH389" s="43">
        <v>1.714185E-2</v>
      </c>
      <c r="AI389" s="43">
        <v>0.83111519499999997</v>
      </c>
      <c r="AJ389" s="43">
        <v>3.1112012990000002</v>
      </c>
      <c r="AK389" s="43">
        <v>7.5148773159999998</v>
      </c>
      <c r="AL389" s="43">
        <v>1.3055714E-2</v>
      </c>
      <c r="AM389" s="230">
        <v>9.1528395023758632E-2</v>
      </c>
      <c r="AN389" s="43">
        <v>0.83667286900000004</v>
      </c>
    </row>
    <row r="390" spans="1:40" x14ac:dyDescent="0.25">
      <c r="A390" s="134">
        <v>380</v>
      </c>
      <c r="B390" s="134" t="s">
        <v>209</v>
      </c>
      <c r="C390" s="134" t="s">
        <v>210</v>
      </c>
      <c r="D390" s="134" t="s">
        <v>211</v>
      </c>
      <c r="E390" s="134">
        <v>223</v>
      </c>
      <c r="F390" s="134">
        <v>791</v>
      </c>
      <c r="G390" s="134">
        <v>89</v>
      </c>
      <c r="H390" s="134">
        <v>626</v>
      </c>
      <c r="I390" s="200">
        <v>0.138620102232</v>
      </c>
      <c r="J390" s="134">
        <v>1417</v>
      </c>
      <c r="K390" s="134">
        <v>10222.1826213</v>
      </c>
      <c r="L390" s="42">
        <v>0.82336835024800004</v>
      </c>
      <c r="M390" s="42">
        <v>0.737338044759</v>
      </c>
      <c r="N390" s="134">
        <v>0</v>
      </c>
      <c r="O390" s="43" t="s">
        <v>664</v>
      </c>
      <c r="P390" s="43">
        <f t="shared" si="75"/>
        <v>11.60568565166696</v>
      </c>
      <c r="Q390" s="43">
        <f t="shared" si="76"/>
        <v>5.4974578000000003E-2</v>
      </c>
      <c r="R390" s="43">
        <f t="shared" si="77"/>
        <v>1.6550933E-2</v>
      </c>
      <c r="S390" s="43">
        <f t="shared" si="78"/>
        <v>0.82336834999999997</v>
      </c>
      <c r="T390" s="43">
        <f t="shared" si="79"/>
        <v>2.8286399040000001</v>
      </c>
      <c r="U390" s="43">
        <f t="shared" si="80"/>
        <v>6.7215372970000002</v>
      </c>
      <c r="V390" s="43">
        <f t="shared" si="81"/>
        <v>1.4175494E-2</v>
      </c>
      <c r="W390" s="230">
        <f t="shared" si="82"/>
        <v>9.9320311064845984E-2</v>
      </c>
      <c r="X390" s="43">
        <f t="shared" si="83"/>
        <v>0.82280631900000001</v>
      </c>
      <c r="Y390" s="43">
        <v>54.334271029999996</v>
      </c>
      <c r="Z390" s="43">
        <f t="shared" si="72"/>
        <v>0</v>
      </c>
      <c r="AA390" s="43">
        <f t="shared" si="73"/>
        <v>478718</v>
      </c>
      <c r="AB390" s="43">
        <f t="shared" si="74"/>
        <v>186107</v>
      </c>
      <c r="AC390" s="43">
        <f t="shared" si="84"/>
        <v>7.5967312731255288E-2</v>
      </c>
      <c r="AD390" s="43">
        <f t="shared" si="85"/>
        <v>0.80847972010000058</v>
      </c>
      <c r="AF390" s="43">
        <v>11.60568565166696</v>
      </c>
      <c r="AG390" s="43">
        <v>5.4974578000000003E-2</v>
      </c>
      <c r="AH390" s="43">
        <v>1.6550933E-2</v>
      </c>
      <c r="AI390" s="43">
        <v>0.82336834999999997</v>
      </c>
      <c r="AJ390" s="43">
        <v>2.8286399040000001</v>
      </c>
      <c r="AK390" s="43">
        <v>6.7215372970000002</v>
      </c>
      <c r="AL390" s="43">
        <v>1.4175494E-2</v>
      </c>
      <c r="AM390" s="230">
        <v>9.9320311064845984E-2</v>
      </c>
      <c r="AN390" s="43">
        <v>0.82280631900000001</v>
      </c>
    </row>
    <row r="391" spans="1:40" x14ac:dyDescent="0.25">
      <c r="A391" s="134">
        <v>381</v>
      </c>
      <c r="B391" s="134" t="s">
        <v>209</v>
      </c>
      <c r="C391" s="134" t="s">
        <v>210</v>
      </c>
      <c r="D391" s="134" t="s">
        <v>211</v>
      </c>
      <c r="E391" s="134">
        <v>2</v>
      </c>
      <c r="F391" s="134">
        <v>7</v>
      </c>
      <c r="G391" s="134">
        <v>193</v>
      </c>
      <c r="H391" s="134">
        <v>1387</v>
      </c>
      <c r="I391" s="200">
        <v>0.30101157205899998</v>
      </c>
      <c r="J391" s="134">
        <v>1394</v>
      </c>
      <c r="K391" s="134">
        <v>4631.0511933600001</v>
      </c>
      <c r="L391" s="42">
        <v>0.914454011136</v>
      </c>
      <c r="M391" s="42">
        <v>0.99856011519099996</v>
      </c>
      <c r="N391" s="134">
        <v>1</v>
      </c>
      <c r="O391" s="43" t="s">
        <v>666</v>
      </c>
      <c r="P391" s="43">
        <f t="shared" si="75"/>
        <v>13.859920932152365</v>
      </c>
      <c r="Q391" s="43">
        <f t="shared" si="76"/>
        <v>2.6435863E-2</v>
      </c>
      <c r="R391" s="43">
        <f t="shared" si="77"/>
        <v>1.1501512E-2</v>
      </c>
      <c r="S391" s="43">
        <f t="shared" si="78"/>
        <v>0.91445401100000001</v>
      </c>
      <c r="T391" s="43">
        <f t="shared" si="79"/>
        <v>3.6630253659999998</v>
      </c>
      <c r="U391" s="43">
        <f t="shared" si="80"/>
        <v>8.5815825730000004</v>
      </c>
      <c r="V391" s="43">
        <f t="shared" si="81"/>
        <v>1.2816223999999999E-2</v>
      </c>
      <c r="W391" s="230">
        <f t="shared" si="82"/>
        <v>3.1036878812054459E-2</v>
      </c>
      <c r="X391" s="43">
        <f t="shared" si="83"/>
        <v>0.925804874</v>
      </c>
      <c r="Y391" s="43">
        <v>54.035632720000002</v>
      </c>
      <c r="Z391" s="43">
        <f t="shared" si="72"/>
        <v>0</v>
      </c>
      <c r="AA391" s="43">
        <f t="shared" si="73"/>
        <v>478718</v>
      </c>
      <c r="AB391" s="43">
        <f t="shared" si="74"/>
        <v>186107</v>
      </c>
      <c r="AC391" s="43">
        <f t="shared" si="84"/>
        <v>7.5967312731255288E-2</v>
      </c>
      <c r="AD391" s="43">
        <f t="shared" si="85"/>
        <v>0.80847972010000058</v>
      </c>
      <c r="AF391" s="43">
        <v>13.859920932152365</v>
      </c>
      <c r="AG391" s="43">
        <v>2.6435863E-2</v>
      </c>
      <c r="AH391" s="43">
        <v>1.1501512E-2</v>
      </c>
      <c r="AI391" s="43">
        <v>0.91445401100000001</v>
      </c>
      <c r="AJ391" s="43">
        <v>3.6630253659999998</v>
      </c>
      <c r="AK391" s="43">
        <v>8.5815825730000004</v>
      </c>
      <c r="AL391" s="43">
        <v>1.2816223999999999E-2</v>
      </c>
      <c r="AM391" s="230">
        <v>3.1036878812054459E-2</v>
      </c>
      <c r="AN391" s="43">
        <v>0.925804874</v>
      </c>
    </row>
    <row r="392" spans="1:40" x14ac:dyDescent="0.25">
      <c r="A392" s="134">
        <v>382</v>
      </c>
      <c r="B392" s="134" t="s">
        <v>209</v>
      </c>
      <c r="C392" s="134" t="s">
        <v>210</v>
      </c>
      <c r="D392" s="134" t="s">
        <v>211</v>
      </c>
      <c r="E392" s="134">
        <v>313</v>
      </c>
      <c r="F392" s="134">
        <v>1110</v>
      </c>
      <c r="G392" s="134">
        <v>55</v>
      </c>
      <c r="H392" s="134">
        <v>204</v>
      </c>
      <c r="I392" s="200">
        <v>8.5272283517800002E-2</v>
      </c>
      <c r="J392" s="134">
        <v>1314</v>
      </c>
      <c r="K392" s="134">
        <v>15409.4618532</v>
      </c>
      <c r="L392" s="42">
        <v>0.80550541094200001</v>
      </c>
      <c r="M392" s="42">
        <v>0.39458413926500002</v>
      </c>
      <c r="N392" s="134">
        <v>0</v>
      </c>
      <c r="O392" s="43" t="s">
        <v>664</v>
      </c>
      <c r="P392" s="43">
        <f t="shared" si="75"/>
        <v>11.334356081809457</v>
      </c>
      <c r="Q392" s="43">
        <f t="shared" si="76"/>
        <v>7.2488845999999996E-2</v>
      </c>
      <c r="R392" s="43">
        <f t="shared" si="77"/>
        <v>1.9417657000000001E-2</v>
      </c>
      <c r="S392" s="43">
        <f t="shared" si="78"/>
        <v>0.80550541099999995</v>
      </c>
      <c r="T392" s="43">
        <f t="shared" si="79"/>
        <v>3.0342960290000001</v>
      </c>
      <c r="U392" s="43">
        <f t="shared" si="80"/>
        <v>6.9238593020000003</v>
      </c>
      <c r="V392" s="43">
        <f t="shared" si="81"/>
        <v>1.3676931E-2</v>
      </c>
      <c r="W392" s="230">
        <f t="shared" si="82"/>
        <v>0.14366572653865473</v>
      </c>
      <c r="X392" s="43">
        <f t="shared" si="83"/>
        <v>0.78035776400000001</v>
      </c>
      <c r="Y392" s="43">
        <v>60.668135669999998</v>
      </c>
      <c r="Z392" s="43">
        <f t="shared" si="72"/>
        <v>0</v>
      </c>
      <c r="AA392" s="43">
        <f t="shared" si="73"/>
        <v>478718</v>
      </c>
      <c r="AB392" s="43">
        <f t="shared" si="74"/>
        <v>186107</v>
      </c>
      <c r="AC392" s="43">
        <f t="shared" si="84"/>
        <v>7.5967312731255288E-2</v>
      </c>
      <c r="AD392" s="43">
        <f t="shared" si="85"/>
        <v>0.80847972010000058</v>
      </c>
      <c r="AF392" s="43">
        <v>11.334356081809457</v>
      </c>
      <c r="AG392" s="43">
        <v>7.2488845999999996E-2</v>
      </c>
      <c r="AH392" s="43">
        <v>1.9417657000000001E-2</v>
      </c>
      <c r="AI392" s="43">
        <v>0.80550541099999995</v>
      </c>
      <c r="AJ392" s="43">
        <v>3.0342960290000001</v>
      </c>
      <c r="AK392" s="43">
        <v>6.9238593020000003</v>
      </c>
      <c r="AL392" s="43">
        <v>1.3676931E-2</v>
      </c>
      <c r="AM392" s="230">
        <v>0.14366572653865473</v>
      </c>
      <c r="AN392" s="43">
        <v>0.78035776400000001</v>
      </c>
    </row>
    <row r="393" spans="1:40" x14ac:dyDescent="0.25">
      <c r="A393" s="134">
        <v>383</v>
      </c>
      <c r="B393" s="134" t="s">
        <v>209</v>
      </c>
      <c r="C393" s="134" t="s">
        <v>210</v>
      </c>
      <c r="D393" s="134" t="s">
        <v>211</v>
      </c>
      <c r="E393" s="134">
        <v>652</v>
      </c>
      <c r="F393" s="134">
        <v>2153</v>
      </c>
      <c r="G393" s="134">
        <v>62</v>
      </c>
      <c r="H393" s="134">
        <v>26</v>
      </c>
      <c r="I393" s="200">
        <v>9.5722245764100003E-2</v>
      </c>
      <c r="J393" s="134">
        <v>2179</v>
      </c>
      <c r="K393" s="134">
        <v>22763.778499</v>
      </c>
      <c r="L393" s="42">
        <v>0.74256292906200005</v>
      </c>
      <c r="M393" s="42">
        <v>3.8348082595900002E-2</v>
      </c>
      <c r="N393" s="134">
        <v>0</v>
      </c>
      <c r="O393" s="43" t="s">
        <v>664</v>
      </c>
      <c r="P393" s="43">
        <f t="shared" si="75"/>
        <v>12.279633617293321</v>
      </c>
      <c r="Q393" s="43">
        <f t="shared" si="76"/>
        <v>0.103129969</v>
      </c>
      <c r="R393" s="43">
        <f t="shared" si="77"/>
        <v>2.4431472999999999E-2</v>
      </c>
      <c r="S393" s="43">
        <f t="shared" si="78"/>
        <v>0.74256292899999998</v>
      </c>
      <c r="T393" s="43">
        <f t="shared" si="79"/>
        <v>3.138482905</v>
      </c>
      <c r="U393" s="43">
        <f t="shared" si="80"/>
        <v>7.1714851460000002</v>
      </c>
      <c r="V393" s="43">
        <f t="shared" si="81"/>
        <v>9.3041930000000005E-3</v>
      </c>
      <c r="W393" s="230">
        <f t="shared" si="82"/>
        <v>0.25124812345075587</v>
      </c>
      <c r="X393" s="43">
        <f t="shared" si="83"/>
        <v>0.66948294500000005</v>
      </c>
      <c r="Y393" s="43">
        <v>123.624352</v>
      </c>
      <c r="Z393" s="43">
        <f t="shared" si="72"/>
        <v>0</v>
      </c>
      <c r="AA393" s="43">
        <f t="shared" si="73"/>
        <v>478718</v>
      </c>
      <c r="AB393" s="43">
        <f t="shared" si="74"/>
        <v>186107</v>
      </c>
      <c r="AC393" s="43">
        <f t="shared" si="84"/>
        <v>7.5967312731255288E-2</v>
      </c>
      <c r="AD393" s="43">
        <f t="shared" si="85"/>
        <v>0.80847972010000058</v>
      </c>
      <c r="AF393" s="43">
        <v>12.279633617293321</v>
      </c>
      <c r="AG393" s="43">
        <v>0.103129969</v>
      </c>
      <c r="AH393" s="43">
        <v>2.4431472999999999E-2</v>
      </c>
      <c r="AI393" s="43">
        <v>0.74256292899999998</v>
      </c>
      <c r="AJ393" s="43">
        <v>3.138482905</v>
      </c>
      <c r="AK393" s="43">
        <v>7.1714851460000002</v>
      </c>
      <c r="AL393" s="43">
        <v>9.3041930000000005E-3</v>
      </c>
      <c r="AM393" s="230">
        <v>0.25124812345075587</v>
      </c>
      <c r="AN393" s="43">
        <v>0.66948294500000005</v>
      </c>
    </row>
    <row r="394" spans="1:40" x14ac:dyDescent="0.25">
      <c r="A394" s="134">
        <v>384</v>
      </c>
      <c r="B394" s="134" t="s">
        <v>209</v>
      </c>
      <c r="C394" s="134" t="s">
        <v>210</v>
      </c>
      <c r="D394" s="134" t="s">
        <v>211</v>
      </c>
      <c r="E394" s="134">
        <v>231</v>
      </c>
      <c r="F394" s="134">
        <v>764</v>
      </c>
      <c r="G394" s="134">
        <v>58</v>
      </c>
      <c r="H394" s="134">
        <v>550</v>
      </c>
      <c r="I394" s="200">
        <v>9.0815694029200006E-2</v>
      </c>
      <c r="J394" s="134">
        <v>1314</v>
      </c>
      <c r="K394" s="134">
        <v>14468.8648151</v>
      </c>
      <c r="L394" s="42">
        <v>0.80713913748400001</v>
      </c>
      <c r="M394" s="42">
        <v>0.70422535211299997</v>
      </c>
      <c r="N394" s="134">
        <v>1</v>
      </c>
      <c r="O394" s="43" t="s">
        <v>664</v>
      </c>
      <c r="P394" s="43">
        <f t="shared" si="75"/>
        <v>11.980879466094395</v>
      </c>
      <c r="Q394" s="43">
        <f t="shared" si="76"/>
        <v>6.6296593000000001E-2</v>
      </c>
      <c r="R394" s="43">
        <f t="shared" si="77"/>
        <v>2.0030170999999999E-2</v>
      </c>
      <c r="S394" s="43">
        <f t="shared" si="78"/>
        <v>0.80713913699999995</v>
      </c>
      <c r="T394" s="43">
        <f t="shared" si="79"/>
        <v>3.2398232459999998</v>
      </c>
      <c r="U394" s="43">
        <f t="shared" si="80"/>
        <v>8.0068625050000009</v>
      </c>
      <c r="V394" s="43">
        <f t="shared" si="81"/>
        <v>1.5644755999999999E-2</v>
      </c>
      <c r="W394" s="230">
        <f t="shared" si="82"/>
        <v>0.10981524467342278</v>
      </c>
      <c r="X394" s="43">
        <f t="shared" si="83"/>
        <v>0.79943006999999999</v>
      </c>
      <c r="Y394" s="43">
        <v>111.9227453</v>
      </c>
      <c r="Z394" s="43">
        <f t="shared" si="72"/>
        <v>0</v>
      </c>
      <c r="AA394" s="43">
        <f t="shared" si="73"/>
        <v>478718</v>
      </c>
      <c r="AB394" s="43">
        <f t="shared" si="74"/>
        <v>186107</v>
      </c>
      <c r="AC394" s="43">
        <f t="shared" si="84"/>
        <v>7.5967312731255288E-2</v>
      </c>
      <c r="AD394" s="43">
        <f t="shared" si="85"/>
        <v>0.80847972010000058</v>
      </c>
      <c r="AF394" s="43">
        <v>11.980879466094395</v>
      </c>
      <c r="AG394" s="43">
        <v>6.6296593000000001E-2</v>
      </c>
      <c r="AH394" s="43">
        <v>2.0030170999999999E-2</v>
      </c>
      <c r="AI394" s="43">
        <v>0.80713913699999995</v>
      </c>
      <c r="AJ394" s="43">
        <v>3.2398232459999998</v>
      </c>
      <c r="AK394" s="43">
        <v>8.0068625050000009</v>
      </c>
      <c r="AL394" s="43">
        <v>1.5644755999999999E-2</v>
      </c>
      <c r="AM394" s="230">
        <v>0.10981524467342278</v>
      </c>
      <c r="AN394" s="43">
        <v>0.79943006999999999</v>
      </c>
    </row>
    <row r="395" spans="1:40" x14ac:dyDescent="0.25">
      <c r="A395" s="134">
        <v>385</v>
      </c>
      <c r="B395" s="134" t="s">
        <v>209</v>
      </c>
      <c r="C395" s="134" t="s">
        <v>210</v>
      </c>
      <c r="D395" s="134" t="s">
        <v>211</v>
      </c>
      <c r="E395" s="134">
        <v>861</v>
      </c>
      <c r="F395" s="134">
        <v>2844</v>
      </c>
      <c r="G395" s="134">
        <v>105</v>
      </c>
      <c r="H395" s="134">
        <v>661</v>
      </c>
      <c r="I395" s="200">
        <v>0.163684211297</v>
      </c>
      <c r="J395" s="134">
        <v>3505</v>
      </c>
      <c r="K395" s="134">
        <v>21413.183178899999</v>
      </c>
      <c r="L395" s="42">
        <v>0.74775434696400001</v>
      </c>
      <c r="M395" s="42">
        <v>0.43429697766100001</v>
      </c>
      <c r="N395" s="134">
        <v>1</v>
      </c>
      <c r="O395" s="43" t="s">
        <v>627</v>
      </c>
      <c r="P395" s="43">
        <f t="shared" si="75"/>
        <v>12.553270640015434</v>
      </c>
      <c r="Q395" s="43">
        <f t="shared" si="76"/>
        <v>0.109303504</v>
      </c>
      <c r="R395" s="43">
        <f t="shared" si="77"/>
        <v>2.3020153000000002E-2</v>
      </c>
      <c r="S395" s="43">
        <f t="shared" si="78"/>
        <v>0.74775434699999999</v>
      </c>
      <c r="T395" s="43">
        <f t="shared" si="79"/>
        <v>3.2803973399999999</v>
      </c>
      <c r="U395" s="43">
        <f t="shared" si="80"/>
        <v>7.6641972650000003</v>
      </c>
      <c r="V395" s="43">
        <f t="shared" si="81"/>
        <v>1.7930860999999999E-2</v>
      </c>
      <c r="W395" s="230">
        <f t="shared" si="82"/>
        <v>0.19483660542652761</v>
      </c>
      <c r="X395" s="43">
        <f t="shared" si="83"/>
        <v>0.71893612299999998</v>
      </c>
      <c r="Y395" s="43">
        <v>96.274083469999994</v>
      </c>
      <c r="Z395" s="43">
        <f t="shared" ref="Z395:Z458" si="86">IF(B395="Berkeley",1,0)</f>
        <v>0</v>
      </c>
      <c r="AA395" s="43">
        <f t="shared" ref="AA395:AA458" si="87">SUMIFS(F:F,B:B,B395)</f>
        <v>478718</v>
      </c>
      <c r="AB395" s="43">
        <f t="shared" ref="AB395:AB458" si="88">SUMIFS(E:E,B:B,B395)</f>
        <v>186107</v>
      </c>
      <c r="AC395" s="43">
        <f t="shared" si="84"/>
        <v>7.5967312731255288E-2</v>
      </c>
      <c r="AD395" s="43">
        <f t="shared" si="85"/>
        <v>0.80847972010000058</v>
      </c>
      <c r="AF395" s="43">
        <v>12.553270640015434</v>
      </c>
      <c r="AG395" s="43">
        <v>0.109303504</v>
      </c>
      <c r="AH395" s="43">
        <v>2.3020153000000002E-2</v>
      </c>
      <c r="AI395" s="43">
        <v>0.74775434699999999</v>
      </c>
      <c r="AJ395" s="43">
        <v>3.2803973399999999</v>
      </c>
      <c r="AK395" s="43">
        <v>7.6641972650000003</v>
      </c>
      <c r="AL395" s="43">
        <v>1.7930860999999999E-2</v>
      </c>
      <c r="AM395" s="230">
        <v>0.19483660542652761</v>
      </c>
      <c r="AN395" s="43">
        <v>0.71893612299999998</v>
      </c>
    </row>
    <row r="396" spans="1:40" x14ac:dyDescent="0.25">
      <c r="A396" s="134">
        <v>386</v>
      </c>
      <c r="B396" s="134" t="s">
        <v>209</v>
      </c>
      <c r="C396" s="134" t="s">
        <v>210</v>
      </c>
      <c r="D396" s="134" t="s">
        <v>211</v>
      </c>
      <c r="E396" s="134">
        <v>431</v>
      </c>
      <c r="F396" s="134">
        <v>1424</v>
      </c>
      <c r="G396" s="134">
        <v>70</v>
      </c>
      <c r="H396" s="134">
        <v>80</v>
      </c>
      <c r="I396" s="200">
        <v>0.10943659117399999</v>
      </c>
      <c r="J396" s="134">
        <v>1504</v>
      </c>
      <c r="K396" s="134">
        <v>13743.1181277</v>
      </c>
      <c r="L396" s="42">
        <v>0.75973628486300004</v>
      </c>
      <c r="M396" s="42">
        <v>0.156555772994</v>
      </c>
      <c r="N396" s="134">
        <v>1</v>
      </c>
      <c r="O396" s="43" t="s">
        <v>664</v>
      </c>
      <c r="P396" s="43">
        <f t="shared" ref="P396:P459" si="89">IF(OR(IFERROR(AF396=0,TRUE),ISERROR(AF396)),AVERAGEIFS(AF:AF,$B:$B,$B396,AF:AF,"&gt;0"),AF396)</f>
        <v>12.082998421424099</v>
      </c>
      <c r="Q396" s="43">
        <f t="shared" ref="Q396:Q459" si="90">IF(OR(IFERROR(AG396=0,TRUE),ISERROR(AG396)),AVERAGEIFS(AG:AG,$B:$B,$B396,AG:AG,"&gt;0"),AG396)</f>
        <v>9.0903732000000001E-2</v>
      </c>
      <c r="R396" s="43">
        <f t="shared" ref="R396:R459" si="91">IF(OR(IFERROR(AH396=0,TRUE),ISERROR(AH396)),AVERAGEIFS(AH:AH,$B:$B,$B396,AH:AH,"&gt;0"),AH396)</f>
        <v>2.3056937E-2</v>
      </c>
      <c r="S396" s="43">
        <f t="shared" ref="S396:S459" si="92">IF(OR(IFERROR(AI396=0,TRUE),ISERROR(AI396)),AVERAGEIFS(AI:AI,$B:$B,$B396,AI:AI,"&gt;0"),AI396)</f>
        <v>0.75973628500000001</v>
      </c>
      <c r="T396" s="43">
        <f t="shared" ref="T396:T459" si="93">IF(OR(IFERROR(AJ396=0,TRUE),ISERROR(AJ396)),AVERAGEIFS(AJ:AJ,$B:$B,$B396,AJ:AJ,"&gt;0"),AJ396)</f>
        <v>3.1917862060000002</v>
      </c>
      <c r="U396" s="43">
        <f t="shared" ref="U396:U459" si="94">IF(OR(IFERROR(AK396=0,TRUE),ISERROR(AK396)),AVERAGEIFS(AK:AK,$B:$B,$B396,AK:AK,"&gt;0"),AK396)</f>
        <v>7.1662748970000001</v>
      </c>
      <c r="V396" s="43">
        <f t="shared" ref="V396:V459" si="95">IF(OR(IFERROR(AL396=0,TRUE),ISERROR(AL396)),AVERAGEIFS(AL:AL,$B:$B,$B396,AL:AL,"&gt;0"),AL396)</f>
        <v>1.1180759E-2</v>
      </c>
      <c r="W396" s="230">
        <f t="shared" ref="W396:W459" si="96">IF(OR(IFERROR(AM396=0,TRUE),ISERROR(AM396)),AVERAGEIFS(AM:AM,$B:$B,$B396,AM:AM,"&gt;0"),AM396)</f>
        <v>0.1939183782341958</v>
      </c>
      <c r="X396" s="43">
        <f t="shared" ref="X396:X459" si="97">IF(OR(IFERROR(AN396=0,TRUE),ISERROR(AN396)),AVERAGEIFS(AN:AN,$B:$B,$B396,AN:AN,"&gt;0"),AN396)</f>
        <v>0.71772472700000001</v>
      </c>
      <c r="Y396" s="43">
        <v>169.04256380000001</v>
      </c>
      <c r="Z396" s="43">
        <f t="shared" si="86"/>
        <v>0</v>
      </c>
      <c r="AA396" s="43">
        <f t="shared" si="87"/>
        <v>478718</v>
      </c>
      <c r="AB396" s="43">
        <f t="shared" si="88"/>
        <v>186107</v>
      </c>
      <c r="AC396" s="43">
        <f t="shared" ref="AC396:AC459" si="98">AVERAGEIFS(Q:Q,B:B,B396,N:N,0,Q:Q,"&gt;0")</f>
        <v>7.5967312731255288E-2</v>
      </c>
      <c r="AD396" s="43">
        <f t="shared" ref="AD396:AD459" si="99">AVERAGEIFS(S:S,B:B,B396,N:N,0,S:S,"&gt;0")</f>
        <v>0.80847972010000058</v>
      </c>
      <c r="AF396" s="43">
        <v>12.082998421424099</v>
      </c>
      <c r="AG396" s="43">
        <v>9.0903732000000001E-2</v>
      </c>
      <c r="AH396" s="43">
        <v>2.3056937E-2</v>
      </c>
      <c r="AI396" s="43">
        <v>0.75973628500000001</v>
      </c>
      <c r="AJ396" s="43">
        <v>3.1917862060000002</v>
      </c>
      <c r="AK396" s="43">
        <v>7.1662748970000001</v>
      </c>
      <c r="AL396" s="43">
        <v>1.1180759E-2</v>
      </c>
      <c r="AM396" s="230">
        <v>0.1939183782341958</v>
      </c>
      <c r="AN396" s="43">
        <v>0.71772472700000001</v>
      </c>
    </row>
    <row r="397" spans="1:40" x14ac:dyDescent="0.25">
      <c r="A397" s="134">
        <v>387</v>
      </c>
      <c r="B397" s="134" t="s">
        <v>209</v>
      </c>
      <c r="C397" s="134" t="s">
        <v>210</v>
      </c>
      <c r="D397" s="134" t="s">
        <v>211</v>
      </c>
      <c r="E397" s="134">
        <v>112</v>
      </c>
      <c r="F397" s="134">
        <v>403</v>
      </c>
      <c r="G397" s="134">
        <v>88</v>
      </c>
      <c r="H397" s="134">
        <v>613</v>
      </c>
      <c r="I397" s="200">
        <v>5.5321305758100001E-2</v>
      </c>
      <c r="J397" s="134">
        <v>1016</v>
      </c>
      <c r="K397" s="134">
        <v>18365.4378015</v>
      </c>
      <c r="L397" s="42">
        <v>0.81632475218800005</v>
      </c>
      <c r="M397" s="42">
        <v>0.84551724137899997</v>
      </c>
      <c r="N397" s="134">
        <v>1</v>
      </c>
      <c r="O397" s="43" t="s">
        <v>664</v>
      </c>
      <c r="P397" s="43">
        <f t="shared" si="89"/>
        <v>13.714269851217967</v>
      </c>
      <c r="Q397" s="43">
        <f t="shared" si="90"/>
        <v>7.2786028000000003E-2</v>
      </c>
      <c r="R397" s="43">
        <f t="shared" si="91"/>
        <v>1.5417014999999999E-2</v>
      </c>
      <c r="S397" s="43">
        <f t="shared" si="92"/>
        <v>0.81632475199999999</v>
      </c>
      <c r="T397" s="43">
        <f t="shared" si="93"/>
        <v>3.4276640789999999</v>
      </c>
      <c r="U397" s="43">
        <f t="shared" si="94"/>
        <v>8.3623691939999993</v>
      </c>
      <c r="V397" s="43">
        <f t="shared" si="95"/>
        <v>1.2260167000000001E-2</v>
      </c>
      <c r="W397" s="230">
        <f t="shared" si="96"/>
        <v>9.7747981331950506E-2</v>
      </c>
      <c r="X397" s="43">
        <f t="shared" si="97"/>
        <v>0.82180161500000004</v>
      </c>
      <c r="Y397" s="43">
        <v>114.18053310000001</v>
      </c>
      <c r="Z397" s="43">
        <f t="shared" si="86"/>
        <v>0</v>
      </c>
      <c r="AA397" s="43">
        <f t="shared" si="87"/>
        <v>478718</v>
      </c>
      <c r="AB397" s="43">
        <f t="shared" si="88"/>
        <v>186107</v>
      </c>
      <c r="AC397" s="43">
        <f t="shared" si="98"/>
        <v>7.5967312731255288E-2</v>
      </c>
      <c r="AD397" s="43">
        <f t="shared" si="99"/>
        <v>0.80847972010000058</v>
      </c>
      <c r="AF397" s="43">
        <v>13.714269851217967</v>
      </c>
      <c r="AG397" s="43">
        <v>7.2786028000000003E-2</v>
      </c>
      <c r="AH397" s="43">
        <v>1.5417014999999999E-2</v>
      </c>
      <c r="AI397" s="43">
        <v>0.81632475199999999</v>
      </c>
      <c r="AJ397" s="43">
        <v>3.4276640789999999</v>
      </c>
      <c r="AK397" s="43">
        <v>8.3623691939999993</v>
      </c>
      <c r="AL397" s="43">
        <v>1.2260167000000001E-2</v>
      </c>
      <c r="AM397" s="230">
        <v>9.7747981331950506E-2</v>
      </c>
      <c r="AN397" s="43">
        <v>0.82180161500000004</v>
      </c>
    </row>
    <row r="398" spans="1:40" x14ac:dyDescent="0.25">
      <c r="A398" s="134">
        <v>388</v>
      </c>
      <c r="B398" s="134" t="s">
        <v>209</v>
      </c>
      <c r="C398" s="134" t="s">
        <v>210</v>
      </c>
      <c r="D398" s="134" t="s">
        <v>211</v>
      </c>
      <c r="E398" s="134">
        <v>399</v>
      </c>
      <c r="F398" s="134">
        <v>1428</v>
      </c>
      <c r="G398" s="134">
        <v>31</v>
      </c>
      <c r="H398" s="134">
        <v>25</v>
      </c>
      <c r="I398" s="200">
        <v>9.3696842276299999E-2</v>
      </c>
      <c r="J398" s="134">
        <v>1453</v>
      </c>
      <c r="K398" s="134">
        <v>15507.459639999999</v>
      </c>
      <c r="L398" s="42">
        <v>0.74447881842200003</v>
      </c>
      <c r="M398" s="42">
        <v>5.8962264150900001E-2</v>
      </c>
      <c r="N398" s="134">
        <v>1</v>
      </c>
      <c r="O398" s="43" t="s">
        <v>664</v>
      </c>
      <c r="P398" s="43">
        <f t="shared" si="89"/>
        <v>11.663722596489645</v>
      </c>
      <c r="Q398" s="43">
        <f t="shared" si="90"/>
        <v>0.10088817899999999</v>
      </c>
      <c r="R398" s="43">
        <f t="shared" si="91"/>
        <v>2.1286362999999999E-2</v>
      </c>
      <c r="S398" s="43">
        <f t="shared" si="92"/>
        <v>0.74447881800000004</v>
      </c>
      <c r="T398" s="43">
        <f t="shared" si="93"/>
        <v>3.1238730829999999</v>
      </c>
      <c r="U398" s="43">
        <f t="shared" si="94"/>
        <v>7.0589350030000002</v>
      </c>
      <c r="V398" s="43">
        <f t="shared" si="95"/>
        <v>9.9977780000000006E-3</v>
      </c>
      <c r="W398" s="230">
        <f t="shared" si="96"/>
        <v>0.21659384334345455</v>
      </c>
      <c r="X398" s="43">
        <f t="shared" si="97"/>
        <v>0.70105408700000005</v>
      </c>
      <c r="Y398" s="43">
        <v>145.58136150000001</v>
      </c>
      <c r="Z398" s="43">
        <f t="shared" si="86"/>
        <v>0</v>
      </c>
      <c r="AA398" s="43">
        <f t="shared" si="87"/>
        <v>478718</v>
      </c>
      <c r="AB398" s="43">
        <f t="shared" si="88"/>
        <v>186107</v>
      </c>
      <c r="AC398" s="43">
        <f t="shared" si="98"/>
        <v>7.5967312731255288E-2</v>
      </c>
      <c r="AD398" s="43">
        <f t="shared" si="99"/>
        <v>0.80847972010000058</v>
      </c>
      <c r="AF398" s="43">
        <v>11.663722596489645</v>
      </c>
      <c r="AG398" s="43">
        <v>0.10088817899999999</v>
      </c>
      <c r="AH398" s="43">
        <v>2.1286362999999999E-2</v>
      </c>
      <c r="AI398" s="43">
        <v>0.74447881800000004</v>
      </c>
      <c r="AJ398" s="43">
        <v>3.1238730829999999</v>
      </c>
      <c r="AK398" s="43">
        <v>7.0589350030000002</v>
      </c>
      <c r="AL398" s="43">
        <v>9.9977780000000006E-3</v>
      </c>
      <c r="AM398" s="230">
        <v>0.21659384334345455</v>
      </c>
      <c r="AN398" s="43">
        <v>0.70105408700000005</v>
      </c>
    </row>
    <row r="399" spans="1:40" x14ac:dyDescent="0.25">
      <c r="A399" s="134">
        <v>389</v>
      </c>
      <c r="B399" s="134" t="s">
        <v>209</v>
      </c>
      <c r="C399" s="134" t="s">
        <v>210</v>
      </c>
      <c r="D399" s="134" t="s">
        <v>211</v>
      </c>
      <c r="E399" s="134">
        <v>424</v>
      </c>
      <c r="F399" s="134">
        <v>1520</v>
      </c>
      <c r="G399" s="134">
        <v>26</v>
      </c>
      <c r="H399" s="134">
        <v>18</v>
      </c>
      <c r="I399" s="200">
        <v>5.8697688796100003E-2</v>
      </c>
      <c r="J399" s="134">
        <v>1538</v>
      </c>
      <c r="K399" s="134">
        <v>26202.053803899998</v>
      </c>
      <c r="L399" s="42">
        <v>0.75640389011700004</v>
      </c>
      <c r="M399" s="42">
        <v>4.07239819005E-2</v>
      </c>
      <c r="N399" s="134">
        <v>0</v>
      </c>
      <c r="O399" s="43" t="s">
        <v>664</v>
      </c>
      <c r="P399" s="43">
        <f t="shared" si="89"/>
        <v>12.123780331688849</v>
      </c>
      <c r="Q399" s="43">
        <f t="shared" si="90"/>
        <v>9.2315332E-2</v>
      </c>
      <c r="R399" s="43">
        <f t="shared" si="91"/>
        <v>2.1052729999999999E-2</v>
      </c>
      <c r="S399" s="43">
        <f t="shared" si="92"/>
        <v>0.75640388999999997</v>
      </c>
      <c r="T399" s="43">
        <f t="shared" si="93"/>
        <v>3.122539261</v>
      </c>
      <c r="U399" s="43">
        <f t="shared" si="94"/>
        <v>7.2850311779999997</v>
      </c>
      <c r="V399" s="43">
        <f t="shared" si="95"/>
        <v>9.5124000000000007E-3</v>
      </c>
      <c r="W399" s="230">
        <f t="shared" si="96"/>
        <v>0.21281897687792017</v>
      </c>
      <c r="X399" s="43">
        <f t="shared" si="97"/>
        <v>0.71172876500000004</v>
      </c>
      <c r="Y399" s="43">
        <v>63.692522699999998</v>
      </c>
      <c r="Z399" s="43">
        <f t="shared" si="86"/>
        <v>0</v>
      </c>
      <c r="AA399" s="43">
        <f t="shared" si="87"/>
        <v>478718</v>
      </c>
      <c r="AB399" s="43">
        <f t="shared" si="88"/>
        <v>186107</v>
      </c>
      <c r="AC399" s="43">
        <f t="shared" si="98"/>
        <v>7.5967312731255288E-2</v>
      </c>
      <c r="AD399" s="43">
        <f t="shared" si="99"/>
        <v>0.80847972010000058</v>
      </c>
      <c r="AF399" s="43">
        <v>12.123780331688849</v>
      </c>
      <c r="AG399" s="43">
        <v>9.2315332E-2</v>
      </c>
      <c r="AH399" s="43">
        <v>2.1052729999999999E-2</v>
      </c>
      <c r="AI399" s="43">
        <v>0.75640388999999997</v>
      </c>
      <c r="AJ399" s="43">
        <v>3.122539261</v>
      </c>
      <c r="AK399" s="43">
        <v>7.2850311779999997</v>
      </c>
      <c r="AL399" s="43">
        <v>9.5124000000000007E-3</v>
      </c>
      <c r="AM399" s="230">
        <v>0.21281897687792017</v>
      </c>
      <c r="AN399" s="43">
        <v>0.71172876500000004</v>
      </c>
    </row>
    <row r="400" spans="1:40" x14ac:dyDescent="0.25">
      <c r="A400" s="134">
        <v>390</v>
      </c>
      <c r="B400" s="134" t="s">
        <v>209</v>
      </c>
      <c r="C400" s="134" t="s">
        <v>210</v>
      </c>
      <c r="D400" s="134" t="s">
        <v>211</v>
      </c>
      <c r="E400" s="134">
        <v>411</v>
      </c>
      <c r="F400" s="134">
        <v>1607</v>
      </c>
      <c r="G400" s="134">
        <v>123</v>
      </c>
      <c r="H400" s="134">
        <v>816</v>
      </c>
      <c r="I400" s="200">
        <v>0.17858848647799999</v>
      </c>
      <c r="J400" s="134">
        <v>2423</v>
      </c>
      <c r="K400" s="134">
        <v>13567.503973999999</v>
      </c>
      <c r="L400" s="42">
        <v>0.80381839606500005</v>
      </c>
      <c r="M400" s="42">
        <v>0.66503667481700002</v>
      </c>
      <c r="N400" s="134">
        <v>1</v>
      </c>
      <c r="O400" s="43" t="s">
        <v>664</v>
      </c>
      <c r="P400" s="43">
        <f t="shared" si="89"/>
        <v>13.19568297238791</v>
      </c>
      <c r="Q400" s="43">
        <f t="shared" si="90"/>
        <v>7.2764306000000001E-2</v>
      </c>
      <c r="R400" s="43">
        <f t="shared" si="91"/>
        <v>1.9842734000000001E-2</v>
      </c>
      <c r="S400" s="43">
        <f t="shared" si="92"/>
        <v>0.80381839600000005</v>
      </c>
      <c r="T400" s="43">
        <f t="shared" si="93"/>
        <v>3.3594507930000002</v>
      </c>
      <c r="U400" s="43">
        <f t="shared" si="94"/>
        <v>8.3489685209999998</v>
      </c>
      <c r="V400" s="43">
        <f t="shared" si="95"/>
        <v>1.3147911E-2</v>
      </c>
      <c r="W400" s="230">
        <f t="shared" si="96"/>
        <v>0.10779208630850302</v>
      </c>
      <c r="X400" s="43">
        <f t="shared" si="97"/>
        <v>0.82280980699999995</v>
      </c>
      <c r="Y400" s="43">
        <v>91.452928049999997</v>
      </c>
      <c r="Z400" s="43">
        <f t="shared" si="86"/>
        <v>0</v>
      </c>
      <c r="AA400" s="43">
        <f t="shared" si="87"/>
        <v>478718</v>
      </c>
      <c r="AB400" s="43">
        <f t="shared" si="88"/>
        <v>186107</v>
      </c>
      <c r="AC400" s="43">
        <f t="shared" si="98"/>
        <v>7.5967312731255288E-2</v>
      </c>
      <c r="AD400" s="43">
        <f t="shared" si="99"/>
        <v>0.80847972010000058</v>
      </c>
      <c r="AF400" s="43">
        <v>13.19568297238791</v>
      </c>
      <c r="AG400" s="43">
        <v>7.2764306000000001E-2</v>
      </c>
      <c r="AH400" s="43">
        <v>1.9842734000000001E-2</v>
      </c>
      <c r="AI400" s="43">
        <v>0.80381839600000005</v>
      </c>
      <c r="AJ400" s="43">
        <v>3.3594507930000002</v>
      </c>
      <c r="AK400" s="43">
        <v>8.3489685209999998</v>
      </c>
      <c r="AL400" s="43">
        <v>1.3147911E-2</v>
      </c>
      <c r="AM400" s="230">
        <v>0.10779208630850302</v>
      </c>
      <c r="AN400" s="43">
        <v>0.82280980699999995</v>
      </c>
    </row>
    <row r="401" spans="1:40" x14ac:dyDescent="0.25">
      <c r="A401" s="134">
        <v>391</v>
      </c>
      <c r="B401" s="134" t="s">
        <v>209</v>
      </c>
      <c r="C401" s="134" t="s">
        <v>210</v>
      </c>
      <c r="D401" s="134" t="s">
        <v>211</v>
      </c>
      <c r="E401" s="134">
        <v>322</v>
      </c>
      <c r="F401" s="134">
        <v>1259</v>
      </c>
      <c r="G401" s="134">
        <v>36</v>
      </c>
      <c r="H401" s="134">
        <v>14</v>
      </c>
      <c r="I401" s="200">
        <v>5.2417138601200002E-2</v>
      </c>
      <c r="J401" s="134">
        <v>1273</v>
      </c>
      <c r="K401" s="134">
        <v>24285.949862400001</v>
      </c>
      <c r="L401" s="42">
        <v>0.763176891104</v>
      </c>
      <c r="M401" s="42">
        <v>4.1666666666699999E-2</v>
      </c>
      <c r="N401" s="134">
        <v>0</v>
      </c>
      <c r="O401" s="43" t="s">
        <v>664</v>
      </c>
      <c r="P401" s="43">
        <f t="shared" si="89"/>
        <v>12.296290158144322</v>
      </c>
      <c r="Q401" s="43">
        <f t="shared" si="90"/>
        <v>9.4272840999999996E-2</v>
      </c>
      <c r="R401" s="43">
        <f t="shared" si="91"/>
        <v>2.2371899000000001E-2</v>
      </c>
      <c r="S401" s="43">
        <f t="shared" si="92"/>
        <v>0.76317689099999997</v>
      </c>
      <c r="T401" s="43">
        <f t="shared" si="93"/>
        <v>3.1955897700000002</v>
      </c>
      <c r="U401" s="43">
        <f t="shared" si="94"/>
        <v>7.7527989069999999</v>
      </c>
      <c r="V401" s="43">
        <f t="shared" si="95"/>
        <v>6.7991170000000004E-3</v>
      </c>
      <c r="W401" s="230">
        <f t="shared" si="96"/>
        <v>0.21109639440765268</v>
      </c>
      <c r="X401" s="43">
        <f t="shared" si="97"/>
        <v>0.72429727700000002</v>
      </c>
      <c r="Y401" s="43">
        <v>171.29824020000001</v>
      </c>
      <c r="Z401" s="43">
        <f t="shared" si="86"/>
        <v>0</v>
      </c>
      <c r="AA401" s="43">
        <f t="shared" si="87"/>
        <v>478718</v>
      </c>
      <c r="AB401" s="43">
        <f t="shared" si="88"/>
        <v>186107</v>
      </c>
      <c r="AC401" s="43">
        <f t="shared" si="98"/>
        <v>7.5967312731255288E-2</v>
      </c>
      <c r="AD401" s="43">
        <f t="shared" si="99"/>
        <v>0.80847972010000058</v>
      </c>
      <c r="AF401" s="43">
        <v>12.296290158144322</v>
      </c>
      <c r="AG401" s="43">
        <v>9.4272840999999996E-2</v>
      </c>
      <c r="AH401" s="43">
        <v>2.2371899000000001E-2</v>
      </c>
      <c r="AI401" s="43">
        <v>0.76317689099999997</v>
      </c>
      <c r="AJ401" s="43">
        <v>3.1955897700000002</v>
      </c>
      <c r="AK401" s="43">
        <v>7.7527989069999999</v>
      </c>
      <c r="AL401" s="43">
        <v>6.7991170000000004E-3</v>
      </c>
      <c r="AM401" s="230">
        <v>0.21109639440765268</v>
      </c>
      <c r="AN401" s="43">
        <v>0.72429727700000002</v>
      </c>
    </row>
    <row r="402" spans="1:40" x14ac:dyDescent="0.25">
      <c r="A402" s="134">
        <v>392</v>
      </c>
      <c r="B402" s="134" t="s">
        <v>209</v>
      </c>
      <c r="C402" s="134" t="s">
        <v>210</v>
      </c>
      <c r="D402" s="134" t="s">
        <v>211</v>
      </c>
      <c r="E402" s="134">
        <v>402</v>
      </c>
      <c r="F402" s="134">
        <v>1571</v>
      </c>
      <c r="G402" s="134">
        <v>51</v>
      </c>
      <c r="H402" s="134">
        <v>51</v>
      </c>
      <c r="I402" s="200">
        <v>7.4565031078299995E-2</v>
      </c>
      <c r="J402" s="134">
        <v>1622</v>
      </c>
      <c r="K402" s="134">
        <v>21752.824032199998</v>
      </c>
      <c r="L402" s="42">
        <v>0.768850205728</v>
      </c>
      <c r="M402" s="42">
        <v>0.112582781457</v>
      </c>
      <c r="N402" s="134">
        <v>0</v>
      </c>
      <c r="O402" s="43" t="s">
        <v>664</v>
      </c>
      <c r="P402" s="43">
        <f t="shared" si="89"/>
        <v>12.563093384511612</v>
      </c>
      <c r="Q402" s="43">
        <f t="shared" si="90"/>
        <v>9.2772428000000004E-2</v>
      </c>
      <c r="R402" s="43">
        <f t="shared" si="91"/>
        <v>2.2623381000000001E-2</v>
      </c>
      <c r="S402" s="43">
        <f t="shared" si="92"/>
        <v>0.76885020599999998</v>
      </c>
      <c r="T402" s="43">
        <f t="shared" si="93"/>
        <v>3.2523898689999999</v>
      </c>
      <c r="U402" s="43">
        <f t="shared" si="94"/>
        <v>7.9650560629999996</v>
      </c>
      <c r="V402" s="43">
        <f t="shared" si="95"/>
        <v>1.0860252000000001E-2</v>
      </c>
      <c r="W402" s="230">
        <f t="shared" si="96"/>
        <v>0.19627709707822807</v>
      </c>
      <c r="X402" s="43">
        <f t="shared" si="97"/>
        <v>0.74372375999999996</v>
      </c>
      <c r="Y402" s="43">
        <v>144.2770131</v>
      </c>
      <c r="Z402" s="43">
        <f t="shared" si="86"/>
        <v>0</v>
      </c>
      <c r="AA402" s="43">
        <f t="shared" si="87"/>
        <v>478718</v>
      </c>
      <c r="AB402" s="43">
        <f t="shared" si="88"/>
        <v>186107</v>
      </c>
      <c r="AC402" s="43">
        <f t="shared" si="98"/>
        <v>7.5967312731255288E-2</v>
      </c>
      <c r="AD402" s="43">
        <f t="shared" si="99"/>
        <v>0.80847972010000058</v>
      </c>
      <c r="AF402" s="43">
        <v>12.563093384511612</v>
      </c>
      <c r="AG402" s="43">
        <v>9.2772428000000004E-2</v>
      </c>
      <c r="AH402" s="43">
        <v>2.2623381000000001E-2</v>
      </c>
      <c r="AI402" s="43">
        <v>0.76885020599999998</v>
      </c>
      <c r="AJ402" s="43">
        <v>3.2523898689999999</v>
      </c>
      <c r="AK402" s="43">
        <v>7.9650560629999996</v>
      </c>
      <c r="AL402" s="43">
        <v>1.0860252000000001E-2</v>
      </c>
      <c r="AM402" s="230">
        <v>0.19627709707822807</v>
      </c>
      <c r="AN402" s="43">
        <v>0.74372375999999996</v>
      </c>
    </row>
    <row r="403" spans="1:40" x14ac:dyDescent="0.25">
      <c r="A403" s="134">
        <v>393</v>
      </c>
      <c r="B403" s="134" t="s">
        <v>209</v>
      </c>
      <c r="C403" s="134" t="s">
        <v>210</v>
      </c>
      <c r="D403" s="134" t="s">
        <v>211</v>
      </c>
      <c r="E403" s="134">
        <v>679</v>
      </c>
      <c r="F403" s="134">
        <v>2693</v>
      </c>
      <c r="G403" s="134">
        <v>245</v>
      </c>
      <c r="H403" s="134">
        <v>1070</v>
      </c>
      <c r="I403" s="200">
        <v>0.37973678151599999</v>
      </c>
      <c r="J403" s="134">
        <v>3763</v>
      </c>
      <c r="K403" s="134">
        <v>9909.4956906099997</v>
      </c>
      <c r="L403" s="42">
        <v>0.822090851663</v>
      </c>
      <c r="M403" s="42">
        <v>0.61177815894800003</v>
      </c>
      <c r="N403" s="134">
        <v>0</v>
      </c>
      <c r="O403" s="43" t="s">
        <v>664</v>
      </c>
      <c r="P403" s="43">
        <f t="shared" si="89"/>
        <v>12.974658538742444</v>
      </c>
      <c r="Q403" s="43">
        <f t="shared" si="90"/>
        <v>5.4320895000000001E-2</v>
      </c>
      <c r="R403" s="43">
        <f t="shared" si="91"/>
        <v>1.7736993E-2</v>
      </c>
      <c r="S403" s="43">
        <f t="shared" si="92"/>
        <v>0.82209085199999998</v>
      </c>
      <c r="T403" s="43">
        <f t="shared" si="93"/>
        <v>3.0763861960000001</v>
      </c>
      <c r="U403" s="43">
        <f t="shared" si="94"/>
        <v>8.2674366159999995</v>
      </c>
      <c r="V403" s="43">
        <f t="shared" si="95"/>
        <v>1.1745142E-2</v>
      </c>
      <c r="W403" s="230">
        <f t="shared" si="96"/>
        <v>8.6324350383935503E-2</v>
      </c>
      <c r="X403" s="43">
        <f t="shared" si="97"/>
        <v>0.84308601699999997</v>
      </c>
      <c r="Y403" s="43">
        <v>102.0528171</v>
      </c>
      <c r="Z403" s="43">
        <f t="shared" si="86"/>
        <v>0</v>
      </c>
      <c r="AA403" s="43">
        <f t="shared" si="87"/>
        <v>478718</v>
      </c>
      <c r="AB403" s="43">
        <f t="shared" si="88"/>
        <v>186107</v>
      </c>
      <c r="AC403" s="43">
        <f t="shared" si="98"/>
        <v>7.5967312731255288E-2</v>
      </c>
      <c r="AD403" s="43">
        <f t="shared" si="99"/>
        <v>0.80847972010000058</v>
      </c>
      <c r="AF403" s="43">
        <v>12.974658538742444</v>
      </c>
      <c r="AG403" s="43">
        <v>5.4320895000000001E-2</v>
      </c>
      <c r="AH403" s="43">
        <v>1.7736993E-2</v>
      </c>
      <c r="AI403" s="43">
        <v>0.82209085199999998</v>
      </c>
      <c r="AJ403" s="43">
        <v>3.0763861960000001</v>
      </c>
      <c r="AK403" s="43">
        <v>8.2674366159999995</v>
      </c>
      <c r="AL403" s="43">
        <v>1.1745142E-2</v>
      </c>
      <c r="AM403" s="230">
        <v>8.6324350383935503E-2</v>
      </c>
      <c r="AN403" s="43">
        <v>0.84308601699999997</v>
      </c>
    </row>
    <row r="404" spans="1:40" x14ac:dyDescent="0.25">
      <c r="A404" s="134">
        <v>394</v>
      </c>
      <c r="B404" s="134" t="s">
        <v>209</v>
      </c>
      <c r="C404" s="134" t="s">
        <v>210</v>
      </c>
      <c r="D404" s="134" t="s">
        <v>211</v>
      </c>
      <c r="E404" s="134">
        <v>325</v>
      </c>
      <c r="F404" s="134">
        <v>1287</v>
      </c>
      <c r="G404" s="134">
        <v>39</v>
      </c>
      <c r="H404" s="134">
        <v>27</v>
      </c>
      <c r="I404" s="200">
        <v>5.9644798707300002E-2</v>
      </c>
      <c r="J404" s="134">
        <v>1314</v>
      </c>
      <c r="K404" s="134">
        <v>22030.420564399999</v>
      </c>
      <c r="L404" s="42">
        <v>0.78510555776900004</v>
      </c>
      <c r="M404" s="42">
        <v>7.6704545454500006E-2</v>
      </c>
      <c r="N404" s="134">
        <v>0</v>
      </c>
      <c r="O404" s="43" t="s">
        <v>664</v>
      </c>
      <c r="P404" s="43">
        <f t="shared" si="89"/>
        <v>12.549816319512464</v>
      </c>
      <c r="Q404" s="43">
        <f t="shared" si="90"/>
        <v>7.2008847000000001E-2</v>
      </c>
      <c r="R404" s="43">
        <f t="shared" si="91"/>
        <v>1.9303339999999999E-2</v>
      </c>
      <c r="S404" s="43">
        <f t="shared" si="92"/>
        <v>0.78510555800000004</v>
      </c>
      <c r="T404" s="43">
        <f t="shared" si="93"/>
        <v>2.9821065469999999</v>
      </c>
      <c r="U404" s="43">
        <f t="shared" si="94"/>
        <v>7.5137073939999999</v>
      </c>
      <c r="V404" s="43">
        <f t="shared" si="95"/>
        <v>6.8446080000000003E-3</v>
      </c>
      <c r="W404" s="230">
        <f t="shared" si="96"/>
        <v>0.15811319717419389</v>
      </c>
      <c r="X404" s="43">
        <f t="shared" si="97"/>
        <v>0.76563402000000003</v>
      </c>
      <c r="Y404" s="43">
        <v>157.877734</v>
      </c>
      <c r="Z404" s="43">
        <f t="shared" si="86"/>
        <v>0</v>
      </c>
      <c r="AA404" s="43">
        <f t="shared" si="87"/>
        <v>478718</v>
      </c>
      <c r="AB404" s="43">
        <f t="shared" si="88"/>
        <v>186107</v>
      </c>
      <c r="AC404" s="43">
        <f t="shared" si="98"/>
        <v>7.5967312731255288E-2</v>
      </c>
      <c r="AD404" s="43">
        <f t="shared" si="99"/>
        <v>0.80847972010000058</v>
      </c>
      <c r="AF404" s="43">
        <v>12.549816319512464</v>
      </c>
      <c r="AG404" s="43">
        <v>7.2008847000000001E-2</v>
      </c>
      <c r="AH404" s="43">
        <v>1.9303339999999999E-2</v>
      </c>
      <c r="AI404" s="43">
        <v>0.78510555800000004</v>
      </c>
      <c r="AJ404" s="43">
        <v>2.9821065469999999</v>
      </c>
      <c r="AK404" s="43">
        <v>7.5137073939999999</v>
      </c>
      <c r="AL404" s="43">
        <v>6.8446080000000003E-3</v>
      </c>
      <c r="AM404" s="230">
        <v>0.15811319717419389</v>
      </c>
      <c r="AN404" s="43">
        <v>0.76563402000000003</v>
      </c>
    </row>
    <row r="405" spans="1:40" x14ac:dyDescent="0.25">
      <c r="A405" s="134">
        <v>395</v>
      </c>
      <c r="B405" s="134" t="s">
        <v>209</v>
      </c>
      <c r="C405" s="134" t="s">
        <v>210</v>
      </c>
      <c r="D405" s="134" t="s">
        <v>211</v>
      </c>
      <c r="E405" s="134">
        <v>214</v>
      </c>
      <c r="F405" s="134">
        <v>847</v>
      </c>
      <c r="G405" s="134">
        <v>29</v>
      </c>
      <c r="H405" s="134">
        <v>28</v>
      </c>
      <c r="I405" s="200">
        <v>4.4585217098099997E-2</v>
      </c>
      <c r="J405" s="134">
        <v>875</v>
      </c>
      <c r="K405" s="134">
        <v>19625.3390014</v>
      </c>
      <c r="L405" s="42">
        <v>0.78428732130699996</v>
      </c>
      <c r="M405" s="42">
        <v>0.11570247933900001</v>
      </c>
      <c r="N405" s="134">
        <v>0</v>
      </c>
      <c r="O405" s="43" t="s">
        <v>664</v>
      </c>
      <c r="P405" s="43">
        <f t="shared" si="89"/>
        <v>12.078436834410256</v>
      </c>
      <c r="Q405" s="43">
        <f t="shared" si="90"/>
        <v>7.6617373000000003E-2</v>
      </c>
      <c r="R405" s="43">
        <f t="shared" si="91"/>
        <v>1.9394517E-2</v>
      </c>
      <c r="S405" s="43">
        <f t="shared" si="92"/>
        <v>0.78428732099999998</v>
      </c>
      <c r="T405" s="43">
        <f t="shared" si="93"/>
        <v>3.0153911029999998</v>
      </c>
      <c r="U405" s="43">
        <f t="shared" si="94"/>
        <v>7.4373309660000002</v>
      </c>
      <c r="V405" s="43">
        <f t="shared" si="95"/>
        <v>7.4150040000000002E-3</v>
      </c>
      <c r="W405" s="230">
        <f t="shared" si="96"/>
        <v>0.1560306066103968</v>
      </c>
      <c r="X405" s="43">
        <f t="shared" si="97"/>
        <v>0.75794746400000002</v>
      </c>
      <c r="Y405" s="43">
        <v>165.6818304</v>
      </c>
      <c r="Z405" s="43">
        <f t="shared" si="86"/>
        <v>0</v>
      </c>
      <c r="AA405" s="43">
        <f t="shared" si="87"/>
        <v>478718</v>
      </c>
      <c r="AB405" s="43">
        <f t="shared" si="88"/>
        <v>186107</v>
      </c>
      <c r="AC405" s="43">
        <f t="shared" si="98"/>
        <v>7.5967312731255288E-2</v>
      </c>
      <c r="AD405" s="43">
        <f t="shared" si="99"/>
        <v>0.80847972010000058</v>
      </c>
      <c r="AF405" s="43">
        <v>12.078436834410256</v>
      </c>
      <c r="AG405" s="43">
        <v>7.6617373000000003E-2</v>
      </c>
      <c r="AH405" s="43">
        <v>1.9394517E-2</v>
      </c>
      <c r="AI405" s="43">
        <v>0.78428732099999998</v>
      </c>
      <c r="AJ405" s="43">
        <v>3.0153911029999998</v>
      </c>
      <c r="AK405" s="43">
        <v>7.4373309660000002</v>
      </c>
      <c r="AL405" s="43">
        <v>7.4150040000000002E-3</v>
      </c>
      <c r="AM405" s="230">
        <v>0.1560306066103968</v>
      </c>
      <c r="AN405" s="43">
        <v>0.75794746400000002</v>
      </c>
    </row>
    <row r="406" spans="1:40" x14ac:dyDescent="0.25">
      <c r="A406" s="134">
        <v>396</v>
      </c>
      <c r="B406" s="134" t="s">
        <v>209</v>
      </c>
      <c r="C406" s="134" t="s">
        <v>210</v>
      </c>
      <c r="D406" s="134" t="s">
        <v>211</v>
      </c>
      <c r="E406" s="134">
        <v>398</v>
      </c>
      <c r="F406" s="134">
        <v>1446</v>
      </c>
      <c r="G406" s="134">
        <v>43</v>
      </c>
      <c r="H406" s="134">
        <v>18</v>
      </c>
      <c r="I406" s="200">
        <v>6.8383604992499999E-2</v>
      </c>
      <c r="J406" s="134">
        <v>1464</v>
      </c>
      <c r="K406" s="134">
        <v>21408.640275099999</v>
      </c>
      <c r="L406" s="42">
        <v>0.79449851014899997</v>
      </c>
      <c r="M406" s="42">
        <v>4.3269230769200001E-2</v>
      </c>
      <c r="N406" s="134">
        <v>0</v>
      </c>
      <c r="O406" s="43" t="s">
        <v>664</v>
      </c>
      <c r="P406" s="43">
        <f t="shared" si="89"/>
        <v>12.363684094794079</v>
      </c>
      <c r="Q406" s="43">
        <f t="shared" si="90"/>
        <v>6.9880764999999997E-2</v>
      </c>
      <c r="R406" s="43">
        <f t="shared" si="91"/>
        <v>1.9626860999999999E-2</v>
      </c>
      <c r="S406" s="43">
        <f t="shared" si="92"/>
        <v>0.79449851000000005</v>
      </c>
      <c r="T406" s="43">
        <f t="shared" si="93"/>
        <v>2.9761932959999999</v>
      </c>
      <c r="U406" s="43">
        <f t="shared" si="94"/>
        <v>7.5861026730000001</v>
      </c>
      <c r="V406" s="43">
        <f t="shared" si="95"/>
        <v>5.4811360000000002E-3</v>
      </c>
      <c r="W406" s="230">
        <f t="shared" si="96"/>
        <v>0.15183259483133982</v>
      </c>
      <c r="X406" s="43">
        <f t="shared" si="97"/>
        <v>0.78677355699999996</v>
      </c>
      <c r="Y406" s="43">
        <v>133.67146109999999</v>
      </c>
      <c r="Z406" s="43">
        <f t="shared" si="86"/>
        <v>0</v>
      </c>
      <c r="AA406" s="43">
        <f t="shared" si="87"/>
        <v>478718</v>
      </c>
      <c r="AB406" s="43">
        <f t="shared" si="88"/>
        <v>186107</v>
      </c>
      <c r="AC406" s="43">
        <f t="shared" si="98"/>
        <v>7.5967312731255288E-2</v>
      </c>
      <c r="AD406" s="43">
        <f t="shared" si="99"/>
        <v>0.80847972010000058</v>
      </c>
      <c r="AF406" s="43">
        <v>12.363684094794079</v>
      </c>
      <c r="AG406" s="43">
        <v>6.9880764999999997E-2</v>
      </c>
      <c r="AH406" s="43">
        <v>1.9626860999999999E-2</v>
      </c>
      <c r="AI406" s="43">
        <v>0.79449851000000005</v>
      </c>
      <c r="AJ406" s="43">
        <v>2.9761932959999999</v>
      </c>
      <c r="AK406" s="43">
        <v>7.5861026730000001</v>
      </c>
      <c r="AL406" s="43">
        <v>5.4811360000000002E-3</v>
      </c>
      <c r="AM406" s="230">
        <v>0.15183259483133982</v>
      </c>
      <c r="AN406" s="43">
        <v>0.78677355699999996</v>
      </c>
    </row>
    <row r="407" spans="1:40" x14ac:dyDescent="0.25">
      <c r="A407" s="134">
        <v>397</v>
      </c>
      <c r="B407" s="134" t="s">
        <v>209</v>
      </c>
      <c r="C407" s="134" t="s">
        <v>210</v>
      </c>
      <c r="D407" s="134" t="s">
        <v>211</v>
      </c>
      <c r="E407" s="134">
        <v>412</v>
      </c>
      <c r="F407" s="134">
        <v>1498</v>
      </c>
      <c r="G407" s="134">
        <v>48</v>
      </c>
      <c r="H407" s="134">
        <v>12</v>
      </c>
      <c r="I407" s="200">
        <v>7.5286583808000004E-2</v>
      </c>
      <c r="J407" s="134">
        <v>1510</v>
      </c>
      <c r="K407" s="134">
        <v>20056.6943488</v>
      </c>
      <c r="L407" s="42">
        <v>0.80040214538599996</v>
      </c>
      <c r="M407" s="42">
        <v>2.8301886792500001E-2</v>
      </c>
      <c r="N407" s="134">
        <v>0</v>
      </c>
      <c r="O407" s="43" t="s">
        <v>664</v>
      </c>
      <c r="P407" s="43">
        <f t="shared" si="89"/>
        <v>12.256576208563004</v>
      </c>
      <c r="Q407" s="43">
        <f t="shared" si="90"/>
        <v>6.9821232999999996E-2</v>
      </c>
      <c r="R407" s="43">
        <f t="shared" si="91"/>
        <v>1.9859936000000002E-2</v>
      </c>
      <c r="S407" s="43">
        <f t="shared" si="92"/>
        <v>0.80040214499999995</v>
      </c>
      <c r="T407" s="43">
        <f t="shared" si="93"/>
        <v>3.140911714</v>
      </c>
      <c r="U407" s="43">
        <f t="shared" si="94"/>
        <v>7.821372481</v>
      </c>
      <c r="V407" s="43">
        <f t="shared" si="95"/>
        <v>4.1653080000000004E-3</v>
      </c>
      <c r="W407" s="230">
        <f t="shared" si="96"/>
        <v>0.16081599879557376</v>
      </c>
      <c r="X407" s="43">
        <f t="shared" si="97"/>
        <v>0.78854791400000002</v>
      </c>
      <c r="Y407" s="43">
        <v>145.22325359999999</v>
      </c>
      <c r="Z407" s="43">
        <f t="shared" si="86"/>
        <v>0</v>
      </c>
      <c r="AA407" s="43">
        <f t="shared" si="87"/>
        <v>478718</v>
      </c>
      <c r="AB407" s="43">
        <f t="shared" si="88"/>
        <v>186107</v>
      </c>
      <c r="AC407" s="43">
        <f t="shared" si="98"/>
        <v>7.5967312731255288E-2</v>
      </c>
      <c r="AD407" s="43">
        <f t="shared" si="99"/>
        <v>0.80847972010000058</v>
      </c>
      <c r="AF407" s="43">
        <v>12.256576208563004</v>
      </c>
      <c r="AG407" s="43">
        <v>6.9821232999999996E-2</v>
      </c>
      <c r="AH407" s="43">
        <v>1.9859936000000002E-2</v>
      </c>
      <c r="AI407" s="43">
        <v>0.80040214499999995</v>
      </c>
      <c r="AJ407" s="43">
        <v>3.140911714</v>
      </c>
      <c r="AK407" s="43">
        <v>7.821372481</v>
      </c>
      <c r="AL407" s="43">
        <v>4.1653080000000004E-3</v>
      </c>
      <c r="AM407" s="230">
        <v>0.16081599879557376</v>
      </c>
      <c r="AN407" s="43">
        <v>0.78854791400000002</v>
      </c>
    </row>
    <row r="408" spans="1:40" x14ac:dyDescent="0.25">
      <c r="A408" s="134">
        <v>398</v>
      </c>
      <c r="B408" s="134" t="s">
        <v>209</v>
      </c>
      <c r="C408" s="134" t="s">
        <v>210</v>
      </c>
      <c r="D408" s="134" t="s">
        <v>211</v>
      </c>
      <c r="E408" s="134">
        <v>339</v>
      </c>
      <c r="F408" s="134">
        <v>1233</v>
      </c>
      <c r="G408" s="134">
        <v>48</v>
      </c>
      <c r="H408" s="134">
        <v>178</v>
      </c>
      <c r="I408" s="200">
        <v>7.6139042379000002E-2</v>
      </c>
      <c r="J408" s="134">
        <v>1411</v>
      </c>
      <c r="K408" s="134">
        <v>18531.885297100001</v>
      </c>
      <c r="L408" s="42">
        <v>0.79127347828399996</v>
      </c>
      <c r="M408" s="42">
        <v>0.34429400386800002</v>
      </c>
      <c r="N408" s="134">
        <v>0</v>
      </c>
      <c r="O408" s="43" t="s">
        <v>664</v>
      </c>
      <c r="P408" s="43">
        <f t="shared" si="89"/>
        <v>12.029500131772902</v>
      </c>
      <c r="Q408" s="43">
        <f t="shared" si="90"/>
        <v>6.7559401000000005E-2</v>
      </c>
      <c r="R408" s="43">
        <f t="shared" si="91"/>
        <v>1.9472639999999999E-2</v>
      </c>
      <c r="S408" s="43">
        <f t="shared" si="92"/>
        <v>0.79127347800000003</v>
      </c>
      <c r="T408" s="43">
        <f t="shared" si="93"/>
        <v>2.9897398310000001</v>
      </c>
      <c r="U408" s="43">
        <f t="shared" si="94"/>
        <v>7.598928602</v>
      </c>
      <c r="V408" s="43">
        <f t="shared" si="95"/>
        <v>1.2187816000000001E-2</v>
      </c>
      <c r="W408" s="230">
        <f t="shared" si="96"/>
        <v>0.12355140573033942</v>
      </c>
      <c r="X408" s="43">
        <f t="shared" si="97"/>
        <v>0.79034890199999996</v>
      </c>
      <c r="Y408" s="43">
        <v>154.65722629999999</v>
      </c>
      <c r="Z408" s="43">
        <f t="shared" si="86"/>
        <v>0</v>
      </c>
      <c r="AA408" s="43">
        <f t="shared" si="87"/>
        <v>478718</v>
      </c>
      <c r="AB408" s="43">
        <f t="shared" si="88"/>
        <v>186107</v>
      </c>
      <c r="AC408" s="43">
        <f t="shared" si="98"/>
        <v>7.5967312731255288E-2</v>
      </c>
      <c r="AD408" s="43">
        <f t="shared" si="99"/>
        <v>0.80847972010000058</v>
      </c>
      <c r="AF408" s="43">
        <v>12.029500131772902</v>
      </c>
      <c r="AG408" s="43">
        <v>6.7559401000000005E-2</v>
      </c>
      <c r="AH408" s="43">
        <v>1.9472639999999999E-2</v>
      </c>
      <c r="AI408" s="43">
        <v>0.79127347800000003</v>
      </c>
      <c r="AJ408" s="43">
        <v>2.9897398310000001</v>
      </c>
      <c r="AK408" s="43">
        <v>7.598928602</v>
      </c>
      <c r="AL408" s="43">
        <v>1.2187816000000001E-2</v>
      </c>
      <c r="AM408" s="230">
        <v>0.12355140573033942</v>
      </c>
      <c r="AN408" s="43">
        <v>0.79034890199999996</v>
      </c>
    </row>
    <row r="409" spans="1:40" x14ac:dyDescent="0.25">
      <c r="A409" s="134">
        <v>399</v>
      </c>
      <c r="B409" s="134" t="s">
        <v>209</v>
      </c>
      <c r="C409" s="134" t="s">
        <v>210</v>
      </c>
      <c r="D409" s="134" t="s">
        <v>211</v>
      </c>
      <c r="E409" s="134">
        <v>371</v>
      </c>
      <c r="F409" s="134">
        <v>1347</v>
      </c>
      <c r="G409" s="134">
        <v>47</v>
      </c>
      <c r="H409" s="134">
        <v>5</v>
      </c>
      <c r="I409" s="200">
        <v>7.4152312313600005E-2</v>
      </c>
      <c r="J409" s="134">
        <v>1352</v>
      </c>
      <c r="K409" s="134">
        <v>18232.7422816</v>
      </c>
      <c r="L409" s="42">
        <v>0.78390964342799996</v>
      </c>
      <c r="M409" s="42">
        <v>1.32978723404E-2</v>
      </c>
      <c r="N409" s="134">
        <v>0</v>
      </c>
      <c r="O409" s="43" t="s">
        <v>664</v>
      </c>
      <c r="P409" s="43">
        <f t="shared" si="89"/>
        <v>11.816487337604862</v>
      </c>
      <c r="Q409" s="43">
        <f t="shared" si="90"/>
        <v>7.8304881000000007E-2</v>
      </c>
      <c r="R409" s="43">
        <f t="shared" si="91"/>
        <v>1.9996265999999999E-2</v>
      </c>
      <c r="S409" s="43">
        <f t="shared" si="92"/>
        <v>0.78390964299999999</v>
      </c>
      <c r="T409" s="43">
        <f t="shared" si="93"/>
        <v>3.0355237480000001</v>
      </c>
      <c r="U409" s="43">
        <f t="shared" si="94"/>
        <v>7.4202863360000002</v>
      </c>
      <c r="V409" s="43">
        <f t="shared" si="95"/>
        <v>2.6242280000000002E-3</v>
      </c>
      <c r="W409" s="230">
        <f t="shared" si="96"/>
        <v>0.17678264059369622</v>
      </c>
      <c r="X409" s="43">
        <f t="shared" si="97"/>
        <v>0.76765710099999995</v>
      </c>
      <c r="Y409" s="43">
        <v>152.87568419999999</v>
      </c>
      <c r="Z409" s="43">
        <f t="shared" si="86"/>
        <v>0</v>
      </c>
      <c r="AA409" s="43">
        <f t="shared" si="87"/>
        <v>478718</v>
      </c>
      <c r="AB409" s="43">
        <f t="shared" si="88"/>
        <v>186107</v>
      </c>
      <c r="AC409" s="43">
        <f t="shared" si="98"/>
        <v>7.5967312731255288E-2</v>
      </c>
      <c r="AD409" s="43">
        <f t="shared" si="99"/>
        <v>0.80847972010000058</v>
      </c>
      <c r="AF409" s="43">
        <v>11.816487337604862</v>
      </c>
      <c r="AG409" s="43">
        <v>7.8304881000000007E-2</v>
      </c>
      <c r="AH409" s="43">
        <v>1.9996265999999999E-2</v>
      </c>
      <c r="AI409" s="43">
        <v>0.78390964299999999</v>
      </c>
      <c r="AJ409" s="43">
        <v>3.0355237480000001</v>
      </c>
      <c r="AK409" s="43">
        <v>7.4202863360000002</v>
      </c>
      <c r="AL409" s="43">
        <v>2.6242280000000002E-3</v>
      </c>
      <c r="AM409" s="230">
        <v>0.17678264059369622</v>
      </c>
      <c r="AN409" s="43">
        <v>0.76765710099999995</v>
      </c>
    </row>
    <row r="410" spans="1:40" x14ac:dyDescent="0.25">
      <c r="A410" s="134">
        <v>400</v>
      </c>
      <c r="B410" s="134" t="s">
        <v>209</v>
      </c>
      <c r="C410" s="134" t="s">
        <v>210</v>
      </c>
      <c r="D410" s="134" t="s">
        <v>211</v>
      </c>
      <c r="E410" s="134">
        <v>440</v>
      </c>
      <c r="F410" s="134">
        <v>1492</v>
      </c>
      <c r="G410" s="134">
        <v>50</v>
      </c>
      <c r="H410" s="134">
        <v>512</v>
      </c>
      <c r="I410" s="200">
        <v>7.7729627185299993E-2</v>
      </c>
      <c r="J410" s="134">
        <v>2004</v>
      </c>
      <c r="K410" s="134">
        <v>25781.675180599999</v>
      </c>
      <c r="L410" s="42">
        <v>0.79536957751000004</v>
      </c>
      <c r="M410" s="42">
        <v>0.53781512605000004</v>
      </c>
      <c r="N410" s="134">
        <v>0</v>
      </c>
      <c r="O410" s="43" t="s">
        <v>664</v>
      </c>
      <c r="P410" s="43">
        <f t="shared" si="89"/>
        <v>11.938344594439062</v>
      </c>
      <c r="Q410" s="43">
        <f t="shared" si="90"/>
        <v>6.8600047999999997E-2</v>
      </c>
      <c r="R410" s="43">
        <f t="shared" si="91"/>
        <v>1.8996688000000001E-2</v>
      </c>
      <c r="S410" s="43">
        <f t="shared" si="92"/>
        <v>0.79536957799999997</v>
      </c>
      <c r="T410" s="43">
        <f t="shared" si="93"/>
        <v>3.1931808519999998</v>
      </c>
      <c r="U410" s="43">
        <f t="shared" si="94"/>
        <v>7.9577530750000003</v>
      </c>
      <c r="V410" s="43">
        <f t="shared" si="95"/>
        <v>1.5494716E-2</v>
      </c>
      <c r="W410" s="230">
        <f t="shared" si="96"/>
        <v>0.12200594827128367</v>
      </c>
      <c r="X410" s="43">
        <f t="shared" si="97"/>
        <v>0.79733390000000004</v>
      </c>
      <c r="Y410" s="43">
        <v>168.50387549999999</v>
      </c>
      <c r="Z410" s="43">
        <f t="shared" si="86"/>
        <v>0</v>
      </c>
      <c r="AA410" s="43">
        <f t="shared" si="87"/>
        <v>478718</v>
      </c>
      <c r="AB410" s="43">
        <f t="shared" si="88"/>
        <v>186107</v>
      </c>
      <c r="AC410" s="43">
        <f t="shared" si="98"/>
        <v>7.5967312731255288E-2</v>
      </c>
      <c r="AD410" s="43">
        <f t="shared" si="99"/>
        <v>0.80847972010000058</v>
      </c>
      <c r="AF410" s="43">
        <v>11.938344594439062</v>
      </c>
      <c r="AG410" s="43">
        <v>6.8600047999999997E-2</v>
      </c>
      <c r="AH410" s="43">
        <v>1.8996688000000001E-2</v>
      </c>
      <c r="AI410" s="43">
        <v>0.79536957799999997</v>
      </c>
      <c r="AJ410" s="43">
        <v>3.1931808519999998</v>
      </c>
      <c r="AK410" s="43">
        <v>7.9577530750000003</v>
      </c>
      <c r="AL410" s="43">
        <v>1.5494716E-2</v>
      </c>
      <c r="AM410" s="230">
        <v>0.12200594827128367</v>
      </c>
      <c r="AN410" s="43">
        <v>0.79733390000000004</v>
      </c>
    </row>
    <row r="411" spans="1:40" x14ac:dyDescent="0.25">
      <c r="A411" s="134">
        <v>401</v>
      </c>
      <c r="B411" s="134" t="s">
        <v>209</v>
      </c>
      <c r="C411" s="134" t="s">
        <v>210</v>
      </c>
      <c r="D411" s="134" t="s">
        <v>211</v>
      </c>
      <c r="E411" s="134">
        <v>563</v>
      </c>
      <c r="F411" s="134">
        <v>1909</v>
      </c>
      <c r="G411" s="134">
        <v>63</v>
      </c>
      <c r="H411" s="134">
        <v>45</v>
      </c>
      <c r="I411" s="200">
        <v>9.7849802015900003E-2</v>
      </c>
      <c r="J411" s="134">
        <v>1954</v>
      </c>
      <c r="K411" s="134">
        <v>19969.381232700001</v>
      </c>
      <c r="L411" s="42">
        <v>0.79098699700899999</v>
      </c>
      <c r="M411" s="42">
        <v>7.4013157894700005E-2</v>
      </c>
      <c r="N411" s="134">
        <v>0</v>
      </c>
      <c r="O411" s="43" t="s">
        <v>664</v>
      </c>
      <c r="P411" s="43">
        <f t="shared" si="89"/>
        <v>11.867834734029037</v>
      </c>
      <c r="Q411" s="43">
        <f t="shared" si="90"/>
        <v>8.0690664999999995E-2</v>
      </c>
      <c r="R411" s="43">
        <f t="shared" si="91"/>
        <v>2.0144382999999998E-2</v>
      </c>
      <c r="S411" s="43">
        <f t="shared" si="92"/>
        <v>0.79098699699999997</v>
      </c>
      <c r="T411" s="43">
        <f t="shared" si="93"/>
        <v>3.2652345459999998</v>
      </c>
      <c r="U411" s="43">
        <f t="shared" si="94"/>
        <v>7.5319294750000001</v>
      </c>
      <c r="V411" s="43">
        <f t="shared" si="95"/>
        <v>7.5051049999999998E-3</v>
      </c>
      <c r="W411" s="230">
        <f t="shared" si="96"/>
        <v>0.17725291098725235</v>
      </c>
      <c r="X411" s="43">
        <f t="shared" si="97"/>
        <v>0.768997296</v>
      </c>
      <c r="Y411" s="43">
        <v>90.793249759999995</v>
      </c>
      <c r="Z411" s="43">
        <f t="shared" si="86"/>
        <v>0</v>
      </c>
      <c r="AA411" s="43">
        <f t="shared" si="87"/>
        <v>478718</v>
      </c>
      <c r="AB411" s="43">
        <f t="shared" si="88"/>
        <v>186107</v>
      </c>
      <c r="AC411" s="43">
        <f t="shared" si="98"/>
        <v>7.5967312731255288E-2</v>
      </c>
      <c r="AD411" s="43">
        <f t="shared" si="99"/>
        <v>0.80847972010000058</v>
      </c>
      <c r="AF411" s="43">
        <v>11.867834734029037</v>
      </c>
      <c r="AG411" s="43">
        <v>8.0690664999999995E-2</v>
      </c>
      <c r="AH411" s="43">
        <v>2.0144382999999998E-2</v>
      </c>
      <c r="AI411" s="43">
        <v>0.79098699699999997</v>
      </c>
      <c r="AJ411" s="43">
        <v>3.2652345459999998</v>
      </c>
      <c r="AK411" s="43">
        <v>7.5319294750000001</v>
      </c>
      <c r="AL411" s="43">
        <v>7.5051049999999998E-3</v>
      </c>
      <c r="AM411" s="230">
        <v>0.17725291098725235</v>
      </c>
      <c r="AN411" s="43">
        <v>0.768997296</v>
      </c>
    </row>
    <row r="412" spans="1:40" x14ac:dyDescent="0.25">
      <c r="A412" s="134">
        <v>402</v>
      </c>
      <c r="B412" s="134" t="s">
        <v>209</v>
      </c>
      <c r="C412" s="134" t="s">
        <v>210</v>
      </c>
      <c r="D412" s="134" t="s">
        <v>211</v>
      </c>
      <c r="E412" s="134">
        <v>384</v>
      </c>
      <c r="F412" s="134">
        <v>1301</v>
      </c>
      <c r="G412" s="134">
        <v>68</v>
      </c>
      <c r="H412" s="134">
        <v>40</v>
      </c>
      <c r="I412" s="200">
        <v>0.10531887162799999</v>
      </c>
      <c r="J412" s="134">
        <v>1341</v>
      </c>
      <c r="K412" s="134">
        <v>12732.7607985</v>
      </c>
      <c r="L412" s="42">
        <v>0.80749276336099995</v>
      </c>
      <c r="M412" s="42">
        <v>9.4339622641500004E-2</v>
      </c>
      <c r="N412" s="134">
        <v>0</v>
      </c>
      <c r="O412" s="43" t="s">
        <v>664</v>
      </c>
      <c r="P412" s="43">
        <f t="shared" si="89"/>
        <v>11.970954274393026</v>
      </c>
      <c r="Q412" s="43">
        <f t="shared" si="90"/>
        <v>6.0777667E-2</v>
      </c>
      <c r="R412" s="43">
        <f t="shared" si="91"/>
        <v>1.8342923000000001E-2</v>
      </c>
      <c r="S412" s="43">
        <f t="shared" si="92"/>
        <v>0.80749276299999995</v>
      </c>
      <c r="T412" s="43">
        <f t="shared" si="93"/>
        <v>3.0743076500000002</v>
      </c>
      <c r="U412" s="43">
        <f t="shared" si="94"/>
        <v>7.5757003760000003</v>
      </c>
      <c r="V412" s="43">
        <f t="shared" si="95"/>
        <v>5.102975E-3</v>
      </c>
      <c r="W412" s="230">
        <f t="shared" si="96"/>
        <v>0.13026980347002329</v>
      </c>
      <c r="X412" s="43">
        <f t="shared" si="97"/>
        <v>0.80799727799999999</v>
      </c>
      <c r="Y412" s="43">
        <v>179.80145870000001</v>
      </c>
      <c r="Z412" s="43">
        <f t="shared" si="86"/>
        <v>0</v>
      </c>
      <c r="AA412" s="43">
        <f t="shared" si="87"/>
        <v>478718</v>
      </c>
      <c r="AB412" s="43">
        <f t="shared" si="88"/>
        <v>186107</v>
      </c>
      <c r="AC412" s="43">
        <f t="shared" si="98"/>
        <v>7.5967312731255288E-2</v>
      </c>
      <c r="AD412" s="43">
        <f t="shared" si="99"/>
        <v>0.80847972010000058</v>
      </c>
      <c r="AF412" s="43">
        <v>11.970954274393026</v>
      </c>
      <c r="AG412" s="43">
        <v>6.0777667E-2</v>
      </c>
      <c r="AH412" s="43">
        <v>1.8342923000000001E-2</v>
      </c>
      <c r="AI412" s="43">
        <v>0.80749276299999995</v>
      </c>
      <c r="AJ412" s="43">
        <v>3.0743076500000002</v>
      </c>
      <c r="AK412" s="43">
        <v>7.5757003760000003</v>
      </c>
      <c r="AL412" s="43">
        <v>5.102975E-3</v>
      </c>
      <c r="AM412" s="230">
        <v>0.13026980347002329</v>
      </c>
      <c r="AN412" s="43">
        <v>0.80799727799999999</v>
      </c>
    </row>
    <row r="413" spans="1:40" x14ac:dyDescent="0.25">
      <c r="A413" s="134">
        <v>403</v>
      </c>
      <c r="B413" s="134" t="s">
        <v>209</v>
      </c>
      <c r="C413" s="134" t="s">
        <v>210</v>
      </c>
      <c r="D413" s="134" t="s">
        <v>211</v>
      </c>
      <c r="E413" s="134">
        <v>226</v>
      </c>
      <c r="F413" s="134">
        <v>765</v>
      </c>
      <c r="G413" s="134">
        <v>31</v>
      </c>
      <c r="H413" s="134">
        <v>7</v>
      </c>
      <c r="I413" s="200">
        <v>4.7783087469299997E-2</v>
      </c>
      <c r="J413" s="134">
        <v>772</v>
      </c>
      <c r="K413" s="134">
        <v>16156.344030599999</v>
      </c>
      <c r="L413" s="42">
        <v>0.78587007888299998</v>
      </c>
      <c r="M413" s="42">
        <v>3.0042918454900001E-2</v>
      </c>
      <c r="N413" s="134">
        <v>0</v>
      </c>
      <c r="O413" s="43" t="s">
        <v>664</v>
      </c>
      <c r="P413" s="43">
        <f t="shared" si="89"/>
        <v>11.655336055421142</v>
      </c>
      <c r="Q413" s="43">
        <f t="shared" si="90"/>
        <v>7.4502890000000002E-2</v>
      </c>
      <c r="R413" s="43">
        <f t="shared" si="91"/>
        <v>1.8757498000000001E-2</v>
      </c>
      <c r="S413" s="43">
        <f t="shared" si="92"/>
        <v>0.78587007900000005</v>
      </c>
      <c r="T413" s="43">
        <f t="shared" si="93"/>
        <v>3.043467761</v>
      </c>
      <c r="U413" s="43">
        <f t="shared" si="94"/>
        <v>7.1543347119999998</v>
      </c>
      <c r="V413" s="43">
        <f t="shared" si="95"/>
        <v>2.023193E-3</v>
      </c>
      <c r="W413" s="230">
        <f t="shared" si="96"/>
        <v>0.18243276585245496</v>
      </c>
      <c r="X413" s="43">
        <f t="shared" si="97"/>
        <v>0.73905748800000004</v>
      </c>
      <c r="Y413" s="43">
        <v>132.39700020000001</v>
      </c>
      <c r="Z413" s="43">
        <f t="shared" si="86"/>
        <v>0</v>
      </c>
      <c r="AA413" s="43">
        <f t="shared" si="87"/>
        <v>478718</v>
      </c>
      <c r="AB413" s="43">
        <f t="shared" si="88"/>
        <v>186107</v>
      </c>
      <c r="AC413" s="43">
        <f t="shared" si="98"/>
        <v>7.5967312731255288E-2</v>
      </c>
      <c r="AD413" s="43">
        <f t="shared" si="99"/>
        <v>0.80847972010000058</v>
      </c>
      <c r="AF413" s="43">
        <v>11.655336055421142</v>
      </c>
      <c r="AG413" s="43">
        <v>7.4502890000000002E-2</v>
      </c>
      <c r="AH413" s="43">
        <v>1.8757498000000001E-2</v>
      </c>
      <c r="AI413" s="43">
        <v>0.78587007900000005</v>
      </c>
      <c r="AJ413" s="43">
        <v>3.043467761</v>
      </c>
      <c r="AK413" s="43">
        <v>7.1543347119999998</v>
      </c>
      <c r="AL413" s="43">
        <v>2.023193E-3</v>
      </c>
      <c r="AM413" s="230">
        <v>0.18243276585245496</v>
      </c>
      <c r="AN413" s="43">
        <v>0.73905748800000004</v>
      </c>
    </row>
    <row r="414" spans="1:40" x14ac:dyDescent="0.25">
      <c r="A414" s="134">
        <v>404</v>
      </c>
      <c r="B414" s="134" t="s">
        <v>209</v>
      </c>
      <c r="C414" s="134" t="s">
        <v>210</v>
      </c>
      <c r="D414" s="134" t="s">
        <v>211</v>
      </c>
      <c r="E414" s="134">
        <v>676</v>
      </c>
      <c r="F414" s="134">
        <v>2093</v>
      </c>
      <c r="G414" s="134">
        <v>73</v>
      </c>
      <c r="H414" s="134">
        <v>132</v>
      </c>
      <c r="I414" s="200">
        <v>0.11536532216500001</v>
      </c>
      <c r="J414" s="134">
        <v>2225</v>
      </c>
      <c r="K414" s="134">
        <v>19286.558198300001</v>
      </c>
      <c r="L414" s="42">
        <v>0.80340599046600003</v>
      </c>
      <c r="M414" s="42">
        <v>0.16336633663399999</v>
      </c>
      <c r="N414" s="134">
        <v>0</v>
      </c>
      <c r="O414" s="43" t="s">
        <v>664</v>
      </c>
      <c r="P414" s="43">
        <f t="shared" si="89"/>
        <v>12.179609941211597</v>
      </c>
      <c r="Q414" s="43">
        <f t="shared" si="90"/>
        <v>6.4081191999999995E-2</v>
      </c>
      <c r="R414" s="43">
        <f t="shared" si="91"/>
        <v>1.8481095999999999E-2</v>
      </c>
      <c r="S414" s="43">
        <f t="shared" si="92"/>
        <v>0.80340599000000001</v>
      </c>
      <c r="T414" s="43">
        <f t="shared" si="93"/>
        <v>3.1623924689999998</v>
      </c>
      <c r="U414" s="43">
        <f t="shared" si="94"/>
        <v>7.8358285690000002</v>
      </c>
      <c r="V414" s="43">
        <f t="shared" si="95"/>
        <v>1.0359724000000001E-2</v>
      </c>
      <c r="W414" s="230">
        <f t="shared" si="96"/>
        <v>0.13969549960154906</v>
      </c>
      <c r="X414" s="43">
        <f t="shared" si="97"/>
        <v>0.79655235099999999</v>
      </c>
      <c r="Y414" s="43">
        <v>102.8435609</v>
      </c>
      <c r="Z414" s="43">
        <f t="shared" si="86"/>
        <v>0</v>
      </c>
      <c r="AA414" s="43">
        <f t="shared" si="87"/>
        <v>478718</v>
      </c>
      <c r="AB414" s="43">
        <f t="shared" si="88"/>
        <v>186107</v>
      </c>
      <c r="AC414" s="43">
        <f t="shared" si="98"/>
        <v>7.5967312731255288E-2</v>
      </c>
      <c r="AD414" s="43">
        <f t="shared" si="99"/>
        <v>0.80847972010000058</v>
      </c>
      <c r="AF414" s="43">
        <v>12.179609941211597</v>
      </c>
      <c r="AG414" s="43">
        <v>6.4081191999999995E-2</v>
      </c>
      <c r="AH414" s="43">
        <v>1.8481095999999999E-2</v>
      </c>
      <c r="AI414" s="43">
        <v>0.80340599000000001</v>
      </c>
      <c r="AJ414" s="43">
        <v>3.1623924689999998</v>
      </c>
      <c r="AK414" s="43">
        <v>7.8358285690000002</v>
      </c>
      <c r="AL414" s="43">
        <v>1.0359724000000001E-2</v>
      </c>
      <c r="AM414" s="230">
        <v>0.13969549960154906</v>
      </c>
      <c r="AN414" s="43">
        <v>0.79655235099999999</v>
      </c>
    </row>
    <row r="415" spans="1:40" x14ac:dyDescent="0.25">
      <c r="A415" s="134">
        <v>405</v>
      </c>
      <c r="B415" s="134" t="s">
        <v>209</v>
      </c>
      <c r="C415" s="134" t="s">
        <v>210</v>
      </c>
      <c r="D415" s="134" t="s">
        <v>211</v>
      </c>
      <c r="E415" s="134">
        <v>569</v>
      </c>
      <c r="F415" s="134">
        <v>1762</v>
      </c>
      <c r="G415" s="134">
        <v>57</v>
      </c>
      <c r="H415" s="134">
        <v>140</v>
      </c>
      <c r="I415" s="200">
        <v>8.9098417190599993E-2</v>
      </c>
      <c r="J415" s="134">
        <v>1902</v>
      </c>
      <c r="K415" s="134">
        <v>21347.180566999999</v>
      </c>
      <c r="L415" s="42">
        <v>0.78583061889299999</v>
      </c>
      <c r="M415" s="42">
        <v>0.197461212976</v>
      </c>
      <c r="N415" s="134">
        <v>0</v>
      </c>
      <c r="O415" s="43" t="s">
        <v>664</v>
      </c>
      <c r="P415" s="43">
        <f t="shared" si="89"/>
        <v>12.262556899708439</v>
      </c>
      <c r="Q415" s="43">
        <f t="shared" si="90"/>
        <v>7.7368553000000007E-2</v>
      </c>
      <c r="R415" s="43">
        <f t="shared" si="91"/>
        <v>1.8935845999999999E-2</v>
      </c>
      <c r="S415" s="43">
        <f t="shared" si="92"/>
        <v>0.78583061899999995</v>
      </c>
      <c r="T415" s="43">
        <f t="shared" si="93"/>
        <v>3.1480935720000001</v>
      </c>
      <c r="U415" s="43">
        <f t="shared" si="94"/>
        <v>7.7527290210000004</v>
      </c>
      <c r="V415" s="43">
        <f t="shared" si="95"/>
        <v>1.0965435000000001E-2</v>
      </c>
      <c r="W415" s="230">
        <f t="shared" si="96"/>
        <v>0.16549860945570122</v>
      </c>
      <c r="X415" s="43">
        <f t="shared" si="97"/>
        <v>0.75798172399999997</v>
      </c>
      <c r="Y415" s="43">
        <v>140.0012179</v>
      </c>
      <c r="Z415" s="43">
        <f t="shared" si="86"/>
        <v>0</v>
      </c>
      <c r="AA415" s="43">
        <f t="shared" si="87"/>
        <v>478718</v>
      </c>
      <c r="AB415" s="43">
        <f t="shared" si="88"/>
        <v>186107</v>
      </c>
      <c r="AC415" s="43">
        <f t="shared" si="98"/>
        <v>7.5967312731255288E-2</v>
      </c>
      <c r="AD415" s="43">
        <f t="shared" si="99"/>
        <v>0.80847972010000058</v>
      </c>
      <c r="AF415" s="43">
        <v>12.262556899708439</v>
      </c>
      <c r="AG415" s="43">
        <v>7.7368553000000007E-2</v>
      </c>
      <c r="AH415" s="43">
        <v>1.8935845999999999E-2</v>
      </c>
      <c r="AI415" s="43">
        <v>0.78583061899999995</v>
      </c>
      <c r="AJ415" s="43">
        <v>3.1480935720000001</v>
      </c>
      <c r="AK415" s="43">
        <v>7.7527290210000004</v>
      </c>
      <c r="AL415" s="43">
        <v>1.0965435000000001E-2</v>
      </c>
      <c r="AM415" s="230">
        <v>0.16549860945570122</v>
      </c>
      <c r="AN415" s="43">
        <v>0.75798172399999997</v>
      </c>
    </row>
    <row r="416" spans="1:40" x14ac:dyDescent="0.25">
      <c r="A416" s="134">
        <v>406</v>
      </c>
      <c r="B416" s="134" t="s">
        <v>209</v>
      </c>
      <c r="C416" s="134" t="s">
        <v>210</v>
      </c>
      <c r="D416" s="134" t="s">
        <v>211</v>
      </c>
      <c r="E416" s="134">
        <v>600</v>
      </c>
      <c r="F416" s="134">
        <v>1974</v>
      </c>
      <c r="G416" s="134">
        <v>52</v>
      </c>
      <c r="H416" s="134">
        <v>6</v>
      </c>
      <c r="I416" s="200">
        <v>8.2342558888299999E-2</v>
      </c>
      <c r="J416" s="134">
        <v>1980</v>
      </c>
      <c r="K416" s="134">
        <v>24045.888623499999</v>
      </c>
      <c r="L416" s="42">
        <v>0.79178574088700004</v>
      </c>
      <c r="M416" s="42">
        <v>9.90099009901E-3</v>
      </c>
      <c r="N416" s="134">
        <v>0</v>
      </c>
      <c r="O416" s="43" t="s">
        <v>664</v>
      </c>
      <c r="P416" s="43">
        <f t="shared" si="89"/>
        <v>12.265495689209123</v>
      </c>
      <c r="Q416" s="43">
        <f t="shared" si="90"/>
        <v>7.3165472999999995E-2</v>
      </c>
      <c r="R416" s="43">
        <f t="shared" si="91"/>
        <v>2.0745375E-2</v>
      </c>
      <c r="S416" s="43">
        <f t="shared" si="92"/>
        <v>0.79178574099999999</v>
      </c>
      <c r="T416" s="43">
        <f t="shared" si="93"/>
        <v>2.9780250869999998</v>
      </c>
      <c r="U416" s="43">
        <f t="shared" si="94"/>
        <v>8.2251816869999992</v>
      </c>
      <c r="V416" s="43">
        <f t="shared" si="95"/>
        <v>3.2160019999999999E-3</v>
      </c>
      <c r="W416" s="230">
        <f t="shared" si="96"/>
        <v>0.1628787135993725</v>
      </c>
      <c r="X416" s="43">
        <f t="shared" si="97"/>
        <v>0.78288067500000003</v>
      </c>
      <c r="Y416" s="43">
        <v>131.01382140000001</v>
      </c>
      <c r="Z416" s="43">
        <f t="shared" si="86"/>
        <v>0</v>
      </c>
      <c r="AA416" s="43">
        <f t="shared" si="87"/>
        <v>478718</v>
      </c>
      <c r="AB416" s="43">
        <f t="shared" si="88"/>
        <v>186107</v>
      </c>
      <c r="AC416" s="43">
        <f t="shared" si="98"/>
        <v>7.5967312731255288E-2</v>
      </c>
      <c r="AD416" s="43">
        <f t="shared" si="99"/>
        <v>0.80847972010000058</v>
      </c>
      <c r="AF416" s="43">
        <v>12.265495689209123</v>
      </c>
      <c r="AG416" s="43">
        <v>7.3165472999999995E-2</v>
      </c>
      <c r="AH416" s="43">
        <v>2.0745375E-2</v>
      </c>
      <c r="AI416" s="43">
        <v>0.79178574099999999</v>
      </c>
      <c r="AJ416" s="43">
        <v>2.9780250869999998</v>
      </c>
      <c r="AK416" s="43">
        <v>8.2251816869999992</v>
      </c>
      <c r="AL416" s="43">
        <v>3.2160019999999999E-3</v>
      </c>
      <c r="AM416" s="230">
        <v>0.1628787135993725</v>
      </c>
      <c r="AN416" s="43">
        <v>0.78288067500000003</v>
      </c>
    </row>
    <row r="417" spans="1:40" x14ac:dyDescent="0.25">
      <c r="A417" s="134">
        <v>407</v>
      </c>
      <c r="B417" s="134" t="s">
        <v>209</v>
      </c>
      <c r="C417" s="134" t="s">
        <v>210</v>
      </c>
      <c r="D417" s="134" t="s">
        <v>211</v>
      </c>
      <c r="E417" s="134">
        <v>505</v>
      </c>
      <c r="F417" s="134">
        <v>1660</v>
      </c>
      <c r="G417" s="134">
        <v>75</v>
      </c>
      <c r="H417" s="134">
        <v>173</v>
      </c>
      <c r="I417" s="200">
        <v>0.11844096946300001</v>
      </c>
      <c r="J417" s="134">
        <v>1833</v>
      </c>
      <c r="K417" s="134">
        <v>15476.0638005</v>
      </c>
      <c r="L417" s="42">
        <v>0.67247681182200003</v>
      </c>
      <c r="M417" s="42">
        <v>0.25516224188800002</v>
      </c>
      <c r="N417" s="134">
        <v>0</v>
      </c>
      <c r="O417" s="43" t="s">
        <v>664</v>
      </c>
      <c r="P417" s="43">
        <f t="shared" si="89"/>
        <v>11.878994670027222</v>
      </c>
      <c r="Q417" s="43">
        <f t="shared" si="90"/>
        <v>6.7082894000000004E-2</v>
      </c>
      <c r="R417" s="43">
        <f t="shared" si="91"/>
        <v>0.116968356</v>
      </c>
      <c r="S417" s="43">
        <f t="shared" si="92"/>
        <v>0.67247681199999998</v>
      </c>
      <c r="T417" s="43">
        <f t="shared" si="93"/>
        <v>2.2173871319999998</v>
      </c>
      <c r="U417" s="43">
        <f t="shared" si="94"/>
        <v>7.5755412069999997</v>
      </c>
      <c r="V417" s="43">
        <f t="shared" si="95"/>
        <v>1.0084360000000001E-2</v>
      </c>
      <c r="W417" s="230">
        <f t="shared" si="96"/>
        <v>0.11440253401855263</v>
      </c>
      <c r="X417" s="43">
        <f t="shared" si="97"/>
        <v>0.81949966100000005</v>
      </c>
      <c r="Y417" s="43">
        <v>77.760906779999999</v>
      </c>
      <c r="Z417" s="43">
        <f t="shared" si="86"/>
        <v>0</v>
      </c>
      <c r="AA417" s="43">
        <f t="shared" si="87"/>
        <v>478718</v>
      </c>
      <c r="AB417" s="43">
        <f t="shared" si="88"/>
        <v>186107</v>
      </c>
      <c r="AC417" s="43">
        <f t="shared" si="98"/>
        <v>7.5967312731255288E-2</v>
      </c>
      <c r="AD417" s="43">
        <f t="shared" si="99"/>
        <v>0.80847972010000058</v>
      </c>
      <c r="AF417" s="43">
        <v>11.878994670027222</v>
      </c>
      <c r="AG417" s="43">
        <v>6.7082894000000004E-2</v>
      </c>
      <c r="AH417" s="43">
        <v>0.116968356</v>
      </c>
      <c r="AI417" s="43">
        <v>0.67247681199999998</v>
      </c>
      <c r="AJ417" s="43">
        <v>2.2173871319999998</v>
      </c>
      <c r="AK417" s="43">
        <v>7.5755412069999997</v>
      </c>
      <c r="AL417" s="43">
        <v>1.0084360000000001E-2</v>
      </c>
      <c r="AM417" s="230">
        <v>0.11440253401855263</v>
      </c>
      <c r="AN417" s="43">
        <v>0.81949966100000005</v>
      </c>
    </row>
    <row r="418" spans="1:40" x14ac:dyDescent="0.25">
      <c r="A418" s="134">
        <v>408</v>
      </c>
      <c r="B418" s="134" t="s">
        <v>209</v>
      </c>
      <c r="C418" s="134" t="s">
        <v>210</v>
      </c>
      <c r="D418" s="134" t="s">
        <v>211</v>
      </c>
      <c r="E418" s="134">
        <v>375</v>
      </c>
      <c r="F418" s="134">
        <v>1234</v>
      </c>
      <c r="G418" s="134">
        <v>43</v>
      </c>
      <c r="H418" s="134">
        <v>224</v>
      </c>
      <c r="I418" s="200">
        <v>6.8638282461399996E-2</v>
      </c>
      <c r="J418" s="134">
        <v>1458</v>
      </c>
      <c r="K418" s="134">
        <v>21241.7902622</v>
      </c>
      <c r="L418" s="42">
        <v>0.81053202468499996</v>
      </c>
      <c r="M418" s="42">
        <v>0.37395659432400002</v>
      </c>
      <c r="N418" s="134">
        <v>0</v>
      </c>
      <c r="O418" s="43" t="s">
        <v>664</v>
      </c>
      <c r="P418" s="43">
        <f t="shared" si="89"/>
        <v>11.972669984167453</v>
      </c>
      <c r="Q418" s="43">
        <f t="shared" si="90"/>
        <v>6.3206891000000001E-2</v>
      </c>
      <c r="R418" s="43">
        <f t="shared" si="91"/>
        <v>2.0566988000000001E-2</v>
      </c>
      <c r="S418" s="43">
        <f t="shared" si="92"/>
        <v>0.81053202499999999</v>
      </c>
      <c r="T418" s="43">
        <f t="shared" si="93"/>
        <v>3.4516417530000001</v>
      </c>
      <c r="U418" s="43">
        <f t="shared" si="94"/>
        <v>8.2714566269999992</v>
      </c>
      <c r="V418" s="43">
        <f t="shared" si="95"/>
        <v>1.2763596E-2</v>
      </c>
      <c r="W418" s="230">
        <f t="shared" si="96"/>
        <v>0.11174092278420802</v>
      </c>
      <c r="X418" s="43">
        <f t="shared" si="97"/>
        <v>0.81149912800000001</v>
      </c>
      <c r="Y418" s="43">
        <v>118.91796119999999</v>
      </c>
      <c r="Z418" s="43">
        <f t="shared" si="86"/>
        <v>0</v>
      </c>
      <c r="AA418" s="43">
        <f t="shared" si="87"/>
        <v>478718</v>
      </c>
      <c r="AB418" s="43">
        <f t="shared" si="88"/>
        <v>186107</v>
      </c>
      <c r="AC418" s="43">
        <f t="shared" si="98"/>
        <v>7.5967312731255288E-2</v>
      </c>
      <c r="AD418" s="43">
        <f t="shared" si="99"/>
        <v>0.80847972010000058</v>
      </c>
      <c r="AF418" s="43">
        <v>11.972669984167453</v>
      </c>
      <c r="AG418" s="43">
        <v>6.3206891000000001E-2</v>
      </c>
      <c r="AH418" s="43">
        <v>2.0566988000000001E-2</v>
      </c>
      <c r="AI418" s="43">
        <v>0.81053202499999999</v>
      </c>
      <c r="AJ418" s="43">
        <v>3.4516417530000001</v>
      </c>
      <c r="AK418" s="43">
        <v>8.2714566269999992</v>
      </c>
      <c r="AL418" s="43">
        <v>1.2763596E-2</v>
      </c>
      <c r="AM418" s="230">
        <v>0.11174092278420802</v>
      </c>
      <c r="AN418" s="43">
        <v>0.81149912800000001</v>
      </c>
    </row>
    <row r="419" spans="1:40" x14ac:dyDescent="0.25">
      <c r="A419" s="134">
        <v>409</v>
      </c>
      <c r="B419" s="134" t="s">
        <v>209</v>
      </c>
      <c r="C419" s="134" t="s">
        <v>210</v>
      </c>
      <c r="D419" s="134" t="s">
        <v>211</v>
      </c>
      <c r="E419" s="134">
        <v>234</v>
      </c>
      <c r="F419" s="134">
        <v>770</v>
      </c>
      <c r="G419" s="134">
        <v>28</v>
      </c>
      <c r="H419" s="134">
        <v>558</v>
      </c>
      <c r="I419" s="200">
        <v>4.4998561854299998E-2</v>
      </c>
      <c r="J419" s="134">
        <v>1328</v>
      </c>
      <c r="K419" s="134">
        <v>29512.054280799999</v>
      </c>
      <c r="L419" s="42">
        <v>0.81053132502400005</v>
      </c>
      <c r="M419" s="42">
        <v>0.70454545454499995</v>
      </c>
      <c r="N419" s="134">
        <v>0</v>
      </c>
      <c r="O419" s="43" t="s">
        <v>627</v>
      </c>
      <c r="P419" s="43">
        <f t="shared" si="89"/>
        <v>12.100921128118646</v>
      </c>
      <c r="Q419" s="43">
        <f t="shared" si="90"/>
        <v>5.4512011999999999E-2</v>
      </c>
      <c r="R419" s="43">
        <f t="shared" si="91"/>
        <v>1.8158193999999999E-2</v>
      </c>
      <c r="S419" s="43">
        <f t="shared" si="92"/>
        <v>0.81053132500000002</v>
      </c>
      <c r="T419" s="43">
        <f t="shared" si="93"/>
        <v>3.2101555620000002</v>
      </c>
      <c r="U419" s="43">
        <f t="shared" si="94"/>
        <v>8.1194990310000001</v>
      </c>
      <c r="V419" s="43">
        <f t="shared" si="95"/>
        <v>1.5252363E-2</v>
      </c>
      <c r="W419" s="230">
        <f t="shared" si="96"/>
        <v>9.3415869442881258E-2</v>
      </c>
      <c r="X419" s="43">
        <f t="shared" si="97"/>
        <v>0.81299361599999997</v>
      </c>
      <c r="Y419" s="43">
        <v>109.72081780000001</v>
      </c>
      <c r="Z419" s="43">
        <f t="shared" si="86"/>
        <v>0</v>
      </c>
      <c r="AA419" s="43">
        <f t="shared" si="87"/>
        <v>478718</v>
      </c>
      <c r="AB419" s="43">
        <f t="shared" si="88"/>
        <v>186107</v>
      </c>
      <c r="AC419" s="43">
        <f t="shared" si="98"/>
        <v>7.5967312731255288E-2</v>
      </c>
      <c r="AD419" s="43">
        <f t="shared" si="99"/>
        <v>0.80847972010000058</v>
      </c>
      <c r="AF419" s="43">
        <v>12.100921128118646</v>
      </c>
      <c r="AG419" s="43">
        <v>5.4512011999999999E-2</v>
      </c>
      <c r="AH419" s="43">
        <v>1.8158193999999999E-2</v>
      </c>
      <c r="AI419" s="43">
        <v>0.81053132500000002</v>
      </c>
      <c r="AJ419" s="43">
        <v>3.2101555620000002</v>
      </c>
      <c r="AK419" s="43">
        <v>8.1194990310000001</v>
      </c>
      <c r="AL419" s="43">
        <v>1.5252363E-2</v>
      </c>
      <c r="AM419" s="230">
        <v>9.3415869442881258E-2</v>
      </c>
      <c r="AN419" s="43">
        <v>0.81299361599999997</v>
      </c>
    </row>
    <row r="420" spans="1:40" x14ac:dyDescent="0.25">
      <c r="A420" s="134">
        <v>410</v>
      </c>
      <c r="B420" s="134" t="s">
        <v>209</v>
      </c>
      <c r="C420" s="134" t="s">
        <v>210</v>
      </c>
      <c r="D420" s="134" t="s">
        <v>211</v>
      </c>
      <c r="E420" s="134">
        <v>584</v>
      </c>
      <c r="F420" s="134">
        <v>1517</v>
      </c>
      <c r="G420" s="134">
        <v>277</v>
      </c>
      <c r="H420" s="134">
        <v>296</v>
      </c>
      <c r="I420" s="200">
        <v>0.426875939388</v>
      </c>
      <c r="J420" s="134">
        <v>1813</v>
      </c>
      <c r="K420" s="134">
        <v>4247.1356024400002</v>
      </c>
      <c r="L420" s="42">
        <v>0.86304440847599995</v>
      </c>
      <c r="M420" s="42">
        <v>0.33636363636400002</v>
      </c>
      <c r="N420" s="134">
        <v>0</v>
      </c>
      <c r="O420" s="43" t="s">
        <v>666</v>
      </c>
      <c r="P420" s="43">
        <f t="shared" si="89"/>
        <v>14.064573907239517</v>
      </c>
      <c r="Q420" s="43">
        <f t="shared" si="90"/>
        <v>4.5816202E-2</v>
      </c>
      <c r="R420" s="43">
        <f t="shared" si="91"/>
        <v>3.5214848999999999E-2</v>
      </c>
      <c r="S420" s="43">
        <f t="shared" si="92"/>
        <v>0.86304440800000004</v>
      </c>
      <c r="T420" s="43">
        <f t="shared" si="93"/>
        <v>3.2610666199999998</v>
      </c>
      <c r="U420" s="43">
        <f t="shared" si="94"/>
        <v>10.667200920000001</v>
      </c>
      <c r="V420" s="43">
        <f t="shared" si="95"/>
        <v>4.8081909999999999E-3</v>
      </c>
      <c r="W420" s="230">
        <f t="shared" si="96"/>
        <v>8.5005184033177819E-2</v>
      </c>
      <c r="X420" s="43">
        <f t="shared" si="97"/>
        <v>0.89022809700000005</v>
      </c>
      <c r="Y420" s="43">
        <v>70.054552409999999</v>
      </c>
      <c r="Z420" s="43">
        <f t="shared" si="86"/>
        <v>0</v>
      </c>
      <c r="AA420" s="43">
        <f t="shared" si="87"/>
        <v>478718</v>
      </c>
      <c r="AB420" s="43">
        <f t="shared" si="88"/>
        <v>186107</v>
      </c>
      <c r="AC420" s="43">
        <f t="shared" si="98"/>
        <v>7.5967312731255288E-2</v>
      </c>
      <c r="AD420" s="43">
        <f t="shared" si="99"/>
        <v>0.80847972010000058</v>
      </c>
      <c r="AF420" s="43">
        <v>14.064573907239517</v>
      </c>
      <c r="AG420" s="43">
        <v>4.5816202E-2</v>
      </c>
      <c r="AH420" s="43">
        <v>3.5214848999999999E-2</v>
      </c>
      <c r="AI420" s="43">
        <v>0.86304440800000004</v>
      </c>
      <c r="AJ420" s="43">
        <v>3.2610666199999998</v>
      </c>
      <c r="AK420" s="43">
        <v>10.667200920000001</v>
      </c>
      <c r="AL420" s="43">
        <v>4.8081909999999999E-3</v>
      </c>
      <c r="AM420" s="230">
        <v>8.5005184033177819E-2</v>
      </c>
      <c r="AN420" s="43">
        <v>0.89022809700000005</v>
      </c>
    </row>
    <row r="421" spans="1:40" x14ac:dyDescent="0.25">
      <c r="A421" s="134">
        <v>411</v>
      </c>
      <c r="B421" s="134" t="s">
        <v>209</v>
      </c>
      <c r="C421" s="134" t="s">
        <v>210</v>
      </c>
      <c r="D421" s="134" t="s">
        <v>211</v>
      </c>
      <c r="E421" s="134">
        <v>603</v>
      </c>
      <c r="F421" s="134">
        <v>1566</v>
      </c>
      <c r="G421" s="134">
        <v>160</v>
      </c>
      <c r="H421" s="134">
        <v>268</v>
      </c>
      <c r="I421" s="200">
        <v>0.24758845361500001</v>
      </c>
      <c r="J421" s="134">
        <v>1834</v>
      </c>
      <c r="K421" s="134">
        <v>7407.4536724999998</v>
      </c>
      <c r="L421" s="42">
        <v>0.78706206973399995</v>
      </c>
      <c r="M421" s="42">
        <v>0.30769230769200001</v>
      </c>
      <c r="N421" s="134">
        <v>0</v>
      </c>
      <c r="O421" s="43" t="s">
        <v>664</v>
      </c>
      <c r="P421" s="43">
        <f t="shared" si="89"/>
        <v>13.44253970297189</v>
      </c>
      <c r="Q421" s="43">
        <f t="shared" si="90"/>
        <v>5.5355500000000002E-2</v>
      </c>
      <c r="R421" s="43">
        <f t="shared" si="91"/>
        <v>5.8722372000000002E-2</v>
      </c>
      <c r="S421" s="43">
        <f t="shared" si="92"/>
        <v>0.78706206999999995</v>
      </c>
      <c r="T421" s="43">
        <f t="shared" si="93"/>
        <v>2.4047901629999999</v>
      </c>
      <c r="U421" s="43">
        <f t="shared" si="94"/>
        <v>9.1287620870000001</v>
      </c>
      <c r="V421" s="43">
        <f t="shared" si="95"/>
        <v>6.4733450000000001E-3</v>
      </c>
      <c r="W421" s="230">
        <f t="shared" si="96"/>
        <v>8.634723504237643E-2</v>
      </c>
      <c r="X421" s="43">
        <f t="shared" si="97"/>
        <v>0.871623971</v>
      </c>
      <c r="Y421" s="43">
        <v>70.519940140000003</v>
      </c>
      <c r="Z421" s="43">
        <f t="shared" si="86"/>
        <v>0</v>
      </c>
      <c r="AA421" s="43">
        <f t="shared" si="87"/>
        <v>478718</v>
      </c>
      <c r="AB421" s="43">
        <f t="shared" si="88"/>
        <v>186107</v>
      </c>
      <c r="AC421" s="43">
        <f t="shared" si="98"/>
        <v>7.5967312731255288E-2</v>
      </c>
      <c r="AD421" s="43">
        <f t="shared" si="99"/>
        <v>0.80847972010000058</v>
      </c>
      <c r="AF421" s="43">
        <v>13.44253970297189</v>
      </c>
      <c r="AG421" s="43">
        <v>5.5355500000000002E-2</v>
      </c>
      <c r="AH421" s="43">
        <v>5.8722372000000002E-2</v>
      </c>
      <c r="AI421" s="43">
        <v>0.78706206999999995</v>
      </c>
      <c r="AJ421" s="43">
        <v>2.4047901629999999</v>
      </c>
      <c r="AK421" s="43">
        <v>9.1287620870000001</v>
      </c>
      <c r="AL421" s="43">
        <v>6.4733450000000001E-3</v>
      </c>
      <c r="AM421" s="230">
        <v>8.634723504237643E-2</v>
      </c>
      <c r="AN421" s="43">
        <v>0.871623971</v>
      </c>
    </row>
    <row r="422" spans="1:40" x14ac:dyDescent="0.25">
      <c r="A422" s="134">
        <v>412</v>
      </c>
      <c r="B422" s="134" t="s">
        <v>209</v>
      </c>
      <c r="C422" s="134" t="s">
        <v>210</v>
      </c>
      <c r="D422" s="134" t="s">
        <v>211</v>
      </c>
      <c r="E422" s="134">
        <v>1113</v>
      </c>
      <c r="F422" s="134">
        <v>2824</v>
      </c>
      <c r="G422" s="134">
        <v>280</v>
      </c>
      <c r="H422" s="134">
        <v>416</v>
      </c>
      <c r="I422" s="200">
        <v>0.43351886046100002</v>
      </c>
      <c r="J422" s="134">
        <v>3240</v>
      </c>
      <c r="K422" s="134">
        <v>7473.7232805900003</v>
      </c>
      <c r="L422" s="42">
        <v>0.88019794358199999</v>
      </c>
      <c r="M422" s="42">
        <v>0.27207325049100001</v>
      </c>
      <c r="N422" s="134">
        <v>0</v>
      </c>
      <c r="O422" s="43" t="s">
        <v>666</v>
      </c>
      <c r="P422" s="43">
        <f t="shared" si="89"/>
        <v>13.059038848560791</v>
      </c>
      <c r="Q422" s="43">
        <f t="shared" si="90"/>
        <v>4.5526354999999998E-2</v>
      </c>
      <c r="R422" s="43">
        <f t="shared" si="91"/>
        <v>1.4808951000000001E-2</v>
      </c>
      <c r="S422" s="43">
        <f t="shared" si="92"/>
        <v>0.88019794399999995</v>
      </c>
      <c r="T422" s="43">
        <f t="shared" si="93"/>
        <v>3.8757196070000002</v>
      </c>
      <c r="U422" s="43">
        <f t="shared" si="94"/>
        <v>9.8145464279999999</v>
      </c>
      <c r="V422" s="43">
        <f t="shared" si="95"/>
        <v>6.2478389999999998E-3</v>
      </c>
      <c r="W422" s="230">
        <f t="shared" si="96"/>
        <v>8.6718573012674507E-2</v>
      </c>
      <c r="X422" s="43">
        <f t="shared" si="97"/>
        <v>0.88810525900000004</v>
      </c>
      <c r="Y422" s="43">
        <v>94.508720019999998</v>
      </c>
      <c r="Z422" s="43">
        <f t="shared" si="86"/>
        <v>0</v>
      </c>
      <c r="AA422" s="43">
        <f t="shared" si="87"/>
        <v>478718</v>
      </c>
      <c r="AB422" s="43">
        <f t="shared" si="88"/>
        <v>186107</v>
      </c>
      <c r="AC422" s="43">
        <f t="shared" si="98"/>
        <v>7.5967312731255288E-2</v>
      </c>
      <c r="AD422" s="43">
        <f t="shared" si="99"/>
        <v>0.80847972010000058</v>
      </c>
      <c r="AF422" s="43">
        <v>13.059038848560791</v>
      </c>
      <c r="AG422" s="43">
        <v>4.5526354999999998E-2</v>
      </c>
      <c r="AH422" s="43">
        <v>1.4808951000000001E-2</v>
      </c>
      <c r="AI422" s="43">
        <v>0.88019794399999995</v>
      </c>
      <c r="AJ422" s="43">
        <v>3.8757196070000002</v>
      </c>
      <c r="AK422" s="43">
        <v>9.8145464279999999</v>
      </c>
      <c r="AL422" s="43">
        <v>6.2478389999999998E-3</v>
      </c>
      <c r="AM422" s="230">
        <v>8.6718573012674507E-2</v>
      </c>
      <c r="AN422" s="43">
        <v>0.88810525900000004</v>
      </c>
    </row>
    <row r="423" spans="1:40" x14ac:dyDescent="0.25">
      <c r="A423" s="134">
        <v>413</v>
      </c>
      <c r="B423" s="134" t="s">
        <v>209</v>
      </c>
      <c r="C423" s="134" t="s">
        <v>210</v>
      </c>
      <c r="D423" s="134" t="s">
        <v>211</v>
      </c>
      <c r="E423" s="134">
        <v>317</v>
      </c>
      <c r="F423" s="134">
        <v>805</v>
      </c>
      <c r="G423" s="134">
        <v>48</v>
      </c>
      <c r="H423" s="134">
        <v>101</v>
      </c>
      <c r="I423" s="200">
        <v>7.4315623056300004E-2</v>
      </c>
      <c r="J423" s="134">
        <v>906</v>
      </c>
      <c r="K423" s="134">
        <v>12191.245430499999</v>
      </c>
      <c r="L423" s="42">
        <v>0.83652056473600001</v>
      </c>
      <c r="M423" s="42">
        <v>0.24162679425799999</v>
      </c>
      <c r="N423" s="134">
        <v>0</v>
      </c>
      <c r="O423" s="43" t="s">
        <v>664</v>
      </c>
      <c r="P423" s="43">
        <f t="shared" si="89"/>
        <v>12.328951877176692</v>
      </c>
      <c r="Q423" s="43">
        <f t="shared" si="90"/>
        <v>5.7852505999999998E-2</v>
      </c>
      <c r="R423" s="43">
        <f t="shared" si="91"/>
        <v>1.4708552999999999E-2</v>
      </c>
      <c r="S423" s="43">
        <f t="shared" si="92"/>
        <v>0.83652056500000005</v>
      </c>
      <c r="T423" s="43">
        <f t="shared" si="93"/>
        <v>3.3168145010000001</v>
      </c>
      <c r="U423" s="43">
        <f t="shared" si="94"/>
        <v>8.2724294690000004</v>
      </c>
      <c r="V423" s="43">
        <f t="shared" si="95"/>
        <v>6.2919370000000001E-3</v>
      </c>
      <c r="W423" s="230">
        <f t="shared" si="96"/>
        <v>0.11681883181168187</v>
      </c>
      <c r="X423" s="43">
        <f t="shared" si="97"/>
        <v>0.82439775599999998</v>
      </c>
      <c r="Y423" s="43">
        <v>183.06322710000001</v>
      </c>
      <c r="Z423" s="43">
        <f t="shared" si="86"/>
        <v>0</v>
      </c>
      <c r="AA423" s="43">
        <f t="shared" si="87"/>
        <v>478718</v>
      </c>
      <c r="AB423" s="43">
        <f t="shared" si="88"/>
        <v>186107</v>
      </c>
      <c r="AC423" s="43">
        <f t="shared" si="98"/>
        <v>7.5967312731255288E-2</v>
      </c>
      <c r="AD423" s="43">
        <f t="shared" si="99"/>
        <v>0.80847972010000058</v>
      </c>
      <c r="AF423" s="43">
        <v>12.328951877176692</v>
      </c>
      <c r="AG423" s="43">
        <v>5.7852505999999998E-2</v>
      </c>
      <c r="AH423" s="43">
        <v>1.4708552999999999E-2</v>
      </c>
      <c r="AI423" s="43">
        <v>0.83652056500000005</v>
      </c>
      <c r="AJ423" s="43">
        <v>3.3168145010000001</v>
      </c>
      <c r="AK423" s="43">
        <v>8.2724294690000004</v>
      </c>
      <c r="AL423" s="43">
        <v>6.2919370000000001E-3</v>
      </c>
      <c r="AM423" s="230">
        <v>0.11681883181168187</v>
      </c>
      <c r="AN423" s="43">
        <v>0.82439775599999998</v>
      </c>
    </row>
    <row r="424" spans="1:40" x14ac:dyDescent="0.25">
      <c r="A424" s="134">
        <v>414</v>
      </c>
      <c r="B424" s="134" t="s">
        <v>209</v>
      </c>
      <c r="C424" s="134" t="s">
        <v>210</v>
      </c>
      <c r="D424" s="134" t="s">
        <v>211</v>
      </c>
      <c r="E424" s="134">
        <v>336</v>
      </c>
      <c r="F424" s="134">
        <v>854</v>
      </c>
      <c r="G424" s="134">
        <v>48</v>
      </c>
      <c r="H424" s="134">
        <v>61</v>
      </c>
      <c r="I424" s="200">
        <v>7.50164866199E-2</v>
      </c>
      <c r="J424" s="134">
        <v>915</v>
      </c>
      <c r="K424" s="134">
        <v>12197.3187659</v>
      </c>
      <c r="L424" s="42">
        <v>0.84547804197099996</v>
      </c>
      <c r="M424" s="42">
        <v>0.153652392947</v>
      </c>
      <c r="N424" s="134">
        <v>0</v>
      </c>
      <c r="O424" s="43" t="s">
        <v>664</v>
      </c>
      <c r="P424" s="43">
        <f t="shared" si="89"/>
        <v>12.242832462708344</v>
      </c>
      <c r="Q424" s="43">
        <f t="shared" si="90"/>
        <v>5.3194889000000002E-2</v>
      </c>
      <c r="R424" s="43">
        <f t="shared" si="91"/>
        <v>1.4363966000000001E-2</v>
      </c>
      <c r="S424" s="43">
        <f t="shared" si="92"/>
        <v>0.84547804199999999</v>
      </c>
      <c r="T424" s="43">
        <f t="shared" si="93"/>
        <v>3.3016738029999999</v>
      </c>
      <c r="U424" s="43">
        <f t="shared" si="94"/>
        <v>8.3946264589999995</v>
      </c>
      <c r="V424" s="43">
        <f t="shared" si="95"/>
        <v>4.6532090000000002E-3</v>
      </c>
      <c r="W424" s="230">
        <f t="shared" si="96"/>
        <v>0.11693212334475414</v>
      </c>
      <c r="X424" s="43">
        <f t="shared" si="97"/>
        <v>0.83431336199999995</v>
      </c>
      <c r="Y424" s="43">
        <v>119.54889439999999</v>
      </c>
      <c r="Z424" s="43">
        <f t="shared" si="86"/>
        <v>0</v>
      </c>
      <c r="AA424" s="43">
        <f t="shared" si="87"/>
        <v>478718</v>
      </c>
      <c r="AB424" s="43">
        <f t="shared" si="88"/>
        <v>186107</v>
      </c>
      <c r="AC424" s="43">
        <f t="shared" si="98"/>
        <v>7.5967312731255288E-2</v>
      </c>
      <c r="AD424" s="43">
        <f t="shared" si="99"/>
        <v>0.80847972010000058</v>
      </c>
      <c r="AF424" s="43">
        <v>12.242832462708344</v>
      </c>
      <c r="AG424" s="43">
        <v>5.3194889000000002E-2</v>
      </c>
      <c r="AH424" s="43">
        <v>1.4363966000000001E-2</v>
      </c>
      <c r="AI424" s="43">
        <v>0.84547804199999999</v>
      </c>
      <c r="AJ424" s="43">
        <v>3.3016738029999999</v>
      </c>
      <c r="AK424" s="43">
        <v>8.3946264589999995</v>
      </c>
      <c r="AL424" s="43">
        <v>4.6532090000000002E-3</v>
      </c>
      <c r="AM424" s="230">
        <v>0.11693212334475414</v>
      </c>
      <c r="AN424" s="43">
        <v>0.83431336199999995</v>
      </c>
    </row>
    <row r="425" spans="1:40" x14ac:dyDescent="0.25">
      <c r="A425" s="134">
        <v>415</v>
      </c>
      <c r="B425" s="134" t="s">
        <v>209</v>
      </c>
      <c r="C425" s="134" t="s">
        <v>210</v>
      </c>
      <c r="D425" s="134" t="s">
        <v>211</v>
      </c>
      <c r="E425" s="134">
        <v>1471</v>
      </c>
      <c r="F425" s="134">
        <v>3486</v>
      </c>
      <c r="G425" s="134">
        <v>739</v>
      </c>
      <c r="H425" s="134">
        <v>436</v>
      </c>
      <c r="I425" s="200">
        <v>1.19367252821</v>
      </c>
      <c r="J425" s="134">
        <v>3922</v>
      </c>
      <c r="K425" s="134">
        <v>3285.65825829</v>
      </c>
      <c r="L425" s="42">
        <v>0.84857517479400002</v>
      </c>
      <c r="M425" s="42">
        <v>0.22863135815399999</v>
      </c>
      <c r="N425" s="134">
        <v>0</v>
      </c>
      <c r="O425" s="43" t="s">
        <v>666</v>
      </c>
      <c r="P425" s="43">
        <f t="shared" si="89"/>
        <v>14.191208464124124</v>
      </c>
      <c r="Q425" s="43">
        <f t="shared" si="90"/>
        <v>9.4204882000000004E-2</v>
      </c>
      <c r="R425" s="43">
        <f t="shared" si="91"/>
        <v>8.1597400000000004E-3</v>
      </c>
      <c r="S425" s="43">
        <f t="shared" si="92"/>
        <v>0.84857517500000001</v>
      </c>
      <c r="T425" s="43">
        <f t="shared" si="93"/>
        <v>3.914173533</v>
      </c>
      <c r="U425" s="43">
        <f t="shared" si="94"/>
        <v>9.7538269740000008</v>
      </c>
      <c r="V425" s="43">
        <f t="shared" si="95"/>
        <v>3.3626580000000001E-3</v>
      </c>
      <c r="W425" s="230">
        <f t="shared" si="96"/>
        <v>0.10949865833361637</v>
      </c>
      <c r="X425" s="43">
        <f t="shared" si="97"/>
        <v>0.87618032700000004</v>
      </c>
      <c r="Y425" s="43">
        <v>28.642768589999999</v>
      </c>
      <c r="Z425" s="43">
        <f t="shared" si="86"/>
        <v>0</v>
      </c>
      <c r="AA425" s="43">
        <f t="shared" si="87"/>
        <v>478718</v>
      </c>
      <c r="AB425" s="43">
        <f t="shared" si="88"/>
        <v>186107</v>
      </c>
      <c r="AC425" s="43">
        <f t="shared" si="98"/>
        <v>7.5967312731255288E-2</v>
      </c>
      <c r="AD425" s="43">
        <f t="shared" si="99"/>
        <v>0.80847972010000058</v>
      </c>
      <c r="AF425" s="43">
        <v>14.191208464124124</v>
      </c>
      <c r="AG425" s="43">
        <v>9.4204882000000004E-2</v>
      </c>
      <c r="AH425" s="43">
        <v>8.1597400000000004E-3</v>
      </c>
      <c r="AI425" s="43">
        <v>0.84857517500000001</v>
      </c>
      <c r="AJ425" s="43">
        <v>3.914173533</v>
      </c>
      <c r="AK425" s="43">
        <v>9.7538269740000008</v>
      </c>
      <c r="AL425" s="43">
        <v>3.3626580000000001E-3</v>
      </c>
      <c r="AM425" s="230">
        <v>0.10949865833361637</v>
      </c>
      <c r="AN425" s="43">
        <v>0.87618032700000004</v>
      </c>
    </row>
    <row r="426" spans="1:40" x14ac:dyDescent="0.25">
      <c r="A426" s="134">
        <v>416</v>
      </c>
      <c r="B426" s="134" t="s">
        <v>209</v>
      </c>
      <c r="C426" s="134" t="s">
        <v>210</v>
      </c>
      <c r="D426" s="134" t="s">
        <v>211</v>
      </c>
      <c r="E426" s="134">
        <v>757</v>
      </c>
      <c r="F426" s="134">
        <v>1795</v>
      </c>
      <c r="G426" s="134">
        <v>657</v>
      </c>
      <c r="H426" s="134">
        <v>93</v>
      </c>
      <c r="I426" s="200">
        <v>1.0482752475699999</v>
      </c>
      <c r="J426" s="134">
        <v>1888</v>
      </c>
      <c r="K426" s="134">
        <v>1801.0536873599999</v>
      </c>
      <c r="L426" s="42">
        <v>0.91293361022200004</v>
      </c>
      <c r="M426" s="42">
        <v>0.109411764706</v>
      </c>
      <c r="N426" s="134">
        <v>0</v>
      </c>
      <c r="O426" s="43" t="s">
        <v>665</v>
      </c>
      <c r="P426" s="43">
        <f t="shared" si="89"/>
        <v>15.428072349433444</v>
      </c>
      <c r="Q426" s="43">
        <f t="shared" si="90"/>
        <v>3.2437329000000001E-2</v>
      </c>
      <c r="R426" s="43">
        <f t="shared" si="91"/>
        <v>1.0362145E-2</v>
      </c>
      <c r="S426" s="43">
        <f t="shared" si="92"/>
        <v>0.91293360999999995</v>
      </c>
      <c r="T426" s="43">
        <f t="shared" si="93"/>
        <v>4.476573471</v>
      </c>
      <c r="U426" s="43">
        <f t="shared" si="94"/>
        <v>12.0475984</v>
      </c>
      <c r="V426" s="43">
        <f t="shared" si="95"/>
        <v>1.1603710000000001E-3</v>
      </c>
      <c r="W426" s="230">
        <f t="shared" si="96"/>
        <v>9.5965553285959501E-2</v>
      </c>
      <c r="X426" s="43">
        <f t="shared" si="97"/>
        <v>0.89288146000000002</v>
      </c>
      <c r="Y426" s="43">
        <v>16.218979180000002</v>
      </c>
      <c r="Z426" s="43">
        <f t="shared" si="86"/>
        <v>0</v>
      </c>
      <c r="AA426" s="43">
        <f t="shared" si="87"/>
        <v>478718</v>
      </c>
      <c r="AB426" s="43">
        <f t="shared" si="88"/>
        <v>186107</v>
      </c>
      <c r="AC426" s="43">
        <f t="shared" si="98"/>
        <v>7.5967312731255288E-2</v>
      </c>
      <c r="AD426" s="43">
        <f t="shared" si="99"/>
        <v>0.80847972010000058</v>
      </c>
      <c r="AF426" s="43">
        <v>15.428072349433444</v>
      </c>
      <c r="AG426" s="43">
        <v>3.2437329000000001E-2</v>
      </c>
      <c r="AH426" s="43">
        <v>1.0362145E-2</v>
      </c>
      <c r="AI426" s="43">
        <v>0.91293360999999995</v>
      </c>
      <c r="AJ426" s="43">
        <v>4.476573471</v>
      </c>
      <c r="AK426" s="43">
        <v>12.0475984</v>
      </c>
      <c r="AL426" s="43">
        <v>1.1603710000000001E-3</v>
      </c>
      <c r="AM426" s="230">
        <v>9.5965553285959501E-2</v>
      </c>
      <c r="AN426" s="43">
        <v>0.89288146000000002</v>
      </c>
    </row>
    <row r="427" spans="1:40" x14ac:dyDescent="0.25">
      <c r="A427" s="134">
        <v>417</v>
      </c>
      <c r="B427" s="134" t="s">
        <v>209</v>
      </c>
      <c r="C427" s="134" t="s">
        <v>210</v>
      </c>
      <c r="D427" s="134" t="s">
        <v>211</v>
      </c>
      <c r="E427" s="134">
        <v>516</v>
      </c>
      <c r="F427" s="134">
        <v>1224</v>
      </c>
      <c r="G427" s="134">
        <v>718</v>
      </c>
      <c r="H427" s="134">
        <v>639</v>
      </c>
      <c r="I427" s="200">
        <v>1.1453109151500001</v>
      </c>
      <c r="J427" s="134">
        <v>1863</v>
      </c>
      <c r="K427" s="134">
        <v>1626.63253738</v>
      </c>
      <c r="L427" s="42">
        <v>0.78352091601100005</v>
      </c>
      <c r="M427" s="42">
        <v>0.55324675324700001</v>
      </c>
      <c r="N427" s="134">
        <v>0</v>
      </c>
      <c r="O427" s="43" t="s">
        <v>666</v>
      </c>
      <c r="P427" s="43">
        <f t="shared" si="89"/>
        <v>14.582008876130786</v>
      </c>
      <c r="Q427" s="43">
        <f t="shared" si="90"/>
        <v>5.9062113999999999E-2</v>
      </c>
      <c r="R427" s="43">
        <f t="shared" si="91"/>
        <v>0.10288449</v>
      </c>
      <c r="S427" s="43">
        <f t="shared" si="92"/>
        <v>0.78352091599999996</v>
      </c>
      <c r="T427" s="43">
        <f t="shared" si="93"/>
        <v>4.0344681099999997</v>
      </c>
      <c r="U427" s="43">
        <f t="shared" si="94"/>
        <v>9.8862037439999995</v>
      </c>
      <c r="V427" s="43">
        <f t="shared" si="95"/>
        <v>4.6849659999999996E-3</v>
      </c>
      <c r="W427" s="230">
        <f t="shared" si="96"/>
        <v>7.1106801781316772E-2</v>
      </c>
      <c r="X427" s="43">
        <f t="shared" si="97"/>
        <v>0.90811975</v>
      </c>
      <c r="Y427" s="43">
        <v>17.690894950000001</v>
      </c>
      <c r="Z427" s="43">
        <f t="shared" si="86"/>
        <v>0</v>
      </c>
      <c r="AA427" s="43">
        <f t="shared" si="87"/>
        <v>478718</v>
      </c>
      <c r="AB427" s="43">
        <f t="shared" si="88"/>
        <v>186107</v>
      </c>
      <c r="AC427" s="43">
        <f t="shared" si="98"/>
        <v>7.5967312731255288E-2</v>
      </c>
      <c r="AD427" s="43">
        <f t="shared" si="99"/>
        <v>0.80847972010000058</v>
      </c>
      <c r="AF427" s="43">
        <v>14.582008876130786</v>
      </c>
      <c r="AG427" s="43">
        <v>5.9062113999999999E-2</v>
      </c>
      <c r="AH427" s="43">
        <v>0.10288449</v>
      </c>
      <c r="AI427" s="43">
        <v>0.78352091599999996</v>
      </c>
      <c r="AJ427" s="43">
        <v>4.0344681099999997</v>
      </c>
      <c r="AK427" s="43">
        <v>9.8862037439999995</v>
      </c>
      <c r="AL427" s="43">
        <v>4.6849659999999996E-3</v>
      </c>
      <c r="AM427" s="230">
        <v>7.1106801781316772E-2</v>
      </c>
      <c r="AN427" s="43">
        <v>0.90811975</v>
      </c>
    </row>
    <row r="428" spans="1:40" x14ac:dyDescent="0.25">
      <c r="A428" s="134">
        <v>418</v>
      </c>
      <c r="B428" s="134" t="s">
        <v>209</v>
      </c>
      <c r="C428" s="134" t="s">
        <v>210</v>
      </c>
      <c r="D428" s="134" t="s">
        <v>211</v>
      </c>
      <c r="E428" s="134">
        <v>127</v>
      </c>
      <c r="F428" s="134">
        <v>308</v>
      </c>
      <c r="G428" s="134">
        <v>236</v>
      </c>
      <c r="H428" s="134">
        <v>654</v>
      </c>
      <c r="I428" s="200">
        <v>0.36152463667099999</v>
      </c>
      <c r="J428" s="134">
        <v>962</v>
      </c>
      <c r="K428" s="134">
        <v>2660.9528159900001</v>
      </c>
      <c r="L428" s="42">
        <v>0.93980376398900001</v>
      </c>
      <c r="M428" s="42">
        <v>0.83738796414899996</v>
      </c>
      <c r="N428" s="134">
        <v>0</v>
      </c>
      <c r="O428" s="43" t="s">
        <v>665</v>
      </c>
      <c r="P428" s="43">
        <f t="shared" si="89"/>
        <v>15.307473131680331</v>
      </c>
      <c r="Q428" s="43">
        <f t="shared" si="90"/>
        <v>2.2742266000000001E-2</v>
      </c>
      <c r="R428" s="43">
        <f t="shared" si="91"/>
        <v>9.6438719999999995E-3</v>
      </c>
      <c r="S428" s="43">
        <f t="shared" si="92"/>
        <v>0.93980376399999999</v>
      </c>
      <c r="T428" s="43">
        <f t="shared" si="93"/>
        <v>4.692784144</v>
      </c>
      <c r="U428" s="43">
        <f t="shared" si="94"/>
        <v>11.8764068</v>
      </c>
      <c r="V428" s="43">
        <f t="shared" si="95"/>
        <v>6.9575210000000004E-3</v>
      </c>
      <c r="W428" s="230">
        <f t="shared" si="96"/>
        <v>3.0734369514569301E-2</v>
      </c>
      <c r="X428" s="43">
        <f t="shared" si="97"/>
        <v>0.94090894599999997</v>
      </c>
      <c r="Y428" s="43">
        <v>95.281511499999993</v>
      </c>
      <c r="Z428" s="43">
        <f t="shared" si="86"/>
        <v>0</v>
      </c>
      <c r="AA428" s="43">
        <f t="shared" si="87"/>
        <v>478718</v>
      </c>
      <c r="AB428" s="43">
        <f t="shared" si="88"/>
        <v>186107</v>
      </c>
      <c r="AC428" s="43">
        <f t="shared" si="98"/>
        <v>7.5967312731255288E-2</v>
      </c>
      <c r="AD428" s="43">
        <f t="shared" si="99"/>
        <v>0.80847972010000058</v>
      </c>
      <c r="AF428" s="43">
        <v>15.307473131680331</v>
      </c>
      <c r="AG428" s="43">
        <v>2.2742266000000001E-2</v>
      </c>
      <c r="AH428" s="43">
        <v>9.6438719999999995E-3</v>
      </c>
      <c r="AI428" s="43">
        <v>0.93980376399999999</v>
      </c>
      <c r="AJ428" s="43">
        <v>4.692784144</v>
      </c>
      <c r="AK428" s="43">
        <v>11.8764068</v>
      </c>
      <c r="AL428" s="43">
        <v>6.9575210000000004E-3</v>
      </c>
      <c r="AM428" s="230">
        <v>3.0734369514569301E-2</v>
      </c>
      <c r="AN428" s="43">
        <v>0.94090894599999997</v>
      </c>
    </row>
    <row r="429" spans="1:40" x14ac:dyDescent="0.25">
      <c r="A429" s="134">
        <v>419</v>
      </c>
      <c r="B429" s="134" t="s">
        <v>209</v>
      </c>
      <c r="C429" s="134" t="s">
        <v>210</v>
      </c>
      <c r="D429" s="134" t="s">
        <v>211</v>
      </c>
      <c r="E429" s="134">
        <v>1256</v>
      </c>
      <c r="F429" s="134">
        <v>3050</v>
      </c>
      <c r="G429" s="134">
        <v>913</v>
      </c>
      <c r="H429" s="134">
        <v>578</v>
      </c>
      <c r="I429" s="200">
        <v>1.39700186815</v>
      </c>
      <c r="J429" s="134">
        <v>3628</v>
      </c>
      <c r="K429" s="134">
        <v>2596.99008478</v>
      </c>
      <c r="L429" s="42">
        <v>0.92713981323500005</v>
      </c>
      <c r="M429" s="42">
        <v>0.315158124318</v>
      </c>
      <c r="N429" s="134">
        <v>0</v>
      </c>
      <c r="O429" s="43" t="s">
        <v>665</v>
      </c>
      <c r="P429" s="43">
        <f t="shared" si="89"/>
        <v>15.817330979516528</v>
      </c>
      <c r="Q429" s="43">
        <f t="shared" si="90"/>
        <v>3.5895011999999997E-2</v>
      </c>
      <c r="R429" s="43">
        <f t="shared" si="91"/>
        <v>1.0663268E-2</v>
      </c>
      <c r="S429" s="43">
        <f t="shared" si="92"/>
        <v>0.92713981300000003</v>
      </c>
      <c r="T429" s="43">
        <f t="shared" si="93"/>
        <v>5.0487365779999998</v>
      </c>
      <c r="U429" s="43">
        <f t="shared" si="94"/>
        <v>12.66424883</v>
      </c>
      <c r="V429" s="43">
        <f t="shared" si="95"/>
        <v>3.6518649999999998E-3</v>
      </c>
      <c r="W429" s="230">
        <f t="shared" si="96"/>
        <v>7.9362427320724446E-2</v>
      </c>
      <c r="X429" s="43">
        <f t="shared" si="97"/>
        <v>0.91118568700000002</v>
      </c>
      <c r="Y429" s="43">
        <v>53.438631129999997</v>
      </c>
      <c r="Z429" s="43">
        <f t="shared" si="86"/>
        <v>0</v>
      </c>
      <c r="AA429" s="43">
        <f t="shared" si="87"/>
        <v>478718</v>
      </c>
      <c r="AB429" s="43">
        <f t="shared" si="88"/>
        <v>186107</v>
      </c>
      <c r="AC429" s="43">
        <f t="shared" si="98"/>
        <v>7.5967312731255288E-2</v>
      </c>
      <c r="AD429" s="43">
        <f t="shared" si="99"/>
        <v>0.80847972010000058</v>
      </c>
      <c r="AF429" s="43">
        <v>15.817330979516528</v>
      </c>
      <c r="AG429" s="43">
        <v>3.5895011999999997E-2</v>
      </c>
      <c r="AH429" s="43">
        <v>1.0663268E-2</v>
      </c>
      <c r="AI429" s="43">
        <v>0.92713981300000003</v>
      </c>
      <c r="AJ429" s="43">
        <v>5.0487365779999998</v>
      </c>
      <c r="AK429" s="43">
        <v>12.66424883</v>
      </c>
      <c r="AL429" s="43">
        <v>3.6518649999999998E-3</v>
      </c>
      <c r="AM429" s="230">
        <v>7.9362427320724446E-2</v>
      </c>
      <c r="AN429" s="43">
        <v>0.91118568700000002</v>
      </c>
    </row>
    <row r="430" spans="1:40" x14ac:dyDescent="0.25">
      <c r="A430" s="134">
        <v>420</v>
      </c>
      <c r="B430" s="134" t="s">
        <v>209</v>
      </c>
      <c r="C430" s="134" t="s">
        <v>210</v>
      </c>
      <c r="D430" s="134" t="s">
        <v>211</v>
      </c>
      <c r="E430" s="134">
        <v>1</v>
      </c>
      <c r="F430" s="134">
        <v>2</v>
      </c>
      <c r="G430" s="134">
        <v>460</v>
      </c>
      <c r="H430" s="134">
        <v>185</v>
      </c>
      <c r="I430" s="200">
        <v>0.72166136123900004</v>
      </c>
      <c r="J430" s="134">
        <v>187</v>
      </c>
      <c r="K430" s="134">
        <v>259.12430683399998</v>
      </c>
      <c r="L430" s="42">
        <v>0.94688288288300004</v>
      </c>
      <c r="M430" s="42">
        <v>0.99462365591400004</v>
      </c>
      <c r="N430" s="134">
        <v>0</v>
      </c>
      <c r="O430" s="43" t="s">
        <v>665</v>
      </c>
      <c r="P430" s="43">
        <f t="shared" si="89"/>
        <v>16.980841304522222</v>
      </c>
      <c r="Q430" s="43">
        <f t="shared" si="90"/>
        <v>6.1981980000000002E-3</v>
      </c>
      <c r="R430" s="43">
        <f t="shared" si="91"/>
        <v>6.6666670000000003E-3</v>
      </c>
      <c r="S430" s="43">
        <f t="shared" si="92"/>
        <v>0.94688288300000001</v>
      </c>
      <c r="T430" s="43">
        <f t="shared" si="93"/>
        <v>6.2098445599999996</v>
      </c>
      <c r="U430" s="43">
        <f t="shared" si="94"/>
        <v>12.04380946</v>
      </c>
      <c r="V430" s="43">
        <f t="shared" si="95"/>
        <v>4.217274E-3</v>
      </c>
      <c r="W430" s="230">
        <f t="shared" si="96"/>
        <v>1.6025641025641025E-3</v>
      </c>
      <c r="X430" s="43">
        <f t="shared" si="97"/>
        <v>0.93724696399999996</v>
      </c>
      <c r="Y430" s="43">
        <v>17.801026799999999</v>
      </c>
      <c r="Z430" s="43">
        <f t="shared" si="86"/>
        <v>0</v>
      </c>
      <c r="AA430" s="43">
        <f t="shared" si="87"/>
        <v>478718</v>
      </c>
      <c r="AB430" s="43">
        <f t="shared" si="88"/>
        <v>186107</v>
      </c>
      <c r="AC430" s="43">
        <f t="shared" si="98"/>
        <v>7.5967312731255288E-2</v>
      </c>
      <c r="AD430" s="43">
        <f t="shared" si="99"/>
        <v>0.80847972010000058</v>
      </c>
      <c r="AF430" s="43">
        <v>16.980841304522222</v>
      </c>
      <c r="AG430" s="43">
        <v>6.1981980000000002E-3</v>
      </c>
      <c r="AH430" s="43">
        <v>6.6666670000000003E-3</v>
      </c>
      <c r="AI430" s="43">
        <v>0.94688288300000001</v>
      </c>
      <c r="AJ430" s="43">
        <v>6.2098445599999996</v>
      </c>
      <c r="AK430" s="43">
        <v>12.04380946</v>
      </c>
      <c r="AL430" s="43">
        <v>4.217274E-3</v>
      </c>
      <c r="AM430" s="230">
        <v>1.6025641025641025E-3</v>
      </c>
      <c r="AN430" s="43">
        <v>0.93724696399999996</v>
      </c>
    </row>
    <row r="431" spans="1:40" x14ac:dyDescent="0.25">
      <c r="A431" s="134">
        <v>421</v>
      </c>
      <c r="B431" s="134" t="s">
        <v>209</v>
      </c>
      <c r="C431" s="134" t="s">
        <v>210</v>
      </c>
      <c r="D431" s="134" t="s">
        <v>211</v>
      </c>
      <c r="E431" s="134">
        <v>728</v>
      </c>
      <c r="F431" s="134">
        <v>1809</v>
      </c>
      <c r="G431" s="134">
        <v>537</v>
      </c>
      <c r="H431" s="134">
        <v>648</v>
      </c>
      <c r="I431" s="200">
        <v>0.842835856602</v>
      </c>
      <c r="J431" s="134">
        <v>2457</v>
      </c>
      <c r="K431" s="134">
        <v>2915.15836773</v>
      </c>
      <c r="L431" s="42">
        <v>0.92747178243999995</v>
      </c>
      <c r="M431" s="42">
        <v>0.47093023255799998</v>
      </c>
      <c r="N431" s="134">
        <v>0</v>
      </c>
      <c r="O431" s="43" t="s">
        <v>665</v>
      </c>
      <c r="P431" s="43">
        <f t="shared" si="89"/>
        <v>15.949420728603416</v>
      </c>
      <c r="Q431" s="43">
        <f t="shared" si="90"/>
        <v>3.3738411000000003E-2</v>
      </c>
      <c r="R431" s="43">
        <f t="shared" si="91"/>
        <v>1.1186665E-2</v>
      </c>
      <c r="S431" s="43">
        <f t="shared" si="92"/>
        <v>0.92747178200000002</v>
      </c>
      <c r="T431" s="43">
        <f t="shared" si="93"/>
        <v>4.809181637</v>
      </c>
      <c r="U431" s="43">
        <f t="shared" si="94"/>
        <v>12.718754799999999</v>
      </c>
      <c r="V431" s="43">
        <f t="shared" si="95"/>
        <v>4.8661080000000001E-3</v>
      </c>
      <c r="W431" s="230">
        <f t="shared" si="96"/>
        <v>5.6115076088238763E-2</v>
      </c>
      <c r="X431" s="43">
        <f t="shared" si="97"/>
        <v>0.92823964800000003</v>
      </c>
      <c r="Y431" s="43">
        <v>38.385563429999998</v>
      </c>
      <c r="Z431" s="43">
        <f t="shared" si="86"/>
        <v>0</v>
      </c>
      <c r="AA431" s="43">
        <f t="shared" si="87"/>
        <v>478718</v>
      </c>
      <c r="AB431" s="43">
        <f t="shared" si="88"/>
        <v>186107</v>
      </c>
      <c r="AC431" s="43">
        <f t="shared" si="98"/>
        <v>7.5967312731255288E-2</v>
      </c>
      <c r="AD431" s="43">
        <f t="shared" si="99"/>
        <v>0.80847972010000058</v>
      </c>
      <c r="AF431" s="43">
        <v>15.949420728603416</v>
      </c>
      <c r="AG431" s="43">
        <v>3.3738411000000003E-2</v>
      </c>
      <c r="AH431" s="43">
        <v>1.1186665E-2</v>
      </c>
      <c r="AI431" s="43">
        <v>0.92747178200000002</v>
      </c>
      <c r="AJ431" s="43">
        <v>4.809181637</v>
      </c>
      <c r="AK431" s="43">
        <v>12.718754799999999</v>
      </c>
      <c r="AL431" s="43">
        <v>4.8661080000000001E-3</v>
      </c>
      <c r="AM431" s="230">
        <v>5.6115076088238763E-2</v>
      </c>
      <c r="AN431" s="43">
        <v>0.92823964800000003</v>
      </c>
    </row>
    <row r="432" spans="1:40" x14ac:dyDescent="0.25">
      <c r="A432" s="134">
        <v>422</v>
      </c>
      <c r="B432" s="134" t="s">
        <v>209</v>
      </c>
      <c r="C432" s="134" t="s">
        <v>210</v>
      </c>
      <c r="D432" s="134" t="s">
        <v>211</v>
      </c>
      <c r="E432" s="134">
        <v>409</v>
      </c>
      <c r="F432" s="134">
        <v>1014</v>
      </c>
      <c r="G432" s="134">
        <v>412</v>
      </c>
      <c r="H432" s="134">
        <v>16</v>
      </c>
      <c r="I432" s="200">
        <v>0.64739405684999995</v>
      </c>
      <c r="J432" s="134">
        <v>1030</v>
      </c>
      <c r="K432" s="134">
        <v>1590.9939071900001</v>
      </c>
      <c r="L432" s="42">
        <v>0.91820803731300005</v>
      </c>
      <c r="M432" s="42">
        <v>3.7647058823500001E-2</v>
      </c>
      <c r="N432" s="134">
        <v>0</v>
      </c>
      <c r="O432" s="43" t="s">
        <v>665</v>
      </c>
      <c r="P432" s="43">
        <f t="shared" si="89"/>
        <v>14.625001145160549</v>
      </c>
      <c r="Q432" s="43">
        <f t="shared" si="90"/>
        <v>3.3897256000000001E-2</v>
      </c>
      <c r="R432" s="43">
        <f t="shared" si="91"/>
        <v>1.1980126000000001E-2</v>
      </c>
      <c r="S432" s="43">
        <f t="shared" si="92"/>
        <v>0.91820803699999998</v>
      </c>
      <c r="T432" s="43">
        <f t="shared" si="93"/>
        <v>4.5583996559999997</v>
      </c>
      <c r="U432" s="43">
        <f t="shared" si="94"/>
        <v>11.83455635</v>
      </c>
      <c r="V432" s="43">
        <f t="shared" si="95"/>
        <v>3.2068199999999998E-4</v>
      </c>
      <c r="W432" s="230">
        <f t="shared" si="96"/>
        <v>8.216322697391025E-2</v>
      </c>
      <c r="X432" s="43">
        <f t="shared" si="97"/>
        <v>0.89220514500000003</v>
      </c>
      <c r="Y432" s="43">
        <v>14.683861609999999</v>
      </c>
      <c r="Z432" s="43">
        <f t="shared" si="86"/>
        <v>0</v>
      </c>
      <c r="AA432" s="43">
        <f t="shared" si="87"/>
        <v>478718</v>
      </c>
      <c r="AB432" s="43">
        <f t="shared" si="88"/>
        <v>186107</v>
      </c>
      <c r="AC432" s="43">
        <f t="shared" si="98"/>
        <v>7.5967312731255288E-2</v>
      </c>
      <c r="AD432" s="43">
        <f t="shared" si="99"/>
        <v>0.80847972010000058</v>
      </c>
      <c r="AF432" s="43">
        <v>14.625001145160549</v>
      </c>
      <c r="AG432" s="43">
        <v>3.3897256000000001E-2</v>
      </c>
      <c r="AH432" s="43">
        <v>1.1980126000000001E-2</v>
      </c>
      <c r="AI432" s="43">
        <v>0.91820803699999998</v>
      </c>
      <c r="AJ432" s="43">
        <v>4.5583996559999997</v>
      </c>
      <c r="AK432" s="43">
        <v>11.83455635</v>
      </c>
      <c r="AL432" s="43">
        <v>3.2068199999999998E-4</v>
      </c>
      <c r="AM432" s="230">
        <v>8.216322697391025E-2</v>
      </c>
      <c r="AN432" s="43">
        <v>0.89220514500000003</v>
      </c>
    </row>
    <row r="433" spans="1:40" x14ac:dyDescent="0.25">
      <c r="A433" s="134">
        <v>423</v>
      </c>
      <c r="B433" s="134" t="s">
        <v>209</v>
      </c>
      <c r="C433" s="134" t="s">
        <v>210</v>
      </c>
      <c r="D433" s="134" t="s">
        <v>211</v>
      </c>
      <c r="E433" s="134">
        <v>1</v>
      </c>
      <c r="F433" s="134">
        <v>2</v>
      </c>
      <c r="G433" s="134">
        <v>293</v>
      </c>
      <c r="H433" s="134">
        <v>3</v>
      </c>
      <c r="I433" s="200">
        <v>0.45994773672700001</v>
      </c>
      <c r="J433" s="134">
        <v>5</v>
      </c>
      <c r="K433" s="134">
        <v>10.8708003122</v>
      </c>
      <c r="L433" s="42">
        <v>0.92932862190800003</v>
      </c>
      <c r="M433" s="42">
        <v>0.75</v>
      </c>
      <c r="N433" s="134">
        <v>0</v>
      </c>
      <c r="O433" s="43" t="s">
        <v>665</v>
      </c>
      <c r="P433" s="43">
        <f t="shared" si="89"/>
        <v>18.19805243445693</v>
      </c>
      <c r="Q433" s="43">
        <f t="shared" si="90"/>
        <v>9.6554169653521107E-2</v>
      </c>
      <c r="R433" s="43">
        <f t="shared" si="91"/>
        <v>1.766784E-3</v>
      </c>
      <c r="S433" s="43">
        <f t="shared" si="92"/>
        <v>0.92932862199999999</v>
      </c>
      <c r="T433" s="43">
        <f t="shared" si="93"/>
        <v>20.5</v>
      </c>
      <c r="U433" s="43">
        <f t="shared" si="94"/>
        <v>7.5603632479999998</v>
      </c>
      <c r="V433" s="43">
        <f t="shared" si="95"/>
        <v>1.4840939104972377E-2</v>
      </c>
      <c r="W433" s="230">
        <f t="shared" si="96"/>
        <v>0.17543463575789031</v>
      </c>
      <c r="X433" s="43">
        <f t="shared" si="97"/>
        <v>0.64615384600000003</v>
      </c>
      <c r="Y433" s="43">
        <v>13.493414489999999</v>
      </c>
      <c r="Z433" s="43">
        <f t="shared" si="86"/>
        <v>0</v>
      </c>
      <c r="AA433" s="43">
        <f t="shared" si="87"/>
        <v>478718</v>
      </c>
      <c r="AB433" s="43">
        <f t="shared" si="88"/>
        <v>186107</v>
      </c>
      <c r="AC433" s="43">
        <f t="shared" si="98"/>
        <v>7.5967312731255288E-2</v>
      </c>
      <c r="AD433" s="43">
        <f t="shared" si="99"/>
        <v>0.80847972010000058</v>
      </c>
      <c r="AF433" s="43">
        <v>18.19805243445693</v>
      </c>
      <c r="AG433" s="43">
        <v>0</v>
      </c>
      <c r="AH433" s="43">
        <v>1.766784E-3</v>
      </c>
      <c r="AI433" s="43">
        <v>0.92932862199999999</v>
      </c>
      <c r="AJ433" s="43">
        <v>20.5</v>
      </c>
      <c r="AK433" s="43">
        <v>7.5603632479999998</v>
      </c>
      <c r="AL433" s="43">
        <v>0</v>
      </c>
      <c r="AM433" s="230">
        <v>0</v>
      </c>
      <c r="AN433" s="43">
        <v>0.64615384600000003</v>
      </c>
    </row>
    <row r="434" spans="1:40" x14ac:dyDescent="0.25">
      <c r="A434" s="134">
        <v>424</v>
      </c>
      <c r="B434" s="134" t="s">
        <v>209</v>
      </c>
      <c r="C434" s="134" t="s">
        <v>210</v>
      </c>
      <c r="D434" s="134" t="s">
        <v>211</v>
      </c>
      <c r="E434" s="134">
        <v>241</v>
      </c>
      <c r="F434" s="134">
        <v>649</v>
      </c>
      <c r="G434" s="134">
        <v>47</v>
      </c>
      <c r="H434" s="134">
        <v>476</v>
      </c>
      <c r="I434" s="200">
        <v>7.07356446729E-2</v>
      </c>
      <c r="J434" s="134">
        <v>1125</v>
      </c>
      <c r="K434" s="134">
        <v>15904.287084699999</v>
      </c>
      <c r="L434" s="42">
        <v>0.85780760838600001</v>
      </c>
      <c r="M434" s="42">
        <v>0.66387726638800004</v>
      </c>
      <c r="N434" s="134">
        <v>0</v>
      </c>
      <c r="O434" s="43" t="s">
        <v>664</v>
      </c>
      <c r="P434" s="43">
        <f t="shared" si="89"/>
        <v>12.695186489045618</v>
      </c>
      <c r="Q434" s="43">
        <f t="shared" si="90"/>
        <v>4.3036713999999997E-2</v>
      </c>
      <c r="R434" s="43">
        <f t="shared" si="91"/>
        <v>1.3755811E-2</v>
      </c>
      <c r="S434" s="43">
        <f t="shared" si="92"/>
        <v>0.857807608</v>
      </c>
      <c r="T434" s="43">
        <f t="shared" si="93"/>
        <v>3.4895008609999998</v>
      </c>
      <c r="U434" s="43">
        <f t="shared" si="94"/>
        <v>8.688664825</v>
      </c>
      <c r="V434" s="43">
        <f t="shared" si="95"/>
        <v>9.0946440000000007E-3</v>
      </c>
      <c r="W434" s="230">
        <f t="shared" si="96"/>
        <v>7.5128856353178466E-2</v>
      </c>
      <c r="X434" s="43">
        <f t="shared" si="97"/>
        <v>0.86245984899999995</v>
      </c>
      <c r="Y434" s="43">
        <v>155.65833140000001</v>
      </c>
      <c r="Z434" s="43">
        <f t="shared" si="86"/>
        <v>0</v>
      </c>
      <c r="AA434" s="43">
        <f t="shared" si="87"/>
        <v>478718</v>
      </c>
      <c r="AB434" s="43">
        <f t="shared" si="88"/>
        <v>186107</v>
      </c>
      <c r="AC434" s="43">
        <f t="shared" si="98"/>
        <v>7.5967312731255288E-2</v>
      </c>
      <c r="AD434" s="43">
        <f t="shared" si="99"/>
        <v>0.80847972010000058</v>
      </c>
      <c r="AF434" s="43">
        <v>12.695186489045618</v>
      </c>
      <c r="AG434" s="43">
        <v>4.3036713999999997E-2</v>
      </c>
      <c r="AH434" s="43">
        <v>1.3755811E-2</v>
      </c>
      <c r="AI434" s="43">
        <v>0.857807608</v>
      </c>
      <c r="AJ434" s="43">
        <v>3.4895008609999998</v>
      </c>
      <c r="AK434" s="43">
        <v>8.688664825</v>
      </c>
      <c r="AL434" s="43">
        <v>9.0946440000000007E-3</v>
      </c>
      <c r="AM434" s="230">
        <v>7.5128856353178466E-2</v>
      </c>
      <c r="AN434" s="43">
        <v>0.86245984899999995</v>
      </c>
    </row>
    <row r="435" spans="1:40" x14ac:dyDescent="0.25">
      <c r="A435" s="134">
        <v>425</v>
      </c>
      <c r="B435" s="134" t="s">
        <v>209</v>
      </c>
      <c r="C435" s="134" t="s">
        <v>210</v>
      </c>
      <c r="D435" s="134" t="s">
        <v>211</v>
      </c>
      <c r="E435" s="134">
        <v>421</v>
      </c>
      <c r="F435" s="134">
        <v>1133</v>
      </c>
      <c r="G435" s="134">
        <v>95</v>
      </c>
      <c r="H435" s="134">
        <v>169</v>
      </c>
      <c r="I435" s="200">
        <v>0.143008663432</v>
      </c>
      <c r="J435" s="134">
        <v>1302</v>
      </c>
      <c r="K435" s="134">
        <v>9104.3435324700004</v>
      </c>
      <c r="L435" s="42">
        <v>0.84683882061000004</v>
      </c>
      <c r="M435" s="42">
        <v>0.28644067796599998</v>
      </c>
      <c r="N435" s="134">
        <v>0</v>
      </c>
      <c r="O435" s="43" t="s">
        <v>664</v>
      </c>
      <c r="P435" s="43">
        <f t="shared" si="89"/>
        <v>12.663152748859767</v>
      </c>
      <c r="Q435" s="43">
        <f t="shared" si="90"/>
        <v>5.3619554E-2</v>
      </c>
      <c r="R435" s="43">
        <f t="shared" si="91"/>
        <v>1.5043053000000001E-2</v>
      </c>
      <c r="S435" s="43">
        <f t="shared" si="92"/>
        <v>0.84683882099999996</v>
      </c>
      <c r="T435" s="43">
        <f t="shared" si="93"/>
        <v>3.4214200830000001</v>
      </c>
      <c r="U435" s="43">
        <f t="shared" si="94"/>
        <v>9.2618654730000003</v>
      </c>
      <c r="V435" s="43">
        <f t="shared" si="95"/>
        <v>6.4896270000000004E-3</v>
      </c>
      <c r="W435" s="230">
        <f t="shared" si="96"/>
        <v>8.9759336099585058E-2</v>
      </c>
      <c r="X435" s="43">
        <f t="shared" si="97"/>
        <v>0.86170954399999999</v>
      </c>
      <c r="Y435" s="43">
        <v>155.309708</v>
      </c>
      <c r="Z435" s="43">
        <f t="shared" si="86"/>
        <v>0</v>
      </c>
      <c r="AA435" s="43">
        <f t="shared" si="87"/>
        <v>478718</v>
      </c>
      <c r="AB435" s="43">
        <f t="shared" si="88"/>
        <v>186107</v>
      </c>
      <c r="AC435" s="43">
        <f t="shared" si="98"/>
        <v>7.5967312731255288E-2</v>
      </c>
      <c r="AD435" s="43">
        <f t="shared" si="99"/>
        <v>0.80847972010000058</v>
      </c>
      <c r="AF435" s="43">
        <v>12.663152748859767</v>
      </c>
      <c r="AG435" s="43">
        <v>5.3619554E-2</v>
      </c>
      <c r="AH435" s="43">
        <v>1.5043053000000001E-2</v>
      </c>
      <c r="AI435" s="43">
        <v>0.84683882099999996</v>
      </c>
      <c r="AJ435" s="43">
        <v>3.4214200830000001</v>
      </c>
      <c r="AK435" s="43">
        <v>9.2618654730000003</v>
      </c>
      <c r="AL435" s="43">
        <v>6.4896270000000004E-3</v>
      </c>
      <c r="AM435" s="230">
        <v>8.9759336099585058E-2</v>
      </c>
      <c r="AN435" s="43">
        <v>0.86170954399999999</v>
      </c>
    </row>
    <row r="436" spans="1:40" x14ac:dyDescent="0.25">
      <c r="A436" s="134">
        <v>426</v>
      </c>
      <c r="B436" s="134" t="s">
        <v>209</v>
      </c>
      <c r="C436" s="134" t="s">
        <v>210</v>
      </c>
      <c r="D436" s="134" t="s">
        <v>211</v>
      </c>
      <c r="E436" s="134">
        <v>363</v>
      </c>
      <c r="F436" s="134">
        <v>976</v>
      </c>
      <c r="G436" s="134">
        <v>53</v>
      </c>
      <c r="H436" s="134">
        <v>10</v>
      </c>
      <c r="I436" s="200">
        <v>7.99717058727E-2</v>
      </c>
      <c r="J436" s="134">
        <v>986</v>
      </c>
      <c r="K436" s="134">
        <v>12329.3606062</v>
      </c>
      <c r="L436" s="42">
        <v>0.84467919690100002</v>
      </c>
      <c r="M436" s="42">
        <v>2.6809651474499999E-2</v>
      </c>
      <c r="N436" s="134">
        <v>0</v>
      </c>
      <c r="O436" s="43" t="s">
        <v>664</v>
      </c>
      <c r="P436" s="43">
        <f t="shared" si="89"/>
        <v>12.940731283997968</v>
      </c>
      <c r="Q436" s="43">
        <f t="shared" si="90"/>
        <v>6.017786E-2</v>
      </c>
      <c r="R436" s="43">
        <f t="shared" si="91"/>
        <v>1.5985597000000001E-2</v>
      </c>
      <c r="S436" s="43">
        <f t="shared" si="92"/>
        <v>0.84467919700000005</v>
      </c>
      <c r="T436" s="43">
        <f t="shared" si="93"/>
        <v>3.521553564</v>
      </c>
      <c r="U436" s="43">
        <f t="shared" si="94"/>
        <v>9.4833584179999999</v>
      </c>
      <c r="V436" s="43">
        <f t="shared" si="95"/>
        <v>1.6139539999999999E-3</v>
      </c>
      <c r="W436" s="230">
        <f t="shared" si="96"/>
        <v>0.11569499108078261</v>
      </c>
      <c r="X436" s="43">
        <f t="shared" si="97"/>
        <v>0.83985049700000003</v>
      </c>
      <c r="Y436" s="43">
        <v>155.77856209999999</v>
      </c>
      <c r="Z436" s="43">
        <f t="shared" si="86"/>
        <v>0</v>
      </c>
      <c r="AA436" s="43">
        <f t="shared" si="87"/>
        <v>478718</v>
      </c>
      <c r="AB436" s="43">
        <f t="shared" si="88"/>
        <v>186107</v>
      </c>
      <c r="AC436" s="43">
        <f t="shared" si="98"/>
        <v>7.5967312731255288E-2</v>
      </c>
      <c r="AD436" s="43">
        <f t="shared" si="99"/>
        <v>0.80847972010000058</v>
      </c>
      <c r="AF436" s="43">
        <v>12.940731283997968</v>
      </c>
      <c r="AG436" s="43">
        <v>6.017786E-2</v>
      </c>
      <c r="AH436" s="43">
        <v>1.5985597000000001E-2</v>
      </c>
      <c r="AI436" s="43">
        <v>0.84467919700000005</v>
      </c>
      <c r="AJ436" s="43">
        <v>3.521553564</v>
      </c>
      <c r="AK436" s="43">
        <v>9.4833584179999999</v>
      </c>
      <c r="AL436" s="43">
        <v>1.6139539999999999E-3</v>
      </c>
      <c r="AM436" s="230">
        <v>0.11569499108078261</v>
      </c>
      <c r="AN436" s="43">
        <v>0.83985049700000003</v>
      </c>
    </row>
    <row r="437" spans="1:40" x14ac:dyDescent="0.25">
      <c r="A437" s="134">
        <v>427</v>
      </c>
      <c r="B437" s="134" t="s">
        <v>209</v>
      </c>
      <c r="C437" s="134" t="s">
        <v>210</v>
      </c>
      <c r="D437" s="134" t="s">
        <v>211</v>
      </c>
      <c r="E437" s="134">
        <v>341</v>
      </c>
      <c r="F437" s="134">
        <v>1023</v>
      </c>
      <c r="G437" s="134">
        <v>30</v>
      </c>
      <c r="H437" s="134">
        <v>0</v>
      </c>
      <c r="I437" s="200">
        <v>4.82469766919E-2</v>
      </c>
      <c r="J437" s="134">
        <v>1023</v>
      </c>
      <c r="K437" s="134">
        <v>21203.401127699999</v>
      </c>
      <c r="L437" s="42">
        <v>0.80742624185</v>
      </c>
      <c r="M437" s="42">
        <v>0</v>
      </c>
      <c r="N437" s="134">
        <v>0</v>
      </c>
      <c r="O437" s="43" t="s">
        <v>664</v>
      </c>
      <c r="P437" s="43">
        <f t="shared" si="89"/>
        <v>12.562010628895656</v>
      </c>
      <c r="Q437" s="43">
        <f t="shared" si="90"/>
        <v>7.1847611000000006E-2</v>
      </c>
      <c r="R437" s="43">
        <f t="shared" si="91"/>
        <v>1.8643731E-2</v>
      </c>
      <c r="S437" s="43">
        <f t="shared" si="92"/>
        <v>0.80742624200000002</v>
      </c>
      <c r="T437" s="43">
        <f t="shared" si="93"/>
        <v>3.2622919819999998</v>
      </c>
      <c r="U437" s="43">
        <f t="shared" si="94"/>
        <v>8.6137676340000002</v>
      </c>
      <c r="V437" s="43">
        <f t="shared" si="95"/>
        <v>4.6172380000000001E-3</v>
      </c>
      <c r="W437" s="230">
        <f t="shared" si="96"/>
        <v>0.1480527301927195</v>
      </c>
      <c r="X437" s="43">
        <f t="shared" si="97"/>
        <v>0.78774089899999999</v>
      </c>
      <c r="Y437" s="43">
        <v>156.13889130000001</v>
      </c>
      <c r="Z437" s="43">
        <f t="shared" si="86"/>
        <v>0</v>
      </c>
      <c r="AA437" s="43">
        <f t="shared" si="87"/>
        <v>478718</v>
      </c>
      <c r="AB437" s="43">
        <f t="shared" si="88"/>
        <v>186107</v>
      </c>
      <c r="AC437" s="43">
        <f t="shared" si="98"/>
        <v>7.5967312731255288E-2</v>
      </c>
      <c r="AD437" s="43">
        <f t="shared" si="99"/>
        <v>0.80847972010000058</v>
      </c>
      <c r="AF437" s="43">
        <v>12.562010628895656</v>
      </c>
      <c r="AG437" s="43">
        <v>7.1847611000000006E-2</v>
      </c>
      <c r="AH437" s="43">
        <v>1.8643731E-2</v>
      </c>
      <c r="AI437" s="43">
        <v>0.80742624200000002</v>
      </c>
      <c r="AJ437" s="43">
        <v>3.2622919819999998</v>
      </c>
      <c r="AK437" s="43">
        <v>8.6137676340000002</v>
      </c>
      <c r="AL437" s="43">
        <v>4.6172380000000001E-3</v>
      </c>
      <c r="AM437" s="230">
        <v>0.1480527301927195</v>
      </c>
      <c r="AN437" s="43">
        <v>0.78774089899999999</v>
      </c>
    </row>
    <row r="438" spans="1:40" x14ac:dyDescent="0.25">
      <c r="A438" s="134">
        <v>428</v>
      </c>
      <c r="B438" s="134" t="s">
        <v>209</v>
      </c>
      <c r="C438" s="134" t="s">
        <v>210</v>
      </c>
      <c r="D438" s="134" t="s">
        <v>211</v>
      </c>
      <c r="E438" s="134">
        <v>326</v>
      </c>
      <c r="F438" s="134">
        <v>978</v>
      </c>
      <c r="G438" s="134">
        <v>50</v>
      </c>
      <c r="H438" s="134">
        <v>274</v>
      </c>
      <c r="I438" s="200">
        <v>7.9872592021399999E-2</v>
      </c>
      <c r="J438" s="134">
        <v>1252</v>
      </c>
      <c r="K438" s="134">
        <v>15674.9639434</v>
      </c>
      <c r="L438" s="42">
        <v>0.82389180343599999</v>
      </c>
      <c r="M438" s="42">
        <v>0.45666666666700001</v>
      </c>
      <c r="N438" s="134">
        <v>0</v>
      </c>
      <c r="O438" s="43" t="s">
        <v>664</v>
      </c>
      <c r="P438" s="43">
        <f t="shared" si="89"/>
        <v>12.147502962360612</v>
      </c>
      <c r="Q438" s="43">
        <f t="shared" si="90"/>
        <v>5.5847010000000002E-2</v>
      </c>
      <c r="R438" s="43">
        <f t="shared" si="91"/>
        <v>1.7540764E-2</v>
      </c>
      <c r="S438" s="43">
        <f t="shared" si="92"/>
        <v>0.82389180299999998</v>
      </c>
      <c r="T438" s="43">
        <f t="shared" si="93"/>
        <v>3.24836203</v>
      </c>
      <c r="U438" s="43">
        <f t="shared" si="94"/>
        <v>8.4603036130000007</v>
      </c>
      <c r="V438" s="43">
        <f t="shared" si="95"/>
        <v>1.0466834E-2</v>
      </c>
      <c r="W438" s="230">
        <f t="shared" si="96"/>
        <v>9.5528585800209759E-2</v>
      </c>
      <c r="X438" s="43">
        <f t="shared" si="97"/>
        <v>0.82274877499999999</v>
      </c>
      <c r="Y438" s="43">
        <v>157.68505089999999</v>
      </c>
      <c r="Z438" s="43">
        <f t="shared" si="86"/>
        <v>0</v>
      </c>
      <c r="AA438" s="43">
        <f t="shared" si="87"/>
        <v>478718</v>
      </c>
      <c r="AB438" s="43">
        <f t="shared" si="88"/>
        <v>186107</v>
      </c>
      <c r="AC438" s="43">
        <f t="shared" si="98"/>
        <v>7.5967312731255288E-2</v>
      </c>
      <c r="AD438" s="43">
        <f t="shared" si="99"/>
        <v>0.80847972010000058</v>
      </c>
      <c r="AF438" s="43">
        <v>12.147502962360612</v>
      </c>
      <c r="AG438" s="43">
        <v>5.5847010000000002E-2</v>
      </c>
      <c r="AH438" s="43">
        <v>1.7540764E-2</v>
      </c>
      <c r="AI438" s="43">
        <v>0.82389180299999998</v>
      </c>
      <c r="AJ438" s="43">
        <v>3.24836203</v>
      </c>
      <c r="AK438" s="43">
        <v>8.4603036130000007</v>
      </c>
      <c r="AL438" s="43">
        <v>1.0466834E-2</v>
      </c>
      <c r="AM438" s="230">
        <v>9.5528585800209759E-2</v>
      </c>
      <c r="AN438" s="43">
        <v>0.82274877499999999</v>
      </c>
    </row>
    <row r="439" spans="1:40" x14ac:dyDescent="0.25">
      <c r="A439" s="134">
        <v>429</v>
      </c>
      <c r="B439" s="134" t="s">
        <v>209</v>
      </c>
      <c r="C439" s="134" t="s">
        <v>210</v>
      </c>
      <c r="D439" s="134" t="s">
        <v>211</v>
      </c>
      <c r="E439" s="134">
        <v>474</v>
      </c>
      <c r="F439" s="134">
        <v>1423</v>
      </c>
      <c r="G439" s="134">
        <v>63</v>
      </c>
      <c r="H439" s="134">
        <v>24</v>
      </c>
      <c r="I439" s="200">
        <v>0.100886786654</v>
      </c>
      <c r="J439" s="134">
        <v>1447</v>
      </c>
      <c r="K439" s="134">
        <v>14342.809876200001</v>
      </c>
      <c r="L439" s="42">
        <v>0.81829838879100003</v>
      </c>
      <c r="M439" s="42">
        <v>4.81927710843E-2</v>
      </c>
      <c r="N439" s="134">
        <v>0</v>
      </c>
      <c r="O439" s="43" t="s">
        <v>664</v>
      </c>
      <c r="P439" s="43">
        <f t="shared" si="89"/>
        <v>12.813711978865841</v>
      </c>
      <c r="Q439" s="43">
        <f t="shared" si="90"/>
        <v>5.5815489000000003E-2</v>
      </c>
      <c r="R439" s="43">
        <f t="shared" si="91"/>
        <v>1.7973316999999999E-2</v>
      </c>
      <c r="S439" s="43">
        <f t="shared" si="92"/>
        <v>0.81829838899999996</v>
      </c>
      <c r="T439" s="43">
        <f t="shared" si="93"/>
        <v>3.0769139320000001</v>
      </c>
      <c r="U439" s="43">
        <f t="shared" si="94"/>
        <v>8.0662182869999999</v>
      </c>
      <c r="V439" s="43">
        <f t="shared" si="95"/>
        <v>3.4917640000000001E-3</v>
      </c>
      <c r="W439" s="230">
        <f t="shared" si="96"/>
        <v>0.1202591256805495</v>
      </c>
      <c r="X439" s="43">
        <f t="shared" si="97"/>
        <v>0.82699685300000003</v>
      </c>
      <c r="Y439" s="43">
        <v>186.92672640000001</v>
      </c>
      <c r="Z439" s="43">
        <f t="shared" si="86"/>
        <v>0</v>
      </c>
      <c r="AA439" s="43">
        <f t="shared" si="87"/>
        <v>478718</v>
      </c>
      <c r="AB439" s="43">
        <f t="shared" si="88"/>
        <v>186107</v>
      </c>
      <c r="AC439" s="43">
        <f t="shared" si="98"/>
        <v>7.5967312731255288E-2</v>
      </c>
      <c r="AD439" s="43">
        <f t="shared" si="99"/>
        <v>0.80847972010000058</v>
      </c>
      <c r="AF439" s="43">
        <v>12.813711978865841</v>
      </c>
      <c r="AG439" s="43">
        <v>5.5815489000000003E-2</v>
      </c>
      <c r="AH439" s="43">
        <v>1.7973316999999999E-2</v>
      </c>
      <c r="AI439" s="43">
        <v>0.81829838899999996</v>
      </c>
      <c r="AJ439" s="43">
        <v>3.0769139320000001</v>
      </c>
      <c r="AK439" s="43">
        <v>8.0662182869999999</v>
      </c>
      <c r="AL439" s="43">
        <v>3.4917640000000001E-3</v>
      </c>
      <c r="AM439" s="230">
        <v>0.1202591256805495</v>
      </c>
      <c r="AN439" s="43">
        <v>0.82699685300000003</v>
      </c>
    </row>
    <row r="440" spans="1:40" x14ac:dyDescent="0.25">
      <c r="A440" s="134">
        <v>430</v>
      </c>
      <c r="B440" s="134" t="s">
        <v>209</v>
      </c>
      <c r="C440" s="134" t="s">
        <v>210</v>
      </c>
      <c r="D440" s="134" t="s">
        <v>211</v>
      </c>
      <c r="E440" s="134">
        <v>400</v>
      </c>
      <c r="F440" s="134">
        <v>1595</v>
      </c>
      <c r="G440" s="134">
        <v>47</v>
      </c>
      <c r="H440" s="134">
        <v>0</v>
      </c>
      <c r="I440" s="200">
        <v>7.5141663608899997E-2</v>
      </c>
      <c r="J440" s="134">
        <v>1595</v>
      </c>
      <c r="K440" s="134">
        <v>21226.5728944</v>
      </c>
      <c r="L440" s="42">
        <v>0.786688737942</v>
      </c>
      <c r="M440" s="42">
        <v>0</v>
      </c>
      <c r="N440" s="134">
        <v>0</v>
      </c>
      <c r="O440" s="43" t="s">
        <v>664</v>
      </c>
      <c r="P440" s="43">
        <f t="shared" si="89"/>
        <v>13.003477700951951</v>
      </c>
      <c r="Q440" s="43">
        <f t="shared" si="90"/>
        <v>8.1231286999999999E-2</v>
      </c>
      <c r="R440" s="43">
        <f t="shared" si="91"/>
        <v>2.1882735E-2</v>
      </c>
      <c r="S440" s="43">
        <f t="shared" si="92"/>
        <v>0.78668873800000005</v>
      </c>
      <c r="T440" s="43">
        <f t="shared" si="93"/>
        <v>3.178664457</v>
      </c>
      <c r="U440" s="43">
        <f t="shared" si="94"/>
        <v>8.84146258</v>
      </c>
      <c r="V440" s="43">
        <f t="shared" si="95"/>
        <v>7.7629480000000004E-3</v>
      </c>
      <c r="W440" s="230">
        <f t="shared" si="96"/>
        <v>0.16368311497489899</v>
      </c>
      <c r="X440" s="43">
        <f t="shared" si="97"/>
        <v>0.77335619</v>
      </c>
      <c r="Y440" s="43">
        <v>194.81929500000001</v>
      </c>
      <c r="Z440" s="43">
        <f t="shared" si="86"/>
        <v>0</v>
      </c>
      <c r="AA440" s="43">
        <f t="shared" si="87"/>
        <v>478718</v>
      </c>
      <c r="AB440" s="43">
        <f t="shared" si="88"/>
        <v>186107</v>
      </c>
      <c r="AC440" s="43">
        <f t="shared" si="98"/>
        <v>7.5967312731255288E-2</v>
      </c>
      <c r="AD440" s="43">
        <f t="shared" si="99"/>
        <v>0.80847972010000058</v>
      </c>
      <c r="AF440" s="43">
        <v>13.003477700951951</v>
      </c>
      <c r="AG440" s="43">
        <v>8.1231286999999999E-2</v>
      </c>
      <c r="AH440" s="43">
        <v>2.1882735E-2</v>
      </c>
      <c r="AI440" s="43">
        <v>0.78668873800000005</v>
      </c>
      <c r="AJ440" s="43">
        <v>3.178664457</v>
      </c>
      <c r="AK440" s="43">
        <v>8.84146258</v>
      </c>
      <c r="AL440" s="43">
        <v>7.7629480000000004E-3</v>
      </c>
      <c r="AM440" s="230">
        <v>0.16368311497489899</v>
      </c>
      <c r="AN440" s="43">
        <v>0.77335619</v>
      </c>
    </row>
    <row r="441" spans="1:40" x14ac:dyDescent="0.25">
      <c r="A441" s="134">
        <v>431</v>
      </c>
      <c r="B441" s="134" t="s">
        <v>209</v>
      </c>
      <c r="C441" s="134" t="s">
        <v>210</v>
      </c>
      <c r="D441" s="134" t="s">
        <v>211</v>
      </c>
      <c r="E441" s="134">
        <v>275</v>
      </c>
      <c r="F441" s="134">
        <v>1097</v>
      </c>
      <c r="G441" s="134">
        <v>30</v>
      </c>
      <c r="H441" s="134">
        <v>275</v>
      </c>
      <c r="I441" s="200">
        <v>4.7241828620499998E-2</v>
      </c>
      <c r="J441" s="134">
        <v>1372</v>
      </c>
      <c r="K441" s="134">
        <v>29042.059549000001</v>
      </c>
      <c r="L441" s="42">
        <v>0.77738959159800003</v>
      </c>
      <c r="M441" s="42">
        <v>0.5</v>
      </c>
      <c r="N441" s="134">
        <v>0</v>
      </c>
      <c r="O441" s="43" t="s">
        <v>627</v>
      </c>
      <c r="P441" s="43">
        <f t="shared" si="89"/>
        <v>12.873381983551836</v>
      </c>
      <c r="Q441" s="43">
        <f t="shared" si="90"/>
        <v>7.8984578E-2</v>
      </c>
      <c r="R441" s="43">
        <f t="shared" si="91"/>
        <v>2.1512238999999999E-2</v>
      </c>
      <c r="S441" s="43">
        <f t="shared" si="92"/>
        <v>0.77738959200000002</v>
      </c>
      <c r="T441" s="43">
        <f t="shared" si="93"/>
        <v>3.222293402</v>
      </c>
      <c r="U441" s="43">
        <f t="shared" si="94"/>
        <v>8.2938537360000009</v>
      </c>
      <c r="V441" s="43">
        <f t="shared" si="95"/>
        <v>1.6306465999999999E-2</v>
      </c>
      <c r="W441" s="230">
        <f t="shared" si="96"/>
        <v>0.14088960110875309</v>
      </c>
      <c r="X441" s="43">
        <f t="shared" si="97"/>
        <v>0.76005890300000001</v>
      </c>
      <c r="Y441" s="43">
        <v>135.1234862</v>
      </c>
      <c r="Z441" s="43">
        <f t="shared" si="86"/>
        <v>0</v>
      </c>
      <c r="AA441" s="43">
        <f t="shared" si="87"/>
        <v>478718</v>
      </c>
      <c r="AB441" s="43">
        <f t="shared" si="88"/>
        <v>186107</v>
      </c>
      <c r="AC441" s="43">
        <f t="shared" si="98"/>
        <v>7.5967312731255288E-2</v>
      </c>
      <c r="AD441" s="43">
        <f t="shared" si="99"/>
        <v>0.80847972010000058</v>
      </c>
      <c r="AF441" s="43">
        <v>12.873381983551836</v>
      </c>
      <c r="AG441" s="43">
        <v>7.8984578E-2</v>
      </c>
      <c r="AH441" s="43">
        <v>2.1512238999999999E-2</v>
      </c>
      <c r="AI441" s="43">
        <v>0.77738959200000002</v>
      </c>
      <c r="AJ441" s="43">
        <v>3.222293402</v>
      </c>
      <c r="AK441" s="43">
        <v>8.2938537360000009</v>
      </c>
      <c r="AL441" s="43">
        <v>1.6306465999999999E-2</v>
      </c>
      <c r="AM441" s="230">
        <v>0.14088960110875309</v>
      </c>
      <c r="AN441" s="43">
        <v>0.76005890300000001</v>
      </c>
    </row>
    <row r="442" spans="1:40" x14ac:dyDescent="0.25">
      <c r="A442" s="134">
        <v>432</v>
      </c>
      <c r="B442" s="134" t="s">
        <v>209</v>
      </c>
      <c r="C442" s="134" t="s">
        <v>210</v>
      </c>
      <c r="D442" s="134" t="s">
        <v>211</v>
      </c>
      <c r="E442" s="134">
        <v>153</v>
      </c>
      <c r="F442" s="134">
        <v>611</v>
      </c>
      <c r="G442" s="134">
        <v>28</v>
      </c>
      <c r="H442" s="134">
        <v>0</v>
      </c>
      <c r="I442" s="200">
        <v>4.5518119711599997E-2</v>
      </c>
      <c r="J442" s="134">
        <v>611</v>
      </c>
      <c r="K442" s="134">
        <v>13423.2258246</v>
      </c>
      <c r="L442" s="42">
        <v>0.79775083227300003</v>
      </c>
      <c r="M442" s="42">
        <v>0</v>
      </c>
      <c r="N442" s="134">
        <v>0</v>
      </c>
      <c r="O442" s="43" t="s">
        <v>664</v>
      </c>
      <c r="P442" s="43">
        <f t="shared" si="89"/>
        <v>12.646905067732849</v>
      </c>
      <c r="Q442" s="43">
        <f t="shared" si="90"/>
        <v>6.7867486000000005E-2</v>
      </c>
      <c r="R442" s="43">
        <f t="shared" si="91"/>
        <v>2.1084255999999999E-2</v>
      </c>
      <c r="S442" s="43">
        <f t="shared" si="92"/>
        <v>0.79775083199999997</v>
      </c>
      <c r="T442" s="43">
        <f t="shared" si="93"/>
        <v>3.1803331199999998</v>
      </c>
      <c r="U442" s="43">
        <f t="shared" si="94"/>
        <v>8.4042645100000009</v>
      </c>
      <c r="V442" s="43">
        <f t="shared" si="95"/>
        <v>4.1704089999999999E-3</v>
      </c>
      <c r="W442" s="230">
        <f t="shared" si="96"/>
        <v>0.13204157577312972</v>
      </c>
      <c r="X442" s="43">
        <f t="shared" si="97"/>
        <v>0.77024252500000001</v>
      </c>
      <c r="Y442" s="43">
        <v>185.6290218</v>
      </c>
      <c r="Z442" s="43">
        <f t="shared" si="86"/>
        <v>0</v>
      </c>
      <c r="AA442" s="43">
        <f t="shared" si="87"/>
        <v>478718</v>
      </c>
      <c r="AB442" s="43">
        <f t="shared" si="88"/>
        <v>186107</v>
      </c>
      <c r="AC442" s="43">
        <f t="shared" si="98"/>
        <v>7.5967312731255288E-2</v>
      </c>
      <c r="AD442" s="43">
        <f t="shared" si="99"/>
        <v>0.80847972010000058</v>
      </c>
      <c r="AF442" s="43">
        <v>12.646905067732849</v>
      </c>
      <c r="AG442" s="43">
        <v>6.7867486000000005E-2</v>
      </c>
      <c r="AH442" s="43">
        <v>2.1084255999999999E-2</v>
      </c>
      <c r="AI442" s="43">
        <v>0.79775083199999997</v>
      </c>
      <c r="AJ442" s="43">
        <v>3.1803331199999998</v>
      </c>
      <c r="AK442" s="43">
        <v>8.4042645100000009</v>
      </c>
      <c r="AL442" s="43">
        <v>4.1704089999999999E-3</v>
      </c>
      <c r="AM442" s="230">
        <v>0.13204157577312972</v>
      </c>
      <c r="AN442" s="43">
        <v>0.77024252500000001</v>
      </c>
    </row>
    <row r="443" spans="1:40" x14ac:dyDescent="0.25">
      <c r="A443" s="134">
        <v>433</v>
      </c>
      <c r="B443" s="134" t="s">
        <v>209</v>
      </c>
      <c r="C443" s="134" t="s">
        <v>210</v>
      </c>
      <c r="D443" s="134" t="s">
        <v>211</v>
      </c>
      <c r="E443" s="134">
        <v>238</v>
      </c>
      <c r="F443" s="134">
        <v>950</v>
      </c>
      <c r="G443" s="134">
        <v>37</v>
      </c>
      <c r="H443" s="134">
        <v>421</v>
      </c>
      <c r="I443" s="200">
        <v>5.9381777468200003E-2</v>
      </c>
      <c r="J443" s="134">
        <v>1371</v>
      </c>
      <c r="K443" s="134">
        <v>23087.890906199998</v>
      </c>
      <c r="L443" s="42">
        <v>0.79611549749499999</v>
      </c>
      <c r="M443" s="42">
        <v>0.63884673748099996</v>
      </c>
      <c r="N443" s="134">
        <v>0</v>
      </c>
      <c r="O443" s="43" t="s">
        <v>664</v>
      </c>
      <c r="P443" s="43">
        <f t="shared" si="89"/>
        <v>12.905614158881965</v>
      </c>
      <c r="Q443" s="43">
        <f t="shared" si="90"/>
        <v>6.5263792000000001E-2</v>
      </c>
      <c r="R443" s="43">
        <f t="shared" si="91"/>
        <v>1.8790082999999999E-2</v>
      </c>
      <c r="S443" s="43">
        <f t="shared" si="92"/>
        <v>0.79611549699999995</v>
      </c>
      <c r="T443" s="43">
        <f t="shared" si="93"/>
        <v>3.1170198760000001</v>
      </c>
      <c r="U443" s="43">
        <f t="shared" si="94"/>
        <v>8.5596057000000005</v>
      </c>
      <c r="V443" s="43">
        <f t="shared" si="95"/>
        <v>1.4319182E-2</v>
      </c>
      <c r="W443" s="230">
        <f t="shared" si="96"/>
        <v>0.11812820616391324</v>
      </c>
      <c r="X443" s="43">
        <f t="shared" si="97"/>
        <v>0.78583834900000005</v>
      </c>
      <c r="Y443" s="43">
        <v>140.4349517</v>
      </c>
      <c r="Z443" s="43">
        <f t="shared" si="86"/>
        <v>0</v>
      </c>
      <c r="AA443" s="43">
        <f t="shared" si="87"/>
        <v>478718</v>
      </c>
      <c r="AB443" s="43">
        <f t="shared" si="88"/>
        <v>186107</v>
      </c>
      <c r="AC443" s="43">
        <f t="shared" si="98"/>
        <v>7.5967312731255288E-2</v>
      </c>
      <c r="AD443" s="43">
        <f t="shared" si="99"/>
        <v>0.80847972010000058</v>
      </c>
      <c r="AF443" s="43">
        <v>12.905614158881965</v>
      </c>
      <c r="AG443" s="43">
        <v>6.5263792000000001E-2</v>
      </c>
      <c r="AH443" s="43">
        <v>1.8790082999999999E-2</v>
      </c>
      <c r="AI443" s="43">
        <v>0.79611549699999995</v>
      </c>
      <c r="AJ443" s="43">
        <v>3.1170198760000001</v>
      </c>
      <c r="AK443" s="43">
        <v>8.5596057000000005</v>
      </c>
      <c r="AL443" s="43">
        <v>1.4319182E-2</v>
      </c>
      <c r="AM443" s="230">
        <v>0.11812820616391324</v>
      </c>
      <c r="AN443" s="43">
        <v>0.78583834900000005</v>
      </c>
    </row>
    <row r="444" spans="1:40" x14ac:dyDescent="0.25">
      <c r="A444" s="134">
        <v>434</v>
      </c>
      <c r="B444" s="134" t="s">
        <v>209</v>
      </c>
      <c r="C444" s="134" t="s">
        <v>210</v>
      </c>
      <c r="D444" s="134" t="s">
        <v>211</v>
      </c>
      <c r="E444" s="134">
        <v>639</v>
      </c>
      <c r="F444" s="134">
        <v>1974</v>
      </c>
      <c r="G444" s="134">
        <v>82</v>
      </c>
      <c r="H444" s="134">
        <v>468</v>
      </c>
      <c r="I444" s="200">
        <v>0.144354378215</v>
      </c>
      <c r="J444" s="134">
        <v>2442</v>
      </c>
      <c r="K444" s="134">
        <v>16916.702009299999</v>
      </c>
      <c r="L444" s="42">
        <v>0.82112346011199999</v>
      </c>
      <c r="M444" s="42">
        <v>0.422764227642</v>
      </c>
      <c r="N444" s="134">
        <v>0</v>
      </c>
      <c r="O444" s="43" t="s">
        <v>664</v>
      </c>
      <c r="P444" s="43">
        <f t="shared" si="89"/>
        <v>13.44412841486618</v>
      </c>
      <c r="Q444" s="43">
        <f t="shared" si="90"/>
        <v>5.9013046E-2</v>
      </c>
      <c r="R444" s="43">
        <f t="shared" si="91"/>
        <v>1.6752788000000001E-2</v>
      </c>
      <c r="S444" s="43">
        <f t="shared" si="92"/>
        <v>0.82112346000000003</v>
      </c>
      <c r="T444" s="43">
        <f t="shared" si="93"/>
        <v>3.2469974609999999</v>
      </c>
      <c r="U444" s="43">
        <f t="shared" si="94"/>
        <v>8.2581638789999996</v>
      </c>
      <c r="V444" s="43">
        <f t="shared" si="95"/>
        <v>1.0634813999999999E-2</v>
      </c>
      <c r="W444" s="230">
        <f t="shared" si="96"/>
        <v>0.10614584336769098</v>
      </c>
      <c r="X444" s="43">
        <f t="shared" si="97"/>
        <v>0.83776129499999996</v>
      </c>
      <c r="Y444" s="43">
        <v>158.44816879999999</v>
      </c>
      <c r="Z444" s="43">
        <f t="shared" si="86"/>
        <v>0</v>
      </c>
      <c r="AA444" s="43">
        <f t="shared" si="87"/>
        <v>478718</v>
      </c>
      <c r="AB444" s="43">
        <f t="shared" si="88"/>
        <v>186107</v>
      </c>
      <c r="AC444" s="43">
        <f t="shared" si="98"/>
        <v>7.5967312731255288E-2</v>
      </c>
      <c r="AD444" s="43">
        <f t="shared" si="99"/>
        <v>0.80847972010000058</v>
      </c>
      <c r="AF444" s="43">
        <v>13.44412841486618</v>
      </c>
      <c r="AG444" s="43">
        <v>5.9013046E-2</v>
      </c>
      <c r="AH444" s="43">
        <v>1.6752788000000001E-2</v>
      </c>
      <c r="AI444" s="43">
        <v>0.82112346000000003</v>
      </c>
      <c r="AJ444" s="43">
        <v>3.2469974609999999</v>
      </c>
      <c r="AK444" s="43">
        <v>8.2581638789999996</v>
      </c>
      <c r="AL444" s="43">
        <v>1.0634813999999999E-2</v>
      </c>
      <c r="AM444" s="230">
        <v>0.10614584336769098</v>
      </c>
      <c r="AN444" s="43">
        <v>0.83776129499999996</v>
      </c>
    </row>
    <row r="445" spans="1:40" x14ac:dyDescent="0.25">
      <c r="A445" s="134">
        <v>435</v>
      </c>
      <c r="B445" s="134" t="s">
        <v>209</v>
      </c>
      <c r="C445" s="134" t="s">
        <v>210</v>
      </c>
      <c r="D445" s="134" t="s">
        <v>211</v>
      </c>
      <c r="E445" s="134">
        <v>359</v>
      </c>
      <c r="F445" s="134">
        <v>1110</v>
      </c>
      <c r="G445" s="134">
        <v>41</v>
      </c>
      <c r="H445" s="134">
        <v>7</v>
      </c>
      <c r="I445" s="200">
        <v>7.2700008217799997E-2</v>
      </c>
      <c r="J445" s="134">
        <v>1117</v>
      </c>
      <c r="K445" s="134">
        <v>15364.5099551</v>
      </c>
      <c r="L445" s="42">
        <v>0.80761908058700005</v>
      </c>
      <c r="M445" s="42">
        <v>1.9125683060099999E-2</v>
      </c>
      <c r="N445" s="134">
        <v>0</v>
      </c>
      <c r="O445" s="43" t="s">
        <v>664</v>
      </c>
      <c r="P445" s="43">
        <f t="shared" si="89"/>
        <v>12.638610128534905</v>
      </c>
      <c r="Q445" s="43">
        <f t="shared" si="90"/>
        <v>6.2817316999999998E-2</v>
      </c>
      <c r="R445" s="43">
        <f t="shared" si="91"/>
        <v>1.7810163E-2</v>
      </c>
      <c r="S445" s="43">
        <f t="shared" si="92"/>
        <v>0.80761908100000002</v>
      </c>
      <c r="T445" s="43">
        <f t="shared" si="93"/>
        <v>3.0218164189999999</v>
      </c>
      <c r="U445" s="43">
        <f t="shared" si="94"/>
        <v>7.9801176959999998</v>
      </c>
      <c r="V445" s="43">
        <f t="shared" si="95"/>
        <v>2.3413330000000001E-3</v>
      </c>
      <c r="W445" s="230">
        <f t="shared" si="96"/>
        <v>0.12821584859380664</v>
      </c>
      <c r="X445" s="43">
        <f t="shared" si="97"/>
        <v>0.81640047900000001</v>
      </c>
      <c r="Y445" s="43">
        <v>183.2398326</v>
      </c>
      <c r="Z445" s="43">
        <f t="shared" si="86"/>
        <v>0</v>
      </c>
      <c r="AA445" s="43">
        <f t="shared" si="87"/>
        <v>478718</v>
      </c>
      <c r="AB445" s="43">
        <f t="shared" si="88"/>
        <v>186107</v>
      </c>
      <c r="AC445" s="43">
        <f t="shared" si="98"/>
        <v>7.5967312731255288E-2</v>
      </c>
      <c r="AD445" s="43">
        <f t="shared" si="99"/>
        <v>0.80847972010000058</v>
      </c>
      <c r="AF445" s="43">
        <v>12.638610128534905</v>
      </c>
      <c r="AG445" s="43">
        <v>6.2817316999999998E-2</v>
      </c>
      <c r="AH445" s="43">
        <v>1.7810163E-2</v>
      </c>
      <c r="AI445" s="43">
        <v>0.80761908100000002</v>
      </c>
      <c r="AJ445" s="43">
        <v>3.0218164189999999</v>
      </c>
      <c r="AK445" s="43">
        <v>7.9801176959999998</v>
      </c>
      <c r="AL445" s="43">
        <v>2.3413330000000001E-3</v>
      </c>
      <c r="AM445" s="230">
        <v>0.12821584859380664</v>
      </c>
      <c r="AN445" s="43">
        <v>0.81640047900000001</v>
      </c>
    </row>
    <row r="446" spans="1:40" x14ac:dyDescent="0.25">
      <c r="A446" s="134">
        <v>436</v>
      </c>
      <c r="B446" s="134" t="s">
        <v>209</v>
      </c>
      <c r="C446" s="134" t="s">
        <v>210</v>
      </c>
      <c r="D446" s="134" t="s">
        <v>211</v>
      </c>
      <c r="E446" s="134">
        <v>301</v>
      </c>
      <c r="F446" s="134">
        <v>929</v>
      </c>
      <c r="G446" s="134">
        <v>34</v>
      </c>
      <c r="H446" s="134">
        <v>32</v>
      </c>
      <c r="I446" s="200">
        <v>5.9040293068299998E-2</v>
      </c>
      <c r="J446" s="134">
        <v>961</v>
      </c>
      <c r="K446" s="134">
        <v>16277.019473599999</v>
      </c>
      <c r="L446" s="42">
        <v>0.81246573694000002</v>
      </c>
      <c r="M446" s="42">
        <v>9.6096096096099995E-2</v>
      </c>
      <c r="N446" s="134">
        <v>0</v>
      </c>
      <c r="O446" s="43" t="s">
        <v>664</v>
      </c>
      <c r="P446" s="43">
        <f t="shared" si="89"/>
        <v>12.851260603347823</v>
      </c>
      <c r="Q446" s="43">
        <f t="shared" si="90"/>
        <v>6.2121435000000003E-2</v>
      </c>
      <c r="R446" s="43">
        <f t="shared" si="91"/>
        <v>1.7917072999999999E-2</v>
      </c>
      <c r="S446" s="43">
        <f t="shared" si="92"/>
        <v>0.81246573700000002</v>
      </c>
      <c r="T446" s="43">
        <f t="shared" si="93"/>
        <v>3.1004838110000001</v>
      </c>
      <c r="U446" s="43">
        <f t="shared" si="94"/>
        <v>8.2271999200000003</v>
      </c>
      <c r="V446" s="43">
        <f t="shared" si="95"/>
        <v>5.2303480000000001E-3</v>
      </c>
      <c r="W446" s="230">
        <f t="shared" si="96"/>
        <v>0.11832142314124978</v>
      </c>
      <c r="X446" s="43">
        <f t="shared" si="97"/>
        <v>0.82116466499999996</v>
      </c>
      <c r="Y446" s="43">
        <v>158.0032296</v>
      </c>
      <c r="Z446" s="43">
        <f t="shared" si="86"/>
        <v>0</v>
      </c>
      <c r="AA446" s="43">
        <f t="shared" si="87"/>
        <v>478718</v>
      </c>
      <c r="AB446" s="43">
        <f t="shared" si="88"/>
        <v>186107</v>
      </c>
      <c r="AC446" s="43">
        <f t="shared" si="98"/>
        <v>7.5967312731255288E-2</v>
      </c>
      <c r="AD446" s="43">
        <f t="shared" si="99"/>
        <v>0.80847972010000058</v>
      </c>
      <c r="AF446" s="43">
        <v>12.851260603347823</v>
      </c>
      <c r="AG446" s="43">
        <v>6.2121435000000003E-2</v>
      </c>
      <c r="AH446" s="43">
        <v>1.7917072999999999E-2</v>
      </c>
      <c r="AI446" s="43">
        <v>0.81246573700000002</v>
      </c>
      <c r="AJ446" s="43">
        <v>3.1004838110000001</v>
      </c>
      <c r="AK446" s="43">
        <v>8.2271999200000003</v>
      </c>
      <c r="AL446" s="43">
        <v>5.2303480000000001E-3</v>
      </c>
      <c r="AM446" s="230">
        <v>0.11832142314124978</v>
      </c>
      <c r="AN446" s="43">
        <v>0.82116466499999996</v>
      </c>
    </row>
    <row r="447" spans="1:40" x14ac:dyDescent="0.25">
      <c r="A447" s="134">
        <v>437</v>
      </c>
      <c r="B447" s="134" t="s">
        <v>209</v>
      </c>
      <c r="C447" s="134" t="s">
        <v>210</v>
      </c>
      <c r="D447" s="134" t="s">
        <v>211</v>
      </c>
      <c r="E447" s="134">
        <v>419</v>
      </c>
      <c r="F447" s="134">
        <v>1509</v>
      </c>
      <c r="G447" s="134">
        <v>51</v>
      </c>
      <c r="H447" s="134">
        <v>18</v>
      </c>
      <c r="I447" s="200">
        <v>8.4119635253700004E-2</v>
      </c>
      <c r="J447" s="134">
        <v>1527</v>
      </c>
      <c r="K447" s="134">
        <v>18152.717797599998</v>
      </c>
      <c r="L447" s="42">
        <v>0.78139632431100003</v>
      </c>
      <c r="M447" s="42">
        <v>4.1189931350099997E-2</v>
      </c>
      <c r="N447" s="134">
        <v>0</v>
      </c>
      <c r="O447" s="43" t="s">
        <v>664</v>
      </c>
      <c r="P447" s="43">
        <f t="shared" si="89"/>
        <v>12.512506272620993</v>
      </c>
      <c r="Q447" s="43">
        <f t="shared" si="90"/>
        <v>7.9367902000000004E-2</v>
      </c>
      <c r="R447" s="43">
        <f t="shared" si="91"/>
        <v>1.9335896000000002E-2</v>
      </c>
      <c r="S447" s="43">
        <f t="shared" si="92"/>
        <v>0.78139632400000003</v>
      </c>
      <c r="T447" s="43">
        <f t="shared" si="93"/>
        <v>3.1217638019999998</v>
      </c>
      <c r="U447" s="43">
        <f t="shared" si="94"/>
        <v>7.7121850480000003</v>
      </c>
      <c r="V447" s="43">
        <f t="shared" si="95"/>
        <v>5.2180760000000003E-3</v>
      </c>
      <c r="W447" s="230">
        <f t="shared" si="96"/>
        <v>0.1763315939745988</v>
      </c>
      <c r="X447" s="43">
        <f t="shared" si="97"/>
        <v>0.76193758</v>
      </c>
      <c r="Y447" s="43">
        <v>184.8858042</v>
      </c>
      <c r="Z447" s="43">
        <f t="shared" si="86"/>
        <v>0</v>
      </c>
      <c r="AA447" s="43">
        <f t="shared" si="87"/>
        <v>478718</v>
      </c>
      <c r="AB447" s="43">
        <f t="shared" si="88"/>
        <v>186107</v>
      </c>
      <c r="AC447" s="43">
        <f t="shared" si="98"/>
        <v>7.5967312731255288E-2</v>
      </c>
      <c r="AD447" s="43">
        <f t="shared" si="99"/>
        <v>0.80847972010000058</v>
      </c>
      <c r="AF447" s="43">
        <v>12.512506272620993</v>
      </c>
      <c r="AG447" s="43">
        <v>7.9367902000000004E-2</v>
      </c>
      <c r="AH447" s="43">
        <v>1.9335896000000002E-2</v>
      </c>
      <c r="AI447" s="43">
        <v>0.78139632400000003</v>
      </c>
      <c r="AJ447" s="43">
        <v>3.1217638019999998</v>
      </c>
      <c r="AK447" s="43">
        <v>7.7121850480000003</v>
      </c>
      <c r="AL447" s="43">
        <v>5.2180760000000003E-3</v>
      </c>
      <c r="AM447" s="230">
        <v>0.1763315939745988</v>
      </c>
      <c r="AN447" s="43">
        <v>0.76193758</v>
      </c>
    </row>
    <row r="448" spans="1:40" x14ac:dyDescent="0.25">
      <c r="A448" s="134">
        <v>438</v>
      </c>
      <c r="B448" s="134" t="s">
        <v>209</v>
      </c>
      <c r="C448" s="134" t="s">
        <v>210</v>
      </c>
      <c r="D448" s="134" t="s">
        <v>211</v>
      </c>
      <c r="E448" s="134">
        <v>432</v>
      </c>
      <c r="F448" s="134">
        <v>1556</v>
      </c>
      <c r="G448" s="134">
        <v>41</v>
      </c>
      <c r="H448" s="134">
        <v>32</v>
      </c>
      <c r="I448" s="200">
        <v>6.6379276742199997E-2</v>
      </c>
      <c r="J448" s="134">
        <v>1588</v>
      </c>
      <c r="K448" s="134">
        <v>23923.128993499999</v>
      </c>
      <c r="L448" s="42">
        <v>0.77607253447000002</v>
      </c>
      <c r="M448" s="42">
        <v>6.8965517241400001E-2</v>
      </c>
      <c r="N448" s="134">
        <v>0</v>
      </c>
      <c r="O448" s="43" t="s">
        <v>664</v>
      </c>
      <c r="P448" s="43">
        <f t="shared" si="89"/>
        <v>12.514383638904761</v>
      </c>
      <c r="Q448" s="43">
        <f t="shared" si="90"/>
        <v>7.661366E-2</v>
      </c>
      <c r="R448" s="43">
        <f t="shared" si="91"/>
        <v>1.9177435999999999E-2</v>
      </c>
      <c r="S448" s="43">
        <f t="shared" si="92"/>
        <v>0.77607253399999998</v>
      </c>
      <c r="T448" s="43">
        <f t="shared" si="93"/>
        <v>3.0391442880000001</v>
      </c>
      <c r="U448" s="43">
        <f t="shared" si="94"/>
        <v>7.5747636109999998</v>
      </c>
      <c r="V448" s="43">
        <f t="shared" si="95"/>
        <v>7.7394760000000003E-3</v>
      </c>
      <c r="W448" s="230">
        <f t="shared" si="96"/>
        <v>0.16436625864088369</v>
      </c>
      <c r="X448" s="43">
        <f t="shared" si="97"/>
        <v>0.76228096400000001</v>
      </c>
      <c r="Y448" s="43">
        <v>164.47876679999999</v>
      </c>
      <c r="Z448" s="43">
        <f t="shared" si="86"/>
        <v>0</v>
      </c>
      <c r="AA448" s="43">
        <f t="shared" si="87"/>
        <v>478718</v>
      </c>
      <c r="AB448" s="43">
        <f t="shared" si="88"/>
        <v>186107</v>
      </c>
      <c r="AC448" s="43">
        <f t="shared" si="98"/>
        <v>7.5967312731255288E-2</v>
      </c>
      <c r="AD448" s="43">
        <f t="shared" si="99"/>
        <v>0.80847972010000058</v>
      </c>
      <c r="AF448" s="43">
        <v>12.514383638904761</v>
      </c>
      <c r="AG448" s="43">
        <v>7.661366E-2</v>
      </c>
      <c r="AH448" s="43">
        <v>1.9177435999999999E-2</v>
      </c>
      <c r="AI448" s="43">
        <v>0.77607253399999998</v>
      </c>
      <c r="AJ448" s="43">
        <v>3.0391442880000001</v>
      </c>
      <c r="AK448" s="43">
        <v>7.5747636109999998</v>
      </c>
      <c r="AL448" s="43">
        <v>7.7394760000000003E-3</v>
      </c>
      <c r="AM448" s="230">
        <v>0.16436625864088369</v>
      </c>
      <c r="AN448" s="43">
        <v>0.76228096400000001</v>
      </c>
    </row>
    <row r="449" spans="1:40" x14ac:dyDescent="0.25">
      <c r="A449" s="134">
        <v>439</v>
      </c>
      <c r="B449" s="134" t="s">
        <v>209</v>
      </c>
      <c r="C449" s="134" t="s">
        <v>210</v>
      </c>
      <c r="D449" s="134" t="s">
        <v>211</v>
      </c>
      <c r="E449" s="134">
        <v>280</v>
      </c>
      <c r="F449" s="134">
        <v>1009</v>
      </c>
      <c r="G449" s="134">
        <v>53</v>
      </c>
      <c r="H449" s="134">
        <v>179</v>
      </c>
      <c r="I449" s="200">
        <v>8.6207256166999993E-2</v>
      </c>
      <c r="J449" s="134">
        <v>1188</v>
      </c>
      <c r="K449" s="134">
        <v>13780.7425131</v>
      </c>
      <c r="L449" s="42">
        <v>0.80742952393199996</v>
      </c>
      <c r="M449" s="42">
        <v>0.38997821350799999</v>
      </c>
      <c r="N449" s="134">
        <v>0</v>
      </c>
      <c r="O449" s="43" t="s">
        <v>664</v>
      </c>
      <c r="P449" s="43">
        <f t="shared" si="89"/>
        <v>12.227084697558977</v>
      </c>
      <c r="Q449" s="43">
        <f t="shared" si="90"/>
        <v>5.6087776999999998E-2</v>
      </c>
      <c r="R449" s="43">
        <f t="shared" si="91"/>
        <v>1.9477466999999998E-2</v>
      </c>
      <c r="S449" s="43">
        <f t="shared" si="92"/>
        <v>0.80742952400000001</v>
      </c>
      <c r="T449" s="43">
        <f t="shared" si="93"/>
        <v>3.2383177569999999</v>
      </c>
      <c r="U449" s="43">
        <f t="shared" si="94"/>
        <v>7.717683622</v>
      </c>
      <c r="V449" s="43">
        <f t="shared" si="95"/>
        <v>1.1823393E-2</v>
      </c>
      <c r="W449" s="230">
        <f t="shared" si="96"/>
        <v>0.10338873300237426</v>
      </c>
      <c r="X449" s="43">
        <f t="shared" si="97"/>
        <v>0.81399141399999997</v>
      </c>
      <c r="Y449" s="43">
        <v>183.31346719999999</v>
      </c>
      <c r="Z449" s="43">
        <f t="shared" si="86"/>
        <v>0</v>
      </c>
      <c r="AA449" s="43">
        <f t="shared" si="87"/>
        <v>478718</v>
      </c>
      <c r="AB449" s="43">
        <f t="shared" si="88"/>
        <v>186107</v>
      </c>
      <c r="AC449" s="43">
        <f t="shared" si="98"/>
        <v>7.5967312731255288E-2</v>
      </c>
      <c r="AD449" s="43">
        <f t="shared" si="99"/>
        <v>0.80847972010000058</v>
      </c>
      <c r="AF449" s="43">
        <v>12.227084697558977</v>
      </c>
      <c r="AG449" s="43">
        <v>5.6087776999999998E-2</v>
      </c>
      <c r="AH449" s="43">
        <v>1.9477466999999998E-2</v>
      </c>
      <c r="AI449" s="43">
        <v>0.80742952400000001</v>
      </c>
      <c r="AJ449" s="43">
        <v>3.2383177569999999</v>
      </c>
      <c r="AK449" s="43">
        <v>7.717683622</v>
      </c>
      <c r="AL449" s="43">
        <v>1.1823393E-2</v>
      </c>
      <c r="AM449" s="230">
        <v>0.10338873300237426</v>
      </c>
      <c r="AN449" s="43">
        <v>0.81399141399999997</v>
      </c>
    </row>
    <row r="450" spans="1:40" x14ac:dyDescent="0.25">
      <c r="A450" s="134">
        <v>440</v>
      </c>
      <c r="B450" s="134" t="s">
        <v>209</v>
      </c>
      <c r="C450" s="134" t="s">
        <v>210</v>
      </c>
      <c r="D450" s="134" t="s">
        <v>211</v>
      </c>
      <c r="E450" s="134">
        <v>348</v>
      </c>
      <c r="F450" s="134">
        <v>1254</v>
      </c>
      <c r="G450" s="134">
        <v>105</v>
      </c>
      <c r="H450" s="134">
        <v>719</v>
      </c>
      <c r="I450" s="200">
        <v>0.17249326478099999</v>
      </c>
      <c r="J450" s="134">
        <v>1973</v>
      </c>
      <c r="K450" s="134">
        <v>11438.127758299999</v>
      </c>
      <c r="L450" s="42">
        <v>0.81097427167400005</v>
      </c>
      <c r="M450" s="42">
        <v>0.67385192127500004</v>
      </c>
      <c r="N450" s="134">
        <v>0</v>
      </c>
      <c r="O450" s="43" t="s">
        <v>664</v>
      </c>
      <c r="P450" s="43">
        <f t="shared" si="89"/>
        <v>12.5919614827492</v>
      </c>
      <c r="Q450" s="43">
        <f t="shared" si="90"/>
        <v>4.8969603E-2</v>
      </c>
      <c r="R450" s="43">
        <f t="shared" si="91"/>
        <v>1.7063552999999999E-2</v>
      </c>
      <c r="S450" s="43">
        <f t="shared" si="92"/>
        <v>0.81097427200000005</v>
      </c>
      <c r="T450" s="43">
        <f t="shared" si="93"/>
        <v>2.9971729379999998</v>
      </c>
      <c r="U450" s="43">
        <f t="shared" si="94"/>
        <v>7.9776258149999997</v>
      </c>
      <c r="V450" s="43">
        <f t="shared" si="95"/>
        <v>1.3895103000000001E-2</v>
      </c>
      <c r="W450" s="230">
        <f t="shared" si="96"/>
        <v>8.958314691482698E-2</v>
      </c>
      <c r="X450" s="43">
        <f t="shared" si="97"/>
        <v>0.81849441999999994</v>
      </c>
      <c r="Y450" s="43">
        <v>186.35985790000001</v>
      </c>
      <c r="Z450" s="43">
        <f t="shared" si="86"/>
        <v>0</v>
      </c>
      <c r="AA450" s="43">
        <f t="shared" si="87"/>
        <v>478718</v>
      </c>
      <c r="AB450" s="43">
        <f t="shared" si="88"/>
        <v>186107</v>
      </c>
      <c r="AC450" s="43">
        <f t="shared" si="98"/>
        <v>7.5967312731255288E-2</v>
      </c>
      <c r="AD450" s="43">
        <f t="shared" si="99"/>
        <v>0.80847972010000058</v>
      </c>
      <c r="AF450" s="43">
        <v>12.5919614827492</v>
      </c>
      <c r="AG450" s="43">
        <v>4.8969603E-2</v>
      </c>
      <c r="AH450" s="43">
        <v>1.7063552999999999E-2</v>
      </c>
      <c r="AI450" s="43">
        <v>0.81097427200000005</v>
      </c>
      <c r="AJ450" s="43">
        <v>2.9971729379999998</v>
      </c>
      <c r="AK450" s="43">
        <v>7.9776258149999997</v>
      </c>
      <c r="AL450" s="43">
        <v>1.3895103000000001E-2</v>
      </c>
      <c r="AM450" s="230">
        <v>8.958314691482698E-2</v>
      </c>
      <c r="AN450" s="43">
        <v>0.81849441999999994</v>
      </c>
    </row>
    <row r="451" spans="1:40" x14ac:dyDescent="0.25">
      <c r="A451" s="134">
        <v>441</v>
      </c>
      <c r="B451" s="134" t="s">
        <v>209</v>
      </c>
      <c r="C451" s="134" t="s">
        <v>210</v>
      </c>
      <c r="D451" s="134" t="s">
        <v>211</v>
      </c>
      <c r="E451" s="134">
        <v>942</v>
      </c>
      <c r="F451" s="134">
        <v>3576</v>
      </c>
      <c r="G451" s="134">
        <v>156</v>
      </c>
      <c r="H451" s="134">
        <v>308</v>
      </c>
      <c r="I451" s="200">
        <v>0.27385383062200003</v>
      </c>
      <c r="J451" s="134">
        <v>3884</v>
      </c>
      <c r="K451" s="134">
        <v>14182.74848</v>
      </c>
      <c r="L451" s="42">
        <v>0.84436607823099996</v>
      </c>
      <c r="M451" s="42">
        <v>0.24640000000000001</v>
      </c>
      <c r="N451" s="134">
        <v>0</v>
      </c>
      <c r="O451" s="43" t="s">
        <v>664</v>
      </c>
      <c r="P451" s="43">
        <f t="shared" si="89"/>
        <v>14.006163148431998</v>
      </c>
      <c r="Q451" s="43">
        <f t="shared" si="90"/>
        <v>5.2526621000000003E-2</v>
      </c>
      <c r="R451" s="43">
        <f t="shared" si="91"/>
        <v>1.9895481E-2</v>
      </c>
      <c r="S451" s="43">
        <f t="shared" si="92"/>
        <v>0.84436607799999996</v>
      </c>
      <c r="T451" s="43">
        <f t="shared" si="93"/>
        <v>4.030217758</v>
      </c>
      <c r="U451" s="43">
        <f t="shared" si="94"/>
        <v>9.8366817740000005</v>
      </c>
      <c r="V451" s="43">
        <f t="shared" si="95"/>
        <v>9.5992660000000004E-3</v>
      </c>
      <c r="W451" s="230">
        <f t="shared" si="96"/>
        <v>0.10295094411234461</v>
      </c>
      <c r="X451" s="43">
        <f t="shared" si="97"/>
        <v>0.86016225400000001</v>
      </c>
      <c r="Y451" s="43">
        <v>93.339935949999997</v>
      </c>
      <c r="Z451" s="43">
        <f t="shared" si="86"/>
        <v>0</v>
      </c>
      <c r="AA451" s="43">
        <f t="shared" si="87"/>
        <v>478718</v>
      </c>
      <c r="AB451" s="43">
        <f t="shared" si="88"/>
        <v>186107</v>
      </c>
      <c r="AC451" s="43">
        <f t="shared" si="98"/>
        <v>7.5967312731255288E-2</v>
      </c>
      <c r="AD451" s="43">
        <f t="shared" si="99"/>
        <v>0.80847972010000058</v>
      </c>
      <c r="AF451" s="43">
        <v>14.006163148431998</v>
      </c>
      <c r="AG451" s="43">
        <v>5.2526621000000003E-2</v>
      </c>
      <c r="AH451" s="43">
        <v>1.9895481E-2</v>
      </c>
      <c r="AI451" s="43">
        <v>0.84436607799999996</v>
      </c>
      <c r="AJ451" s="43">
        <v>4.030217758</v>
      </c>
      <c r="AK451" s="43">
        <v>9.8366817740000005</v>
      </c>
      <c r="AL451" s="43">
        <v>9.5992660000000004E-3</v>
      </c>
      <c r="AM451" s="230">
        <v>0.10295094411234461</v>
      </c>
      <c r="AN451" s="43">
        <v>0.86016225400000001</v>
      </c>
    </row>
    <row r="452" spans="1:40" x14ac:dyDescent="0.25">
      <c r="A452" s="134">
        <v>442</v>
      </c>
      <c r="B452" s="134" t="s">
        <v>209</v>
      </c>
      <c r="C452" s="134" t="s">
        <v>210</v>
      </c>
      <c r="D452" s="134" t="s">
        <v>211</v>
      </c>
      <c r="E452" s="134">
        <v>647</v>
      </c>
      <c r="F452" s="134">
        <v>2445</v>
      </c>
      <c r="G452" s="134">
        <v>120</v>
      </c>
      <c r="H452" s="134">
        <v>117</v>
      </c>
      <c r="I452" s="200">
        <v>0.18539181977800001</v>
      </c>
      <c r="J452" s="134">
        <v>2562</v>
      </c>
      <c r="K452" s="134">
        <v>13819.379965399999</v>
      </c>
      <c r="L452" s="42">
        <v>0.81005174514099998</v>
      </c>
      <c r="M452" s="42">
        <v>0.15314136125700001</v>
      </c>
      <c r="N452" s="134">
        <v>0</v>
      </c>
      <c r="O452" s="43" t="s">
        <v>664</v>
      </c>
      <c r="P452" s="43">
        <f t="shared" si="89"/>
        <v>12.184739216993785</v>
      </c>
      <c r="Q452" s="43">
        <f t="shared" si="90"/>
        <v>5.4273724000000002E-2</v>
      </c>
      <c r="R452" s="43">
        <f t="shared" si="91"/>
        <v>1.93709E-2</v>
      </c>
      <c r="S452" s="43">
        <f t="shared" si="92"/>
        <v>0.81005174499999999</v>
      </c>
      <c r="T452" s="43">
        <f t="shared" si="93"/>
        <v>3.6826493880000002</v>
      </c>
      <c r="U452" s="43">
        <f t="shared" si="94"/>
        <v>8.0934425739999991</v>
      </c>
      <c r="V452" s="43">
        <f t="shared" si="95"/>
        <v>6.4499550000000003E-3</v>
      </c>
      <c r="W452" s="230">
        <f t="shared" si="96"/>
        <v>0.11995374534241296</v>
      </c>
      <c r="X452" s="43">
        <f t="shared" si="97"/>
        <v>0.83358602100000001</v>
      </c>
      <c r="Y452" s="43">
        <v>155.54632609999999</v>
      </c>
      <c r="Z452" s="43">
        <f t="shared" si="86"/>
        <v>0</v>
      </c>
      <c r="AA452" s="43">
        <f t="shared" si="87"/>
        <v>478718</v>
      </c>
      <c r="AB452" s="43">
        <f t="shared" si="88"/>
        <v>186107</v>
      </c>
      <c r="AC452" s="43">
        <f t="shared" si="98"/>
        <v>7.5967312731255288E-2</v>
      </c>
      <c r="AD452" s="43">
        <f t="shared" si="99"/>
        <v>0.80847972010000058</v>
      </c>
      <c r="AF452" s="43">
        <v>12.184739216993785</v>
      </c>
      <c r="AG452" s="43">
        <v>5.4273724000000002E-2</v>
      </c>
      <c r="AH452" s="43">
        <v>1.93709E-2</v>
      </c>
      <c r="AI452" s="43">
        <v>0.81005174499999999</v>
      </c>
      <c r="AJ452" s="43">
        <v>3.6826493880000002</v>
      </c>
      <c r="AK452" s="43">
        <v>8.0934425739999991</v>
      </c>
      <c r="AL452" s="43">
        <v>6.4499550000000003E-3</v>
      </c>
      <c r="AM452" s="230">
        <v>0.11995374534241296</v>
      </c>
      <c r="AN452" s="43">
        <v>0.83358602100000001</v>
      </c>
    </row>
    <row r="453" spans="1:40" x14ac:dyDescent="0.25">
      <c r="A453" s="134">
        <v>443</v>
      </c>
      <c r="B453" s="134" t="s">
        <v>209</v>
      </c>
      <c r="C453" s="134" t="s">
        <v>210</v>
      </c>
      <c r="D453" s="134" t="s">
        <v>211</v>
      </c>
      <c r="E453" s="134">
        <v>0</v>
      </c>
      <c r="F453" s="134">
        <v>0</v>
      </c>
      <c r="G453" s="134">
        <v>134</v>
      </c>
      <c r="H453" s="134">
        <v>24</v>
      </c>
      <c r="I453" s="200">
        <v>0.20360904166900001</v>
      </c>
      <c r="J453" s="134">
        <v>24</v>
      </c>
      <c r="K453" s="134">
        <v>117.872957916</v>
      </c>
      <c r="L453" s="42">
        <v>0.84566862909999996</v>
      </c>
      <c r="M453" s="42">
        <v>1</v>
      </c>
      <c r="N453" s="134">
        <v>1</v>
      </c>
      <c r="O453" s="43" t="s">
        <v>664</v>
      </c>
      <c r="P453" s="43">
        <f t="shared" si="89"/>
        <v>12.265282915467873</v>
      </c>
      <c r="Q453" s="43">
        <f t="shared" si="90"/>
        <v>7.8952902000000005E-2</v>
      </c>
      <c r="R453" s="43">
        <f t="shared" si="91"/>
        <v>3.6795629999999998E-3</v>
      </c>
      <c r="S453" s="43">
        <f t="shared" si="92"/>
        <v>0.84566862899999995</v>
      </c>
      <c r="T453" s="43">
        <f t="shared" si="93"/>
        <v>4.75</v>
      </c>
      <c r="U453" s="43">
        <f t="shared" si="94"/>
        <v>8.7178448050000004</v>
      </c>
      <c r="V453" s="43">
        <f t="shared" si="95"/>
        <v>3.241491E-3</v>
      </c>
      <c r="W453" s="230">
        <f t="shared" si="96"/>
        <v>2.4311183144246351E-3</v>
      </c>
      <c r="X453" s="43">
        <f t="shared" si="97"/>
        <v>0.79578606200000002</v>
      </c>
      <c r="Y453" s="43">
        <v>34.106853110000003</v>
      </c>
      <c r="Z453" s="43">
        <f t="shared" si="86"/>
        <v>0</v>
      </c>
      <c r="AA453" s="43">
        <f t="shared" si="87"/>
        <v>478718</v>
      </c>
      <c r="AB453" s="43">
        <f t="shared" si="88"/>
        <v>186107</v>
      </c>
      <c r="AC453" s="43">
        <f t="shared" si="98"/>
        <v>7.5967312731255288E-2</v>
      </c>
      <c r="AD453" s="43">
        <f t="shared" si="99"/>
        <v>0.80847972010000058</v>
      </c>
      <c r="AF453" s="43">
        <v>12.265282915467873</v>
      </c>
      <c r="AG453" s="43">
        <v>7.8952902000000005E-2</v>
      </c>
      <c r="AH453" s="43">
        <v>3.6795629999999998E-3</v>
      </c>
      <c r="AI453" s="43">
        <v>0.84566862899999995</v>
      </c>
      <c r="AJ453" s="43">
        <v>4.75</v>
      </c>
      <c r="AK453" s="43">
        <v>8.7178448050000004</v>
      </c>
      <c r="AL453" s="43">
        <v>3.241491E-3</v>
      </c>
      <c r="AM453" s="230">
        <v>2.4311183144246351E-3</v>
      </c>
      <c r="AN453" s="43">
        <v>0.79578606200000002</v>
      </c>
    </row>
    <row r="454" spans="1:40" x14ac:dyDescent="0.25">
      <c r="A454" s="134">
        <v>444</v>
      </c>
      <c r="B454" s="134" t="s">
        <v>209</v>
      </c>
      <c r="C454" s="134" t="s">
        <v>210</v>
      </c>
      <c r="D454" s="134" t="s">
        <v>211</v>
      </c>
      <c r="E454" s="134">
        <v>0</v>
      </c>
      <c r="F454" s="134">
        <v>0</v>
      </c>
      <c r="G454" s="134">
        <v>307</v>
      </c>
      <c r="H454" s="134">
        <v>6122</v>
      </c>
      <c r="I454" s="200">
        <v>0.46876834604399997</v>
      </c>
      <c r="J454" s="134">
        <v>6122</v>
      </c>
      <c r="K454" s="134">
        <v>13059.755531000001</v>
      </c>
      <c r="L454" s="42">
        <v>0.88590263157899996</v>
      </c>
      <c r="M454" s="42">
        <v>1</v>
      </c>
      <c r="N454" s="134">
        <v>0</v>
      </c>
      <c r="O454" s="43" t="s">
        <v>664</v>
      </c>
      <c r="P454" s="43">
        <f t="shared" si="89"/>
        <v>14.715145174010472</v>
      </c>
      <c r="Q454" s="43">
        <f t="shared" si="90"/>
        <v>5.2389473999999998E-2</v>
      </c>
      <c r="R454" s="43">
        <f t="shared" si="91"/>
        <v>1.0714474E-2</v>
      </c>
      <c r="S454" s="43">
        <f t="shared" si="92"/>
        <v>0.88590263199999997</v>
      </c>
      <c r="T454" s="43">
        <f t="shared" si="93"/>
        <v>4.1346826129999998</v>
      </c>
      <c r="U454" s="43">
        <f t="shared" si="94"/>
        <v>9.2167173259999995</v>
      </c>
      <c r="V454" s="43">
        <f t="shared" si="95"/>
        <v>1.1898259E-2</v>
      </c>
      <c r="W454" s="230">
        <f t="shared" si="96"/>
        <v>7.9411667928005011E-2</v>
      </c>
      <c r="X454" s="43">
        <f t="shared" si="97"/>
        <v>0.89159290599999996</v>
      </c>
      <c r="Y454" s="43">
        <v>32.021071900000003</v>
      </c>
      <c r="Z454" s="43">
        <f t="shared" si="86"/>
        <v>0</v>
      </c>
      <c r="AA454" s="43">
        <f t="shared" si="87"/>
        <v>478718</v>
      </c>
      <c r="AB454" s="43">
        <f t="shared" si="88"/>
        <v>186107</v>
      </c>
      <c r="AC454" s="43">
        <f t="shared" si="98"/>
        <v>7.5967312731255288E-2</v>
      </c>
      <c r="AD454" s="43">
        <f t="shared" si="99"/>
        <v>0.80847972010000058</v>
      </c>
      <c r="AF454" s="43">
        <v>14.715145174010472</v>
      </c>
      <c r="AG454" s="43">
        <v>5.2389473999999998E-2</v>
      </c>
      <c r="AH454" s="43">
        <v>1.0714474E-2</v>
      </c>
      <c r="AI454" s="43">
        <v>0.88590263199999997</v>
      </c>
      <c r="AJ454" s="43">
        <v>4.1346826129999998</v>
      </c>
      <c r="AK454" s="43">
        <v>9.2167173259999995</v>
      </c>
      <c r="AL454" s="43">
        <v>1.1898259E-2</v>
      </c>
      <c r="AM454" s="230">
        <v>7.9411667928005011E-2</v>
      </c>
      <c r="AN454" s="43">
        <v>0.89159290599999996</v>
      </c>
    </row>
    <row r="455" spans="1:40" x14ac:dyDescent="0.25">
      <c r="A455" s="134">
        <v>445</v>
      </c>
      <c r="B455" s="134" t="s">
        <v>209</v>
      </c>
      <c r="C455" s="134" t="s">
        <v>210</v>
      </c>
      <c r="D455" s="134" t="s">
        <v>211</v>
      </c>
      <c r="E455" s="134">
        <v>13</v>
      </c>
      <c r="F455" s="134">
        <v>47</v>
      </c>
      <c r="G455" s="134">
        <v>407</v>
      </c>
      <c r="H455" s="134">
        <v>1955</v>
      </c>
      <c r="I455" s="200">
        <v>0.62097634651199995</v>
      </c>
      <c r="J455" s="134">
        <v>2002</v>
      </c>
      <c r="K455" s="134">
        <v>3223.9553265499999</v>
      </c>
      <c r="L455" s="42">
        <v>0.92820945945900002</v>
      </c>
      <c r="M455" s="42">
        <v>0.99339430894299996</v>
      </c>
      <c r="N455" s="134">
        <v>0</v>
      </c>
      <c r="O455" s="43" t="s">
        <v>666</v>
      </c>
      <c r="P455" s="43">
        <f t="shared" si="89"/>
        <v>15.007644656756664</v>
      </c>
      <c r="Q455" s="43">
        <f t="shared" si="90"/>
        <v>3.3989782000000003E-2</v>
      </c>
      <c r="R455" s="43">
        <f t="shared" si="91"/>
        <v>1.1165128999999999E-2</v>
      </c>
      <c r="S455" s="43">
        <f t="shared" si="92"/>
        <v>0.92820945899999996</v>
      </c>
      <c r="T455" s="43">
        <f t="shared" si="93"/>
        <v>4.6486436610000004</v>
      </c>
      <c r="U455" s="43">
        <f t="shared" si="94"/>
        <v>10.15189224</v>
      </c>
      <c r="V455" s="43">
        <f t="shared" si="95"/>
        <v>1.1432715E-2</v>
      </c>
      <c r="W455" s="230">
        <f t="shared" si="96"/>
        <v>3.4554102766461189E-2</v>
      </c>
      <c r="X455" s="43">
        <f t="shared" si="97"/>
        <v>0.93874823100000004</v>
      </c>
      <c r="Y455" s="43">
        <v>32.025605679999998</v>
      </c>
      <c r="Z455" s="43">
        <f t="shared" si="86"/>
        <v>0</v>
      </c>
      <c r="AA455" s="43">
        <f t="shared" si="87"/>
        <v>478718</v>
      </c>
      <c r="AB455" s="43">
        <f t="shared" si="88"/>
        <v>186107</v>
      </c>
      <c r="AC455" s="43">
        <f t="shared" si="98"/>
        <v>7.5967312731255288E-2</v>
      </c>
      <c r="AD455" s="43">
        <f t="shared" si="99"/>
        <v>0.80847972010000058</v>
      </c>
      <c r="AF455" s="43">
        <v>15.007644656756664</v>
      </c>
      <c r="AG455" s="43">
        <v>3.3989782000000003E-2</v>
      </c>
      <c r="AH455" s="43">
        <v>1.1165128999999999E-2</v>
      </c>
      <c r="AI455" s="43">
        <v>0.92820945899999996</v>
      </c>
      <c r="AJ455" s="43">
        <v>4.6486436610000004</v>
      </c>
      <c r="AK455" s="43">
        <v>10.15189224</v>
      </c>
      <c r="AL455" s="43">
        <v>1.1432715E-2</v>
      </c>
      <c r="AM455" s="230">
        <v>3.4554102766461189E-2</v>
      </c>
      <c r="AN455" s="43">
        <v>0.93874823100000004</v>
      </c>
    </row>
    <row r="456" spans="1:40" x14ac:dyDescent="0.25">
      <c r="A456" s="134">
        <v>446</v>
      </c>
      <c r="B456" s="134" t="s">
        <v>209</v>
      </c>
      <c r="C456" s="134" t="s">
        <v>210</v>
      </c>
      <c r="D456" s="134" t="s">
        <v>211</v>
      </c>
      <c r="E456" s="134">
        <v>0</v>
      </c>
      <c r="F456" s="134">
        <v>0</v>
      </c>
      <c r="G456" s="134">
        <v>93</v>
      </c>
      <c r="H456" s="134">
        <v>1036</v>
      </c>
      <c r="I456" s="200">
        <v>0.14153225730300001</v>
      </c>
      <c r="J456" s="134">
        <v>1036</v>
      </c>
      <c r="K456" s="134">
        <v>7319.8860792599999</v>
      </c>
      <c r="L456" s="42">
        <v>0.84223822973100004</v>
      </c>
      <c r="M456" s="42">
        <v>1</v>
      </c>
      <c r="N456" s="134">
        <v>1</v>
      </c>
      <c r="O456" s="43" t="s">
        <v>627</v>
      </c>
      <c r="P456" s="43">
        <f t="shared" si="89"/>
        <v>14.443094481918775</v>
      </c>
      <c r="Q456" s="43">
        <f t="shared" si="90"/>
        <v>4.4373332000000001E-2</v>
      </c>
      <c r="R456" s="43">
        <f t="shared" si="91"/>
        <v>1.0448786E-2</v>
      </c>
      <c r="S456" s="43">
        <f t="shared" si="92"/>
        <v>0.84223822999999998</v>
      </c>
      <c r="T456" s="43">
        <f t="shared" si="93"/>
        <v>3.33768251</v>
      </c>
      <c r="U456" s="43">
        <f t="shared" si="94"/>
        <v>8.3458633599999992</v>
      </c>
      <c r="V456" s="43">
        <f t="shared" si="95"/>
        <v>1.0978648000000001E-2</v>
      </c>
      <c r="W456" s="230">
        <f t="shared" si="96"/>
        <v>6.0640569395017788E-2</v>
      </c>
      <c r="X456" s="43">
        <f t="shared" si="97"/>
        <v>0.84994661900000001</v>
      </c>
      <c r="Y456" s="43">
        <v>75.62895528</v>
      </c>
      <c r="Z456" s="43">
        <f t="shared" si="86"/>
        <v>0</v>
      </c>
      <c r="AA456" s="43">
        <f t="shared" si="87"/>
        <v>478718</v>
      </c>
      <c r="AB456" s="43">
        <f t="shared" si="88"/>
        <v>186107</v>
      </c>
      <c r="AC456" s="43">
        <f t="shared" si="98"/>
        <v>7.5967312731255288E-2</v>
      </c>
      <c r="AD456" s="43">
        <f t="shared" si="99"/>
        <v>0.80847972010000058</v>
      </c>
      <c r="AF456" s="43">
        <v>14.443094481918775</v>
      </c>
      <c r="AG456" s="43">
        <v>4.4373332000000001E-2</v>
      </c>
      <c r="AH456" s="43">
        <v>1.0448786E-2</v>
      </c>
      <c r="AI456" s="43">
        <v>0.84223822999999998</v>
      </c>
      <c r="AJ456" s="43">
        <v>3.33768251</v>
      </c>
      <c r="AK456" s="43">
        <v>8.3458633599999992</v>
      </c>
      <c r="AL456" s="43">
        <v>1.0978648000000001E-2</v>
      </c>
      <c r="AM456" s="230">
        <v>6.0640569395017788E-2</v>
      </c>
      <c r="AN456" s="43">
        <v>0.84994661900000001</v>
      </c>
    </row>
    <row r="457" spans="1:40" x14ac:dyDescent="0.25">
      <c r="A457" s="134">
        <v>447</v>
      </c>
      <c r="B457" s="134" t="s">
        <v>209</v>
      </c>
      <c r="C457" s="134" t="s">
        <v>210</v>
      </c>
      <c r="D457" s="134" t="s">
        <v>211</v>
      </c>
      <c r="E457" s="134">
        <v>0</v>
      </c>
      <c r="F457" s="134">
        <v>0</v>
      </c>
      <c r="G457" s="134">
        <v>63</v>
      </c>
      <c r="H457" s="134">
        <v>2782</v>
      </c>
      <c r="I457" s="200">
        <v>9.5440595645599993E-2</v>
      </c>
      <c r="J457" s="134">
        <v>2782</v>
      </c>
      <c r="K457" s="134">
        <v>29149.021767800001</v>
      </c>
      <c r="L457" s="42">
        <v>0.75876424276700005</v>
      </c>
      <c r="M457" s="42">
        <v>1</v>
      </c>
      <c r="N457" s="134">
        <v>1</v>
      </c>
      <c r="O457" s="43" t="s">
        <v>627</v>
      </c>
      <c r="P457" s="43">
        <f t="shared" si="89"/>
        <v>15.193379613939847</v>
      </c>
      <c r="Q457" s="43">
        <f t="shared" si="90"/>
        <v>0.131622762</v>
      </c>
      <c r="R457" s="43">
        <f t="shared" si="91"/>
        <v>1.2729628E-2</v>
      </c>
      <c r="S457" s="43">
        <f t="shared" si="92"/>
        <v>0.758764243</v>
      </c>
      <c r="T457" s="43">
        <f t="shared" si="93"/>
        <v>3.2528069350000002</v>
      </c>
      <c r="U457" s="43">
        <f t="shared" si="94"/>
        <v>7.568978725</v>
      </c>
      <c r="V457" s="43">
        <f t="shared" si="95"/>
        <v>1.8038545999999999E-2</v>
      </c>
      <c r="W457" s="230">
        <f t="shared" si="96"/>
        <v>0.270534684910052</v>
      </c>
      <c r="X457" s="43">
        <f t="shared" si="97"/>
        <v>0.66028039400000005</v>
      </c>
      <c r="Y457" s="43">
        <v>32.096249880000002</v>
      </c>
      <c r="Z457" s="43">
        <f t="shared" si="86"/>
        <v>0</v>
      </c>
      <c r="AA457" s="43">
        <f t="shared" si="87"/>
        <v>478718</v>
      </c>
      <c r="AB457" s="43">
        <f t="shared" si="88"/>
        <v>186107</v>
      </c>
      <c r="AC457" s="43">
        <f t="shared" si="98"/>
        <v>7.5967312731255288E-2</v>
      </c>
      <c r="AD457" s="43">
        <f t="shared" si="99"/>
        <v>0.80847972010000058</v>
      </c>
      <c r="AF457" s="43">
        <v>15.193379613939847</v>
      </c>
      <c r="AG457" s="43">
        <v>0.131622762</v>
      </c>
      <c r="AH457" s="43">
        <v>1.2729628E-2</v>
      </c>
      <c r="AI457" s="43">
        <v>0.758764243</v>
      </c>
      <c r="AJ457" s="43">
        <v>3.2528069350000002</v>
      </c>
      <c r="AK457" s="43">
        <v>7.568978725</v>
      </c>
      <c r="AL457" s="43">
        <v>1.8038545999999999E-2</v>
      </c>
      <c r="AM457" s="230">
        <v>0.270534684910052</v>
      </c>
      <c r="AN457" s="43">
        <v>0.66028039400000005</v>
      </c>
    </row>
    <row r="458" spans="1:40" x14ac:dyDescent="0.25">
      <c r="A458" s="134">
        <v>448</v>
      </c>
      <c r="B458" s="134" t="s">
        <v>209</v>
      </c>
      <c r="C458" s="134" t="s">
        <v>210</v>
      </c>
      <c r="D458" s="134" t="s">
        <v>211</v>
      </c>
      <c r="E458" s="134">
        <v>1580</v>
      </c>
      <c r="F458" s="134">
        <v>5671</v>
      </c>
      <c r="G458" s="134">
        <v>119</v>
      </c>
      <c r="H458" s="134">
        <v>1678</v>
      </c>
      <c r="I458" s="200">
        <v>0.181230948817</v>
      </c>
      <c r="J458" s="134">
        <v>7349</v>
      </c>
      <c r="K458" s="134">
        <v>40550.469155300001</v>
      </c>
      <c r="L458" s="42">
        <v>0.74937176457400001</v>
      </c>
      <c r="M458" s="42">
        <v>0.51503990178000003</v>
      </c>
      <c r="N458" s="134">
        <v>0</v>
      </c>
      <c r="O458" s="43" t="s">
        <v>627</v>
      </c>
      <c r="P458" s="43">
        <f t="shared" si="89"/>
        <v>14.480513516353977</v>
      </c>
      <c r="Q458" s="43">
        <f t="shared" si="90"/>
        <v>9.6122497000000001E-2</v>
      </c>
      <c r="R458" s="43">
        <f t="shared" si="91"/>
        <v>2.3076576000000001E-2</v>
      </c>
      <c r="S458" s="43">
        <f t="shared" si="92"/>
        <v>0.74937176500000002</v>
      </c>
      <c r="T458" s="43">
        <f t="shared" si="93"/>
        <v>3.8762923520000001</v>
      </c>
      <c r="U458" s="43">
        <f t="shared" si="94"/>
        <v>8.5965889579999999</v>
      </c>
      <c r="V458" s="43">
        <f t="shared" si="95"/>
        <v>2.6021995999999999E-2</v>
      </c>
      <c r="W458" s="230">
        <f t="shared" si="96"/>
        <v>0.16730405314457192</v>
      </c>
      <c r="X458" s="43">
        <f t="shared" si="97"/>
        <v>0.73360412399999997</v>
      </c>
      <c r="Y458" s="43">
        <v>76.106820490000004</v>
      </c>
      <c r="Z458" s="43">
        <f t="shared" si="86"/>
        <v>0</v>
      </c>
      <c r="AA458" s="43">
        <f t="shared" si="87"/>
        <v>478718</v>
      </c>
      <c r="AB458" s="43">
        <f t="shared" si="88"/>
        <v>186107</v>
      </c>
      <c r="AC458" s="43">
        <f t="shared" si="98"/>
        <v>7.5967312731255288E-2</v>
      </c>
      <c r="AD458" s="43">
        <f t="shared" si="99"/>
        <v>0.80847972010000058</v>
      </c>
      <c r="AF458" s="43">
        <v>14.480513516353977</v>
      </c>
      <c r="AG458" s="43">
        <v>9.6122497000000001E-2</v>
      </c>
      <c r="AH458" s="43">
        <v>2.3076576000000001E-2</v>
      </c>
      <c r="AI458" s="43">
        <v>0.74937176500000002</v>
      </c>
      <c r="AJ458" s="43">
        <v>3.8762923520000001</v>
      </c>
      <c r="AK458" s="43">
        <v>8.5965889579999999</v>
      </c>
      <c r="AL458" s="43">
        <v>2.6021995999999999E-2</v>
      </c>
      <c r="AM458" s="230">
        <v>0.16730405314457192</v>
      </c>
      <c r="AN458" s="43">
        <v>0.73360412399999997</v>
      </c>
    </row>
    <row r="459" spans="1:40" x14ac:dyDescent="0.25">
      <c r="A459" s="134">
        <v>449</v>
      </c>
      <c r="B459" s="134" t="s">
        <v>209</v>
      </c>
      <c r="C459" s="134" t="s">
        <v>210</v>
      </c>
      <c r="D459" s="134" t="s">
        <v>211</v>
      </c>
      <c r="E459" s="134">
        <v>2975</v>
      </c>
      <c r="F459" s="134">
        <v>10678</v>
      </c>
      <c r="G459" s="134">
        <v>110</v>
      </c>
      <c r="H459" s="134">
        <v>69</v>
      </c>
      <c r="I459" s="200">
        <v>0.16700898554400001</v>
      </c>
      <c r="J459" s="134">
        <v>10747</v>
      </c>
      <c r="K459" s="134">
        <v>64349.831028599998</v>
      </c>
      <c r="L459" s="42">
        <v>0.67889351617299998</v>
      </c>
      <c r="M459" s="42">
        <v>2.2667542706999999E-2</v>
      </c>
      <c r="N459" s="134">
        <v>0</v>
      </c>
      <c r="O459" s="43" t="s">
        <v>664</v>
      </c>
      <c r="P459" s="43">
        <f t="shared" si="89"/>
        <v>14.532476663780699</v>
      </c>
      <c r="Q459" s="43">
        <f t="shared" si="90"/>
        <v>0.13908973299999999</v>
      </c>
      <c r="R459" s="43">
        <f t="shared" si="91"/>
        <v>2.1092521999999999E-2</v>
      </c>
      <c r="S459" s="43">
        <f t="shared" si="92"/>
        <v>0.67889351600000003</v>
      </c>
      <c r="T459" s="43">
        <f t="shared" si="93"/>
        <v>3.6949649020000002</v>
      </c>
      <c r="U459" s="43">
        <f t="shared" si="94"/>
        <v>8.0778194130000003</v>
      </c>
      <c r="V459" s="43">
        <f t="shared" si="95"/>
        <v>1.7174068000000001E-2</v>
      </c>
      <c r="W459" s="230">
        <f t="shared" si="96"/>
        <v>0.32506915732175257</v>
      </c>
      <c r="X459" s="43">
        <f t="shared" si="97"/>
        <v>0.58963681300000004</v>
      </c>
      <c r="Y459" s="43">
        <v>76.538152949999997</v>
      </c>
      <c r="Z459" s="43">
        <f t="shared" ref="Z459:Z522" si="100">IF(B459="Berkeley",1,0)</f>
        <v>0</v>
      </c>
      <c r="AA459" s="43">
        <f t="shared" ref="AA459:AA522" si="101">SUMIFS(F:F,B:B,B459)</f>
        <v>478718</v>
      </c>
      <c r="AB459" s="43">
        <f t="shared" ref="AB459:AB522" si="102">SUMIFS(E:E,B:B,B459)</f>
        <v>186107</v>
      </c>
      <c r="AC459" s="43">
        <f t="shared" si="98"/>
        <v>7.5967312731255288E-2</v>
      </c>
      <c r="AD459" s="43">
        <f t="shared" si="99"/>
        <v>0.80847972010000058</v>
      </c>
      <c r="AF459" s="43">
        <v>14.532476663780699</v>
      </c>
      <c r="AG459" s="43">
        <v>0.13908973299999999</v>
      </c>
      <c r="AH459" s="43">
        <v>2.1092521999999999E-2</v>
      </c>
      <c r="AI459" s="43">
        <v>0.67889351600000003</v>
      </c>
      <c r="AJ459" s="43">
        <v>3.6949649020000002</v>
      </c>
      <c r="AK459" s="43">
        <v>8.0778194130000003</v>
      </c>
      <c r="AL459" s="43">
        <v>1.7174068000000001E-2</v>
      </c>
      <c r="AM459" s="230">
        <v>0.32506915732175257</v>
      </c>
      <c r="AN459" s="43">
        <v>0.58963681300000004</v>
      </c>
    </row>
    <row r="460" spans="1:40" x14ac:dyDescent="0.25">
      <c r="A460" s="134">
        <v>450</v>
      </c>
      <c r="B460" s="134" t="s">
        <v>209</v>
      </c>
      <c r="C460" s="134" t="s">
        <v>210</v>
      </c>
      <c r="D460" s="134" t="s">
        <v>211</v>
      </c>
      <c r="E460" s="134">
        <v>0</v>
      </c>
      <c r="F460" s="134">
        <v>0</v>
      </c>
      <c r="G460" s="134">
        <v>122</v>
      </c>
      <c r="H460" s="134">
        <v>1676</v>
      </c>
      <c r="I460" s="200">
        <v>0.18505666526799999</v>
      </c>
      <c r="J460" s="134">
        <v>1676</v>
      </c>
      <c r="K460" s="134">
        <v>9056.6854081000001</v>
      </c>
      <c r="L460" s="42">
        <v>0.84674393836200001</v>
      </c>
      <c r="M460" s="42">
        <v>1</v>
      </c>
      <c r="N460" s="134">
        <v>0</v>
      </c>
      <c r="O460" s="43" t="s">
        <v>664</v>
      </c>
      <c r="P460" s="43">
        <f t="shared" ref="P460:P523" si="103">IF(OR(IFERROR(AF460=0,TRUE),ISERROR(AF460)),AVERAGEIFS(AF:AF,$B:$B,$B460,AF:AF,"&gt;0"),AF460)</f>
        <v>14.157490252275489</v>
      </c>
      <c r="Q460" s="43">
        <f t="shared" ref="Q460:Q523" si="104">IF(OR(IFERROR(AG460=0,TRUE),ISERROR(AG460)),AVERAGEIFS(AG:AG,$B:$B,$B460,AG:AG,"&gt;0"),AG460)</f>
        <v>6.7822224E-2</v>
      </c>
      <c r="R460" s="43">
        <f t="shared" ref="R460:R523" si="105">IF(OR(IFERROR(AH460=0,TRUE),ISERROR(AH460)),AVERAGEIFS(AH:AH,$B:$B,$B460,AH:AH,"&gt;0"),AH460)</f>
        <v>9.5901979999999994E-3</v>
      </c>
      <c r="S460" s="43">
        <f t="shared" ref="S460:S523" si="106">IF(OR(IFERROR(AI460=0,TRUE),ISERROR(AI460)),AVERAGEIFS(AI:AI,$B:$B,$B460,AI:AI,"&gt;0"),AI460)</f>
        <v>0.84674393800000003</v>
      </c>
      <c r="T460" s="43">
        <f t="shared" ref="T460:T523" si="107">IF(OR(IFERROR(AJ460=0,TRUE),ISERROR(AJ460)),AVERAGEIFS(AJ:AJ,$B:$B,$B460,AJ:AJ,"&gt;0"),AJ460)</f>
        <v>3.6536464770000001</v>
      </c>
      <c r="U460" s="43">
        <f t="shared" ref="U460:U523" si="108">IF(OR(IFERROR(AK460=0,TRUE),ISERROR(AK460)),AVERAGEIFS(AK:AK,$B:$B,$B460,AK:AK,"&gt;0"),AK460)</f>
        <v>8.8042417549999996</v>
      </c>
      <c r="V460" s="43">
        <f t="shared" ref="V460:V523" si="109">IF(OR(IFERROR(AL460=0,TRUE),ISERROR(AL460)),AVERAGEIFS(AL:AL,$B:$B,$B460,AL:AL,"&gt;0"),AL460)</f>
        <v>1.0709935E-2</v>
      </c>
      <c r="W460" s="230">
        <f t="shared" ref="W460:W523" si="110">IF(OR(IFERROR(AM460=0,TRUE),ISERROR(AM460)),AVERAGEIFS(AM:AM,$B:$B,$B460,AM:AM,"&gt;0"),AM460)</f>
        <v>6.8752729194916221E-2</v>
      </c>
      <c r="X460" s="43">
        <f t="shared" ref="X460:X523" si="111">IF(OR(IFERROR(AN460=0,TRUE),ISERROR(AN460)),AVERAGEIFS(AN:AN,$B:$B,$B460,AN:AN,"&gt;0"),AN460)</f>
        <v>0.86097768399999997</v>
      </c>
      <c r="Y460" s="43">
        <v>54.085086310000001</v>
      </c>
      <c r="Z460" s="43">
        <f t="shared" si="100"/>
        <v>0</v>
      </c>
      <c r="AA460" s="43">
        <f t="shared" si="101"/>
        <v>478718</v>
      </c>
      <c r="AB460" s="43">
        <f t="shared" si="102"/>
        <v>186107</v>
      </c>
      <c r="AC460" s="43">
        <f t="shared" ref="AC460:AC523" si="112">AVERAGEIFS(Q:Q,B:B,B460,N:N,0,Q:Q,"&gt;0")</f>
        <v>7.5967312731255288E-2</v>
      </c>
      <c r="AD460" s="43">
        <f t="shared" ref="AD460:AD523" si="113">AVERAGEIFS(S:S,B:B,B460,N:N,0,S:S,"&gt;0")</f>
        <v>0.80847972010000058</v>
      </c>
      <c r="AF460" s="43">
        <v>14.157490252275489</v>
      </c>
      <c r="AG460" s="43">
        <v>6.7822224E-2</v>
      </c>
      <c r="AH460" s="43">
        <v>9.5901979999999994E-3</v>
      </c>
      <c r="AI460" s="43">
        <v>0.84674393800000003</v>
      </c>
      <c r="AJ460" s="43">
        <v>3.6536464770000001</v>
      </c>
      <c r="AK460" s="43">
        <v>8.8042417549999996</v>
      </c>
      <c r="AL460" s="43">
        <v>1.0709935E-2</v>
      </c>
      <c r="AM460" s="230">
        <v>6.8752729194916221E-2</v>
      </c>
      <c r="AN460" s="43">
        <v>0.86097768399999997</v>
      </c>
    </row>
    <row r="461" spans="1:40" x14ac:dyDescent="0.25">
      <c r="A461" s="134">
        <v>451</v>
      </c>
      <c r="B461" s="134" t="s">
        <v>209</v>
      </c>
      <c r="C461" s="134" t="s">
        <v>210</v>
      </c>
      <c r="D461" s="134" t="s">
        <v>211</v>
      </c>
      <c r="E461" s="134">
        <v>2228</v>
      </c>
      <c r="F461" s="134">
        <v>7996</v>
      </c>
      <c r="G461" s="134">
        <v>126</v>
      </c>
      <c r="H461" s="134">
        <v>1500</v>
      </c>
      <c r="I461" s="200">
        <v>0.19203191985699999</v>
      </c>
      <c r="J461" s="134">
        <v>9496</v>
      </c>
      <c r="K461" s="134">
        <v>49450.112289099998</v>
      </c>
      <c r="L461" s="42">
        <v>0.73953948564799998</v>
      </c>
      <c r="M461" s="42">
        <v>0.40236051502100001</v>
      </c>
      <c r="N461" s="134">
        <v>0</v>
      </c>
      <c r="O461" s="43" t="s">
        <v>627</v>
      </c>
      <c r="P461" s="43">
        <f t="shared" si="103"/>
        <v>13.947338849977465</v>
      </c>
      <c r="Q461" s="43">
        <f t="shared" si="104"/>
        <v>0.108948323</v>
      </c>
      <c r="R461" s="43">
        <f t="shared" si="105"/>
        <v>2.2673944000000001E-2</v>
      </c>
      <c r="S461" s="43">
        <f t="shared" si="106"/>
        <v>0.73953948599999997</v>
      </c>
      <c r="T461" s="43">
        <f t="shared" si="107"/>
        <v>3.9134514390000001</v>
      </c>
      <c r="U461" s="43">
        <f t="shared" si="108"/>
        <v>8.3923192340000003</v>
      </c>
      <c r="V461" s="43">
        <f t="shared" si="109"/>
        <v>2.5996286E-2</v>
      </c>
      <c r="W461" s="230">
        <f t="shared" si="110"/>
        <v>0.20396465101258826</v>
      </c>
      <c r="X461" s="43">
        <f t="shared" si="111"/>
        <v>0.69866727100000003</v>
      </c>
      <c r="Y461" s="43">
        <v>59.475816819999999</v>
      </c>
      <c r="Z461" s="43">
        <f t="shared" si="100"/>
        <v>0</v>
      </c>
      <c r="AA461" s="43">
        <f t="shared" si="101"/>
        <v>478718</v>
      </c>
      <c r="AB461" s="43">
        <f t="shared" si="102"/>
        <v>186107</v>
      </c>
      <c r="AC461" s="43">
        <f t="shared" si="112"/>
        <v>7.5967312731255288E-2</v>
      </c>
      <c r="AD461" s="43">
        <f t="shared" si="113"/>
        <v>0.80847972010000058</v>
      </c>
      <c r="AF461" s="43">
        <v>13.947338849977465</v>
      </c>
      <c r="AG461" s="43">
        <v>0.108948323</v>
      </c>
      <c r="AH461" s="43">
        <v>2.2673944000000001E-2</v>
      </c>
      <c r="AI461" s="43">
        <v>0.73953948599999997</v>
      </c>
      <c r="AJ461" s="43">
        <v>3.9134514390000001</v>
      </c>
      <c r="AK461" s="43">
        <v>8.3923192340000003</v>
      </c>
      <c r="AL461" s="43">
        <v>2.5996286E-2</v>
      </c>
      <c r="AM461" s="230">
        <v>0.20396465101258826</v>
      </c>
      <c r="AN461" s="43">
        <v>0.69866727100000003</v>
      </c>
    </row>
    <row r="462" spans="1:40" x14ac:dyDescent="0.25">
      <c r="A462" s="134">
        <v>452</v>
      </c>
      <c r="B462" s="134" t="s">
        <v>209</v>
      </c>
      <c r="C462" s="134" t="s">
        <v>210</v>
      </c>
      <c r="D462" s="134" t="s">
        <v>211</v>
      </c>
      <c r="E462" s="134">
        <v>912</v>
      </c>
      <c r="F462" s="134">
        <v>3274</v>
      </c>
      <c r="G462" s="134">
        <v>37</v>
      </c>
      <c r="H462" s="134">
        <v>20</v>
      </c>
      <c r="I462" s="200">
        <v>5.6136733553499997E-2</v>
      </c>
      <c r="J462" s="134">
        <v>3294</v>
      </c>
      <c r="K462" s="134">
        <v>58678.155843499997</v>
      </c>
      <c r="L462" s="42">
        <v>0.70046242555600002</v>
      </c>
      <c r="M462" s="42">
        <v>2.1459227467800001E-2</v>
      </c>
      <c r="N462" s="134">
        <v>0</v>
      </c>
      <c r="O462" s="43" t="s">
        <v>664</v>
      </c>
      <c r="P462" s="43">
        <f t="shared" si="103"/>
        <v>13.614650842806034</v>
      </c>
      <c r="Q462" s="43">
        <f t="shared" si="104"/>
        <v>0.14991354900000001</v>
      </c>
      <c r="R462" s="43">
        <f t="shared" si="105"/>
        <v>2.2036242000000001E-2</v>
      </c>
      <c r="S462" s="43">
        <f t="shared" si="106"/>
        <v>0.70046242599999997</v>
      </c>
      <c r="T462" s="43">
        <f t="shared" si="107"/>
        <v>4.0078048180000003</v>
      </c>
      <c r="U462" s="43">
        <f t="shared" si="108"/>
        <v>8.5861186719999996</v>
      </c>
      <c r="V462" s="43">
        <f t="shared" si="109"/>
        <v>1.4024717000000001E-2</v>
      </c>
      <c r="W462" s="230">
        <f t="shared" si="110"/>
        <v>0.31497834865956309</v>
      </c>
      <c r="X462" s="43">
        <f t="shared" si="111"/>
        <v>0.59885418199999996</v>
      </c>
      <c r="Y462" s="43">
        <v>60.328257579999999</v>
      </c>
      <c r="Z462" s="43">
        <f t="shared" si="100"/>
        <v>0</v>
      </c>
      <c r="AA462" s="43">
        <f t="shared" si="101"/>
        <v>478718</v>
      </c>
      <c r="AB462" s="43">
        <f t="shared" si="102"/>
        <v>186107</v>
      </c>
      <c r="AC462" s="43">
        <f t="shared" si="112"/>
        <v>7.5967312731255288E-2</v>
      </c>
      <c r="AD462" s="43">
        <f t="shared" si="113"/>
        <v>0.80847972010000058</v>
      </c>
      <c r="AF462" s="43">
        <v>13.614650842806034</v>
      </c>
      <c r="AG462" s="43">
        <v>0.14991354900000001</v>
      </c>
      <c r="AH462" s="43">
        <v>2.2036242000000001E-2</v>
      </c>
      <c r="AI462" s="43">
        <v>0.70046242599999997</v>
      </c>
      <c r="AJ462" s="43">
        <v>4.0078048180000003</v>
      </c>
      <c r="AK462" s="43">
        <v>8.5861186719999996</v>
      </c>
      <c r="AL462" s="43">
        <v>1.4024717000000001E-2</v>
      </c>
      <c r="AM462" s="230">
        <v>0.31497834865956309</v>
      </c>
      <c r="AN462" s="43">
        <v>0.59885418199999996</v>
      </c>
    </row>
    <row r="463" spans="1:40" x14ac:dyDescent="0.25">
      <c r="A463" s="134">
        <v>453</v>
      </c>
      <c r="B463" s="134" t="s">
        <v>209</v>
      </c>
      <c r="C463" s="134" t="s">
        <v>210</v>
      </c>
      <c r="D463" s="134" t="s">
        <v>211</v>
      </c>
      <c r="E463" s="134">
        <v>0</v>
      </c>
      <c r="F463" s="134">
        <v>0</v>
      </c>
      <c r="G463" s="134">
        <v>2305</v>
      </c>
      <c r="H463" s="134">
        <v>869</v>
      </c>
      <c r="I463" s="200">
        <v>1.5897153718499999</v>
      </c>
      <c r="J463" s="134">
        <v>869</v>
      </c>
      <c r="K463" s="134">
        <v>546.638735075</v>
      </c>
      <c r="L463" s="42">
        <v>0.93413758998999996</v>
      </c>
      <c r="M463" s="42">
        <v>1</v>
      </c>
      <c r="N463" s="134">
        <v>1</v>
      </c>
      <c r="O463" s="43" t="s">
        <v>665</v>
      </c>
      <c r="P463" s="43">
        <f t="shared" si="103"/>
        <v>21.294206345501987</v>
      </c>
      <c r="Q463" s="43">
        <f t="shared" si="104"/>
        <v>4.2798491000000001E-2</v>
      </c>
      <c r="R463" s="43">
        <f t="shared" si="105"/>
        <v>8.1882369999999993E-3</v>
      </c>
      <c r="S463" s="43">
        <f t="shared" si="106"/>
        <v>0.93413758999999996</v>
      </c>
      <c r="T463" s="43">
        <f t="shared" si="107"/>
        <v>5.3894516240000003</v>
      </c>
      <c r="U463" s="43">
        <f t="shared" si="108"/>
        <v>18.675578550000001</v>
      </c>
      <c r="V463" s="43">
        <f t="shared" si="109"/>
        <v>8.1865759999999992E-3</v>
      </c>
      <c r="W463" s="230">
        <f t="shared" si="110"/>
        <v>1.4162953532781668E-2</v>
      </c>
      <c r="X463" s="43">
        <f t="shared" si="111"/>
        <v>0.95943843299999998</v>
      </c>
      <c r="Y463" s="43">
        <v>7.291666931</v>
      </c>
      <c r="Z463" s="43">
        <f t="shared" si="100"/>
        <v>0</v>
      </c>
      <c r="AA463" s="43">
        <f t="shared" si="101"/>
        <v>478718</v>
      </c>
      <c r="AB463" s="43">
        <f t="shared" si="102"/>
        <v>186107</v>
      </c>
      <c r="AC463" s="43">
        <f t="shared" si="112"/>
        <v>7.5967312731255288E-2</v>
      </c>
      <c r="AD463" s="43">
        <f t="shared" si="113"/>
        <v>0.80847972010000058</v>
      </c>
      <c r="AF463" s="43">
        <v>21.294206345501987</v>
      </c>
      <c r="AG463" s="43">
        <v>4.2798491000000001E-2</v>
      </c>
      <c r="AH463" s="43">
        <v>8.1882369999999993E-3</v>
      </c>
      <c r="AI463" s="43">
        <v>0.93413758999999996</v>
      </c>
      <c r="AJ463" s="43">
        <v>5.3894516240000003</v>
      </c>
      <c r="AK463" s="43">
        <v>18.675578550000001</v>
      </c>
      <c r="AL463" s="43">
        <v>8.1865759999999992E-3</v>
      </c>
      <c r="AM463" s="230">
        <v>1.4162953532781668E-2</v>
      </c>
      <c r="AN463" s="43">
        <v>0.95943843299999998</v>
      </c>
    </row>
    <row r="464" spans="1:40" x14ac:dyDescent="0.25">
      <c r="A464" s="134">
        <v>454</v>
      </c>
      <c r="B464" s="134" t="s">
        <v>209</v>
      </c>
      <c r="C464" s="134" t="s">
        <v>210</v>
      </c>
      <c r="D464" s="134" t="s">
        <v>211</v>
      </c>
      <c r="E464" s="134">
        <v>0</v>
      </c>
      <c r="F464" s="134">
        <v>0</v>
      </c>
      <c r="G464" s="134">
        <v>124</v>
      </c>
      <c r="H464" s="134">
        <v>895</v>
      </c>
      <c r="I464" s="200">
        <v>0.21000842024800001</v>
      </c>
      <c r="J464" s="134">
        <v>895</v>
      </c>
      <c r="K464" s="134">
        <v>4261.7338816299998</v>
      </c>
      <c r="L464" s="42">
        <v>0.97066218629599998</v>
      </c>
      <c r="M464" s="42">
        <v>1</v>
      </c>
      <c r="N464" s="134">
        <v>0</v>
      </c>
      <c r="O464" s="43" t="s">
        <v>666</v>
      </c>
      <c r="P464" s="43">
        <f t="shared" si="103"/>
        <v>15.1584282997951</v>
      </c>
      <c r="Q464" s="43">
        <f t="shared" si="104"/>
        <v>3.5247669999999998E-3</v>
      </c>
      <c r="R464" s="43">
        <f t="shared" si="105"/>
        <v>8.7649219999999996E-3</v>
      </c>
      <c r="S464" s="43">
        <f t="shared" si="106"/>
        <v>0.97066218599999998</v>
      </c>
      <c r="T464" s="43">
        <f t="shared" si="107"/>
        <v>5.4127310059999996</v>
      </c>
      <c r="U464" s="43">
        <f t="shared" si="108"/>
        <v>9.7932207479999995</v>
      </c>
      <c r="V464" s="43">
        <f t="shared" si="109"/>
        <v>8.9952950000000004E-3</v>
      </c>
      <c r="W464" s="230">
        <f t="shared" si="110"/>
        <v>1.6211300462615158E-3</v>
      </c>
      <c r="X464" s="43">
        <f t="shared" si="111"/>
        <v>0.97014748299999998</v>
      </c>
      <c r="Y464" s="43">
        <v>8.4965132390000004</v>
      </c>
      <c r="Z464" s="43">
        <f t="shared" si="100"/>
        <v>0</v>
      </c>
      <c r="AA464" s="43">
        <f t="shared" si="101"/>
        <v>478718</v>
      </c>
      <c r="AB464" s="43">
        <f t="shared" si="102"/>
        <v>186107</v>
      </c>
      <c r="AC464" s="43">
        <f t="shared" si="112"/>
        <v>7.5967312731255288E-2</v>
      </c>
      <c r="AD464" s="43">
        <f t="shared" si="113"/>
        <v>0.80847972010000058</v>
      </c>
      <c r="AF464" s="43">
        <v>15.1584282997951</v>
      </c>
      <c r="AG464" s="43">
        <v>3.5247669999999998E-3</v>
      </c>
      <c r="AH464" s="43">
        <v>8.7649219999999996E-3</v>
      </c>
      <c r="AI464" s="43">
        <v>0.97066218599999998</v>
      </c>
      <c r="AJ464" s="43">
        <v>5.4127310059999996</v>
      </c>
      <c r="AK464" s="43">
        <v>9.7932207479999995</v>
      </c>
      <c r="AL464" s="43">
        <v>8.9952950000000004E-3</v>
      </c>
      <c r="AM464" s="230">
        <v>1.6211300462615158E-3</v>
      </c>
      <c r="AN464" s="43">
        <v>0.97014748299999998</v>
      </c>
    </row>
    <row r="465" spans="1:40" x14ac:dyDescent="0.25">
      <c r="A465" s="134">
        <v>455</v>
      </c>
      <c r="B465" s="134" t="s">
        <v>216</v>
      </c>
      <c r="C465" s="134" t="s">
        <v>210</v>
      </c>
      <c r="D465" s="134" t="s">
        <v>211</v>
      </c>
      <c r="E465" s="134">
        <v>579</v>
      </c>
      <c r="F465" s="134">
        <v>1631</v>
      </c>
      <c r="G465" s="134">
        <v>183</v>
      </c>
      <c r="H465" s="134">
        <v>779</v>
      </c>
      <c r="I465" s="200">
        <v>0.29219276816400003</v>
      </c>
      <c r="J465" s="134">
        <v>2410</v>
      </c>
      <c r="K465" s="134">
        <v>8247.9796305100008</v>
      </c>
      <c r="L465" s="42">
        <v>0.86320714334600002</v>
      </c>
      <c r="M465" s="42">
        <v>0.57363770250400004</v>
      </c>
      <c r="N465" s="134">
        <v>0</v>
      </c>
      <c r="O465" s="43" t="s">
        <v>666</v>
      </c>
      <c r="P465" s="43">
        <f t="shared" si="103"/>
        <v>12.263010438365368</v>
      </c>
      <c r="Q465" s="43">
        <f t="shared" si="104"/>
        <v>5.9058455000000003E-2</v>
      </c>
      <c r="R465" s="43">
        <f t="shared" si="105"/>
        <v>1.3834669000000001E-2</v>
      </c>
      <c r="S465" s="43">
        <f t="shared" si="106"/>
        <v>0.86320714300000001</v>
      </c>
      <c r="T465" s="43">
        <f t="shared" si="107"/>
        <v>3.0098289610000002</v>
      </c>
      <c r="U465" s="43">
        <f t="shared" si="108"/>
        <v>8.5027087800000007</v>
      </c>
      <c r="V465" s="43">
        <f t="shared" si="109"/>
        <v>9.4297140000000005E-3</v>
      </c>
      <c r="W465" s="230">
        <f t="shared" si="110"/>
        <v>0.12344052128307687</v>
      </c>
      <c r="X465" s="43">
        <f t="shared" si="111"/>
        <v>0.83758906600000005</v>
      </c>
      <c r="Y465" s="43">
        <v>167.2520974</v>
      </c>
      <c r="Z465" s="43">
        <f t="shared" si="100"/>
        <v>0</v>
      </c>
      <c r="AA465" s="43">
        <f t="shared" si="101"/>
        <v>10648</v>
      </c>
      <c r="AB465" s="43">
        <f t="shared" si="102"/>
        <v>3776</v>
      </c>
      <c r="AC465" s="43">
        <f t="shared" si="112"/>
        <v>6.8143743166666659E-2</v>
      </c>
      <c r="AD465" s="43">
        <f t="shared" si="113"/>
        <v>0.83623095533333325</v>
      </c>
      <c r="AF465" s="43">
        <v>12.263010438365368</v>
      </c>
      <c r="AG465" s="43">
        <v>5.9058455000000003E-2</v>
      </c>
      <c r="AH465" s="43">
        <v>1.3834669000000001E-2</v>
      </c>
      <c r="AI465" s="43">
        <v>0.86320714300000001</v>
      </c>
      <c r="AJ465" s="43">
        <v>3.0098289610000002</v>
      </c>
      <c r="AK465" s="43">
        <v>8.5027087800000007</v>
      </c>
      <c r="AL465" s="43">
        <v>9.4297140000000005E-3</v>
      </c>
      <c r="AM465" s="230">
        <v>0.12344052128307687</v>
      </c>
      <c r="AN465" s="43">
        <v>0.83758906600000005</v>
      </c>
    </row>
    <row r="466" spans="1:40" x14ac:dyDescent="0.25">
      <c r="A466" s="134">
        <v>456</v>
      </c>
      <c r="B466" s="134" t="s">
        <v>216</v>
      </c>
      <c r="C466" s="134" t="s">
        <v>210</v>
      </c>
      <c r="D466" s="134" t="s">
        <v>211</v>
      </c>
      <c r="E466" s="134">
        <v>1036</v>
      </c>
      <c r="F466" s="134">
        <v>2918</v>
      </c>
      <c r="G466" s="134">
        <v>361</v>
      </c>
      <c r="H466" s="134">
        <v>203</v>
      </c>
      <c r="I466" s="200">
        <v>0.575850686291</v>
      </c>
      <c r="J466" s="134">
        <v>3121</v>
      </c>
      <c r="K466" s="134">
        <v>5419.8077284600004</v>
      </c>
      <c r="L466" s="42">
        <v>0.86179060230399995</v>
      </c>
      <c r="M466" s="42">
        <v>0.16384180791</v>
      </c>
      <c r="N466" s="134">
        <v>0</v>
      </c>
      <c r="O466" s="43" t="s">
        <v>666</v>
      </c>
      <c r="P466" s="43">
        <f t="shared" si="103"/>
        <v>11.687418976422906</v>
      </c>
      <c r="Q466" s="43">
        <f t="shared" si="104"/>
        <v>7.1430764999999993E-2</v>
      </c>
      <c r="R466" s="43">
        <f t="shared" si="105"/>
        <v>1.2910557E-2</v>
      </c>
      <c r="S466" s="43">
        <f t="shared" si="106"/>
        <v>0.86179060200000002</v>
      </c>
      <c r="T466" s="43">
        <f t="shared" si="107"/>
        <v>3.0511470479999998</v>
      </c>
      <c r="U466" s="43">
        <f t="shared" si="108"/>
        <v>8.2347717679999999</v>
      </c>
      <c r="V466" s="43">
        <f t="shared" si="109"/>
        <v>4.2014799999999996E-3</v>
      </c>
      <c r="W466" s="230">
        <f t="shared" si="110"/>
        <v>0.16722739386361349</v>
      </c>
      <c r="X466" s="43">
        <f t="shared" si="111"/>
        <v>0.81221025400000002</v>
      </c>
      <c r="Y466" s="43">
        <v>115.11171059999999</v>
      </c>
      <c r="Z466" s="43">
        <f t="shared" si="100"/>
        <v>0</v>
      </c>
      <c r="AA466" s="43">
        <f t="shared" si="101"/>
        <v>10648</v>
      </c>
      <c r="AB466" s="43">
        <f t="shared" si="102"/>
        <v>3776</v>
      </c>
      <c r="AC466" s="43">
        <f t="shared" si="112"/>
        <v>6.8143743166666659E-2</v>
      </c>
      <c r="AD466" s="43">
        <f t="shared" si="113"/>
        <v>0.83623095533333325</v>
      </c>
      <c r="AF466" s="43">
        <v>11.687418976422906</v>
      </c>
      <c r="AG466" s="43">
        <v>7.1430764999999993E-2</v>
      </c>
      <c r="AH466" s="43">
        <v>1.2910557E-2</v>
      </c>
      <c r="AI466" s="43">
        <v>0.86179060200000002</v>
      </c>
      <c r="AJ466" s="43">
        <v>3.0511470479999998</v>
      </c>
      <c r="AK466" s="43">
        <v>8.2347717679999999</v>
      </c>
      <c r="AL466" s="43">
        <v>4.2014799999999996E-3</v>
      </c>
      <c r="AM466" s="230">
        <v>0.16722739386361349</v>
      </c>
      <c r="AN466" s="43">
        <v>0.81221025400000002</v>
      </c>
    </row>
    <row r="467" spans="1:40" x14ac:dyDescent="0.25">
      <c r="A467" s="134">
        <v>457</v>
      </c>
      <c r="B467" s="134" t="s">
        <v>216</v>
      </c>
      <c r="C467" s="134" t="s">
        <v>210</v>
      </c>
      <c r="D467" s="134" t="s">
        <v>211</v>
      </c>
      <c r="E467" s="134">
        <v>483</v>
      </c>
      <c r="F467" s="134">
        <v>1360</v>
      </c>
      <c r="G467" s="134">
        <v>184</v>
      </c>
      <c r="H467" s="134">
        <v>291</v>
      </c>
      <c r="I467" s="200">
        <v>0.29385313909999999</v>
      </c>
      <c r="J467" s="134">
        <v>1651</v>
      </c>
      <c r="K467" s="134">
        <v>5618.45282666</v>
      </c>
      <c r="L467" s="42">
        <v>0.885968301859</v>
      </c>
      <c r="M467" s="42">
        <v>0.37596899224800001</v>
      </c>
      <c r="N467" s="134">
        <v>0</v>
      </c>
      <c r="O467" s="43" t="s">
        <v>666</v>
      </c>
      <c r="P467" s="43">
        <f t="shared" si="103"/>
        <v>13.078871081121292</v>
      </c>
      <c r="Q467" s="43">
        <f t="shared" si="104"/>
        <v>5.7665020999999997E-2</v>
      </c>
      <c r="R467" s="43">
        <f t="shared" si="105"/>
        <v>1.295871E-2</v>
      </c>
      <c r="S467" s="43">
        <f t="shared" si="106"/>
        <v>0.88596830199999999</v>
      </c>
      <c r="T467" s="43">
        <f t="shared" si="107"/>
        <v>3.456914067</v>
      </c>
      <c r="U467" s="43">
        <f t="shared" si="108"/>
        <v>9.4274380880000006</v>
      </c>
      <c r="V467" s="43">
        <f t="shared" si="109"/>
        <v>5.9806260000000002E-3</v>
      </c>
      <c r="W467" s="230">
        <f t="shared" si="110"/>
        <v>0.11190395186849784</v>
      </c>
      <c r="X467" s="43">
        <f t="shared" si="111"/>
        <v>0.864728634</v>
      </c>
      <c r="Y467" s="43">
        <v>101.6181418</v>
      </c>
      <c r="Z467" s="43">
        <f t="shared" si="100"/>
        <v>0</v>
      </c>
      <c r="AA467" s="43">
        <f t="shared" si="101"/>
        <v>10648</v>
      </c>
      <c r="AB467" s="43">
        <f t="shared" si="102"/>
        <v>3776</v>
      </c>
      <c r="AC467" s="43">
        <f t="shared" si="112"/>
        <v>6.8143743166666659E-2</v>
      </c>
      <c r="AD467" s="43">
        <f t="shared" si="113"/>
        <v>0.83623095533333325</v>
      </c>
      <c r="AF467" s="43">
        <v>13.078871081121292</v>
      </c>
      <c r="AG467" s="43">
        <v>5.7665020999999997E-2</v>
      </c>
      <c r="AH467" s="43">
        <v>1.295871E-2</v>
      </c>
      <c r="AI467" s="43">
        <v>0.88596830199999999</v>
      </c>
      <c r="AJ467" s="43">
        <v>3.456914067</v>
      </c>
      <c r="AK467" s="43">
        <v>9.4274380880000006</v>
      </c>
      <c r="AL467" s="43">
        <v>5.9806260000000002E-3</v>
      </c>
      <c r="AM467" s="230">
        <v>0.11190395186849784</v>
      </c>
      <c r="AN467" s="43">
        <v>0.864728634</v>
      </c>
    </row>
    <row r="468" spans="1:40" x14ac:dyDescent="0.25">
      <c r="A468" s="134">
        <v>458</v>
      </c>
      <c r="B468" s="134" t="s">
        <v>216</v>
      </c>
      <c r="C468" s="134" t="s">
        <v>210</v>
      </c>
      <c r="D468" s="134" t="s">
        <v>211</v>
      </c>
      <c r="E468" s="134">
        <v>470</v>
      </c>
      <c r="F468" s="134">
        <v>1328</v>
      </c>
      <c r="G468" s="134">
        <v>84</v>
      </c>
      <c r="H468" s="134">
        <v>253</v>
      </c>
      <c r="I468" s="200">
        <v>0.13088851406499999</v>
      </c>
      <c r="J468" s="134">
        <v>1581</v>
      </c>
      <c r="K468" s="134">
        <v>12078.981958799999</v>
      </c>
      <c r="L468" s="42">
        <v>0.78932530873499995</v>
      </c>
      <c r="M468" s="42">
        <v>0.34993084370700001</v>
      </c>
      <c r="N468" s="134">
        <v>0</v>
      </c>
      <c r="O468" s="43" t="s">
        <v>664</v>
      </c>
      <c r="P468" s="43">
        <f t="shared" si="103"/>
        <v>11.146500512391162</v>
      </c>
      <c r="Q468" s="43">
        <f t="shared" si="104"/>
        <v>7.6084399999999996E-2</v>
      </c>
      <c r="R468" s="43">
        <f t="shared" si="105"/>
        <v>3.3855383000000003E-2</v>
      </c>
      <c r="S468" s="43">
        <f t="shared" si="106"/>
        <v>0.78932530899999997</v>
      </c>
      <c r="T468" s="43">
        <f t="shared" si="107"/>
        <v>2.66587328</v>
      </c>
      <c r="U468" s="43">
        <f t="shared" si="108"/>
        <v>6.981133818</v>
      </c>
      <c r="V468" s="43">
        <f t="shared" si="109"/>
        <v>1.0544534E-2</v>
      </c>
      <c r="W468" s="230">
        <f t="shared" si="110"/>
        <v>0.14501671954958709</v>
      </c>
      <c r="X468" s="43">
        <f t="shared" si="111"/>
        <v>0.79369250999999996</v>
      </c>
      <c r="Y468" s="43">
        <v>172.48355720000001</v>
      </c>
      <c r="Z468" s="43">
        <f t="shared" si="100"/>
        <v>0</v>
      </c>
      <c r="AA468" s="43">
        <f t="shared" si="101"/>
        <v>10648</v>
      </c>
      <c r="AB468" s="43">
        <f t="shared" si="102"/>
        <v>3776</v>
      </c>
      <c r="AC468" s="43">
        <f t="shared" si="112"/>
        <v>6.8143743166666659E-2</v>
      </c>
      <c r="AD468" s="43">
        <f t="shared" si="113"/>
        <v>0.83623095533333325</v>
      </c>
      <c r="AF468" s="43">
        <v>11.146500512391162</v>
      </c>
      <c r="AG468" s="43">
        <v>7.6084399999999996E-2</v>
      </c>
      <c r="AH468" s="43">
        <v>3.3855383000000003E-2</v>
      </c>
      <c r="AI468" s="43">
        <v>0.78932530899999997</v>
      </c>
      <c r="AJ468" s="43">
        <v>2.66587328</v>
      </c>
      <c r="AK468" s="43">
        <v>6.981133818</v>
      </c>
      <c r="AL468" s="43">
        <v>1.0544534E-2</v>
      </c>
      <c r="AM468" s="230">
        <v>0.14501671954958709</v>
      </c>
      <c r="AN468" s="43">
        <v>0.79369250999999996</v>
      </c>
    </row>
    <row r="469" spans="1:40" x14ac:dyDescent="0.25">
      <c r="A469" s="134">
        <v>459</v>
      </c>
      <c r="B469" s="134" t="s">
        <v>216</v>
      </c>
      <c r="C469" s="134" t="s">
        <v>210</v>
      </c>
      <c r="D469" s="134" t="s">
        <v>211</v>
      </c>
      <c r="E469" s="134">
        <v>507</v>
      </c>
      <c r="F469" s="134">
        <v>1431</v>
      </c>
      <c r="G469" s="134">
        <v>112</v>
      </c>
      <c r="H469" s="134">
        <v>428</v>
      </c>
      <c r="I469" s="200">
        <v>0.175205574738</v>
      </c>
      <c r="J469" s="134">
        <v>1859</v>
      </c>
      <c r="K469" s="134">
        <v>10610.3929785</v>
      </c>
      <c r="L469" s="42">
        <v>0.80891471647099999</v>
      </c>
      <c r="M469" s="42">
        <v>0.45775401069499999</v>
      </c>
      <c r="N469" s="134">
        <v>0</v>
      </c>
      <c r="O469" s="43" t="s">
        <v>664</v>
      </c>
      <c r="P469" s="43">
        <f t="shared" si="103"/>
        <v>11.624253274937789</v>
      </c>
      <c r="Q469" s="43">
        <f t="shared" si="104"/>
        <v>7.1730731000000006E-2</v>
      </c>
      <c r="R469" s="43">
        <f t="shared" si="105"/>
        <v>3.1845638000000002E-2</v>
      </c>
      <c r="S469" s="43">
        <f t="shared" si="106"/>
        <v>0.80891471599999998</v>
      </c>
      <c r="T469" s="43">
        <f t="shared" si="107"/>
        <v>2.8149530189999998</v>
      </c>
      <c r="U469" s="43">
        <f t="shared" si="108"/>
        <v>7.4227991449999999</v>
      </c>
      <c r="V469" s="43">
        <f t="shared" si="109"/>
        <v>1.0659418E-2</v>
      </c>
      <c r="W469" s="230">
        <f t="shared" si="110"/>
        <v>0.13327519667507792</v>
      </c>
      <c r="X469" s="43">
        <f t="shared" si="111"/>
        <v>0.81327927899999997</v>
      </c>
      <c r="Y469" s="43">
        <v>144.26308230000001</v>
      </c>
      <c r="Z469" s="43">
        <f t="shared" si="100"/>
        <v>0</v>
      </c>
      <c r="AA469" s="43">
        <f t="shared" si="101"/>
        <v>10648</v>
      </c>
      <c r="AB469" s="43">
        <f t="shared" si="102"/>
        <v>3776</v>
      </c>
      <c r="AC469" s="43">
        <f t="shared" si="112"/>
        <v>6.8143743166666659E-2</v>
      </c>
      <c r="AD469" s="43">
        <f t="shared" si="113"/>
        <v>0.83623095533333325</v>
      </c>
      <c r="AF469" s="43">
        <v>11.624253274937789</v>
      </c>
      <c r="AG469" s="43">
        <v>7.1730731000000006E-2</v>
      </c>
      <c r="AH469" s="43">
        <v>3.1845638000000002E-2</v>
      </c>
      <c r="AI469" s="43">
        <v>0.80891471599999998</v>
      </c>
      <c r="AJ469" s="43">
        <v>2.8149530189999998</v>
      </c>
      <c r="AK469" s="43">
        <v>7.4227991449999999</v>
      </c>
      <c r="AL469" s="43">
        <v>1.0659418E-2</v>
      </c>
      <c r="AM469" s="230">
        <v>0.13327519667507792</v>
      </c>
      <c r="AN469" s="43">
        <v>0.81327927899999997</v>
      </c>
    </row>
    <row r="470" spans="1:40" x14ac:dyDescent="0.25">
      <c r="A470" s="134">
        <v>460</v>
      </c>
      <c r="B470" s="134" t="s">
        <v>216</v>
      </c>
      <c r="C470" s="134" t="s">
        <v>210</v>
      </c>
      <c r="D470" s="134" t="s">
        <v>211</v>
      </c>
      <c r="E470" s="134">
        <v>701</v>
      </c>
      <c r="F470" s="134">
        <v>1980</v>
      </c>
      <c r="G470" s="134">
        <v>138</v>
      </c>
      <c r="H470" s="134">
        <v>80</v>
      </c>
      <c r="I470" s="200">
        <v>0.21649100841300001</v>
      </c>
      <c r="J470" s="134">
        <v>2060</v>
      </c>
      <c r="K470" s="134">
        <v>9515.4067372000009</v>
      </c>
      <c r="L470" s="42">
        <v>0.80817965975499995</v>
      </c>
      <c r="M470" s="42">
        <v>0.102432778489</v>
      </c>
      <c r="N470" s="134">
        <v>0</v>
      </c>
      <c r="O470" s="43" t="s">
        <v>664</v>
      </c>
      <c r="P470" s="43">
        <f t="shared" si="103"/>
        <v>10.316195254725542</v>
      </c>
      <c r="Q470" s="43">
        <f t="shared" si="104"/>
        <v>7.2893086999999995E-2</v>
      </c>
      <c r="R470" s="43">
        <f t="shared" si="105"/>
        <v>2.9736215E-2</v>
      </c>
      <c r="S470" s="43">
        <f t="shared" si="106"/>
        <v>0.80817965999999997</v>
      </c>
      <c r="T470" s="43">
        <f t="shared" si="107"/>
        <v>2.7226354490000002</v>
      </c>
      <c r="U470" s="43">
        <f t="shared" si="108"/>
        <v>6.6157484550000003</v>
      </c>
      <c r="V470" s="43">
        <f t="shared" si="109"/>
        <v>5.5934649999999997E-3</v>
      </c>
      <c r="W470" s="230">
        <f t="shared" si="110"/>
        <v>0.17027390677558865</v>
      </c>
      <c r="X470" s="43">
        <f t="shared" si="111"/>
        <v>0.78759250400000003</v>
      </c>
      <c r="Y470" s="43">
        <v>161.01761830000001</v>
      </c>
      <c r="Z470" s="43">
        <f t="shared" si="100"/>
        <v>0</v>
      </c>
      <c r="AA470" s="43">
        <f t="shared" si="101"/>
        <v>10648</v>
      </c>
      <c r="AB470" s="43">
        <f t="shared" si="102"/>
        <v>3776</v>
      </c>
      <c r="AC470" s="43">
        <f t="shared" si="112"/>
        <v>6.8143743166666659E-2</v>
      </c>
      <c r="AD470" s="43">
        <f t="shared" si="113"/>
        <v>0.83623095533333325</v>
      </c>
      <c r="AF470" s="43">
        <v>10.316195254725542</v>
      </c>
      <c r="AG470" s="43">
        <v>7.2893086999999995E-2</v>
      </c>
      <c r="AH470" s="43">
        <v>2.9736215E-2</v>
      </c>
      <c r="AI470" s="43">
        <v>0.80817965999999997</v>
      </c>
      <c r="AJ470" s="43">
        <v>2.7226354490000002</v>
      </c>
      <c r="AK470" s="43">
        <v>6.6157484550000003</v>
      </c>
      <c r="AL470" s="43">
        <v>5.5934649999999997E-3</v>
      </c>
      <c r="AM470" s="230">
        <v>0.17027390677558865</v>
      </c>
      <c r="AN470" s="43">
        <v>0.78759250400000003</v>
      </c>
    </row>
    <row r="471" spans="1:40" x14ac:dyDescent="0.25">
      <c r="A471" s="134">
        <v>461</v>
      </c>
      <c r="B471" s="134" t="s">
        <v>212</v>
      </c>
      <c r="C471" s="134" t="s">
        <v>210</v>
      </c>
      <c r="D471" s="134" t="s">
        <v>211</v>
      </c>
      <c r="E471" s="134">
        <v>966</v>
      </c>
      <c r="F471" s="134">
        <v>3225</v>
      </c>
      <c r="G471" s="134">
        <v>63</v>
      </c>
      <c r="H471" s="134">
        <v>41</v>
      </c>
      <c r="I471" s="200">
        <v>0.11282628682699999</v>
      </c>
      <c r="J471" s="134">
        <v>3266</v>
      </c>
      <c r="K471" s="134">
        <v>28947.154886100001</v>
      </c>
      <c r="L471" s="42">
        <v>0.72530667878199995</v>
      </c>
      <c r="M471" s="42">
        <v>4.07149950348E-2</v>
      </c>
      <c r="N471" s="134">
        <v>0</v>
      </c>
      <c r="O471" s="43" t="s">
        <v>627</v>
      </c>
      <c r="P471" s="43">
        <f t="shared" si="103"/>
        <v>13.803424446776338</v>
      </c>
      <c r="Q471" s="43">
        <f t="shared" si="104"/>
        <v>0.146440709</v>
      </c>
      <c r="R471" s="43">
        <f t="shared" si="105"/>
        <v>1.6098136999999998E-2</v>
      </c>
      <c r="S471" s="43">
        <f t="shared" si="106"/>
        <v>0.72530667900000001</v>
      </c>
      <c r="T471" s="43">
        <f t="shared" si="107"/>
        <v>3.5519011620000001</v>
      </c>
      <c r="U471" s="43">
        <f t="shared" si="108"/>
        <v>8.3439669789999993</v>
      </c>
      <c r="V471" s="43">
        <f t="shared" si="109"/>
        <v>1.6632037999999998E-2</v>
      </c>
      <c r="W471" s="230">
        <f t="shared" si="110"/>
        <v>0.33464665897139922</v>
      </c>
      <c r="X471" s="43">
        <f t="shared" si="111"/>
        <v>0.58091060699999997</v>
      </c>
      <c r="Y471" s="43">
        <v>36.058628169999999</v>
      </c>
      <c r="Z471" s="43">
        <f t="shared" si="100"/>
        <v>0</v>
      </c>
      <c r="AA471" s="43">
        <f t="shared" si="101"/>
        <v>86244</v>
      </c>
      <c r="AB471" s="43">
        <f t="shared" si="102"/>
        <v>34108</v>
      </c>
      <c r="AC471" s="43">
        <f t="shared" si="112"/>
        <v>6.3645432270270294E-2</v>
      </c>
      <c r="AD471" s="43">
        <f t="shared" si="113"/>
        <v>0.82651807273333366</v>
      </c>
      <c r="AF471" s="43">
        <v>13.803424446776338</v>
      </c>
      <c r="AG471" s="43">
        <v>0.146440709</v>
      </c>
      <c r="AH471" s="43">
        <v>1.6098136999999998E-2</v>
      </c>
      <c r="AI471" s="43">
        <v>0.72530667900000001</v>
      </c>
      <c r="AJ471" s="43">
        <v>3.5519011620000001</v>
      </c>
      <c r="AK471" s="43">
        <v>8.3439669789999993</v>
      </c>
      <c r="AL471" s="43">
        <v>1.6632037999999998E-2</v>
      </c>
      <c r="AM471" s="230">
        <v>0.33464665897139922</v>
      </c>
      <c r="AN471" s="43">
        <v>0.58091060699999997</v>
      </c>
    </row>
    <row r="472" spans="1:40" x14ac:dyDescent="0.25">
      <c r="A472" s="134">
        <v>462</v>
      </c>
      <c r="B472" s="134" t="s">
        <v>212</v>
      </c>
      <c r="C472" s="134" t="s">
        <v>210</v>
      </c>
      <c r="D472" s="134" t="s">
        <v>211</v>
      </c>
      <c r="E472" s="134">
        <v>411</v>
      </c>
      <c r="F472" s="134">
        <v>1372</v>
      </c>
      <c r="G472" s="134">
        <v>25</v>
      </c>
      <c r="H472" s="134">
        <v>365</v>
      </c>
      <c r="I472" s="200">
        <v>4.5376041933099999E-2</v>
      </c>
      <c r="J472" s="134">
        <v>1737</v>
      </c>
      <c r="K472" s="134">
        <v>38280.1127203</v>
      </c>
      <c r="L472" s="42">
        <v>0.74996048255000003</v>
      </c>
      <c r="M472" s="42">
        <v>0.47036082474200003</v>
      </c>
      <c r="N472" s="134">
        <v>0</v>
      </c>
      <c r="O472" s="43" t="s">
        <v>627</v>
      </c>
      <c r="P472" s="43">
        <f t="shared" si="103"/>
        <v>16.064528539198669</v>
      </c>
      <c r="Q472" s="43">
        <f t="shared" si="104"/>
        <v>0.12241328899999999</v>
      </c>
      <c r="R472" s="43">
        <f t="shared" si="105"/>
        <v>2.1521035000000001E-2</v>
      </c>
      <c r="S472" s="43">
        <f t="shared" si="106"/>
        <v>0.74996048299999996</v>
      </c>
      <c r="T472" s="43">
        <f t="shared" si="107"/>
        <v>4.19741784</v>
      </c>
      <c r="U472" s="43">
        <f t="shared" si="108"/>
        <v>9.8437395070000004</v>
      </c>
      <c r="V472" s="43">
        <f t="shared" si="109"/>
        <v>3.0815715E-2</v>
      </c>
      <c r="W472" s="230">
        <f t="shared" si="110"/>
        <v>0.23607817954290983</v>
      </c>
      <c r="X472" s="43">
        <f t="shared" si="111"/>
        <v>0.65644964800000005</v>
      </c>
      <c r="Y472" s="43">
        <v>27.6063309</v>
      </c>
      <c r="Z472" s="43">
        <f t="shared" si="100"/>
        <v>0</v>
      </c>
      <c r="AA472" s="43">
        <f t="shared" si="101"/>
        <v>86244</v>
      </c>
      <c r="AB472" s="43">
        <f t="shared" si="102"/>
        <v>34108</v>
      </c>
      <c r="AC472" s="43">
        <f t="shared" si="112"/>
        <v>6.3645432270270294E-2</v>
      </c>
      <c r="AD472" s="43">
        <f t="shared" si="113"/>
        <v>0.82651807273333366</v>
      </c>
      <c r="AF472" s="43">
        <v>16.064528539198669</v>
      </c>
      <c r="AG472" s="43">
        <v>0.12241328899999999</v>
      </c>
      <c r="AH472" s="43">
        <v>2.1521035000000001E-2</v>
      </c>
      <c r="AI472" s="43">
        <v>0.74996048299999996</v>
      </c>
      <c r="AJ472" s="43">
        <v>4.19741784</v>
      </c>
      <c r="AK472" s="43">
        <v>9.8437395070000004</v>
      </c>
      <c r="AL472" s="43">
        <v>3.0815715E-2</v>
      </c>
      <c r="AM472" s="230">
        <v>0.23607817954290983</v>
      </c>
      <c r="AN472" s="43">
        <v>0.65644964800000005</v>
      </c>
    </row>
    <row r="473" spans="1:40" x14ac:dyDescent="0.25">
      <c r="A473" s="134">
        <v>463</v>
      </c>
      <c r="B473" s="134" t="s">
        <v>212</v>
      </c>
      <c r="C473" s="134" t="s">
        <v>210</v>
      </c>
      <c r="D473" s="134" t="s">
        <v>211</v>
      </c>
      <c r="E473" s="134">
        <v>0</v>
      </c>
      <c r="F473" s="134">
        <v>0</v>
      </c>
      <c r="G473" s="134">
        <v>39</v>
      </c>
      <c r="H473" s="134">
        <v>365</v>
      </c>
      <c r="I473" s="200">
        <v>7.0841226408900004E-2</v>
      </c>
      <c r="J473" s="134">
        <v>365</v>
      </c>
      <c r="K473" s="134">
        <v>5152.3670396899997</v>
      </c>
      <c r="L473" s="42">
        <v>0.88494217894100002</v>
      </c>
      <c r="M473" s="42">
        <v>1</v>
      </c>
      <c r="N473" s="134">
        <v>0</v>
      </c>
      <c r="O473" s="43" t="s">
        <v>664</v>
      </c>
      <c r="P473" s="43">
        <f t="shared" si="103"/>
        <v>17.82636205480085</v>
      </c>
      <c r="Q473" s="43">
        <f t="shared" si="104"/>
        <v>2.7364577000000001E-2</v>
      </c>
      <c r="R473" s="43">
        <f t="shared" si="105"/>
        <v>8.7157640000000008E-3</v>
      </c>
      <c r="S473" s="43">
        <f t="shared" si="106"/>
        <v>0.88494217900000005</v>
      </c>
      <c r="T473" s="43">
        <f t="shared" si="107"/>
        <v>4.6317934779999996</v>
      </c>
      <c r="U473" s="43">
        <f t="shared" si="108"/>
        <v>9.8880788390000003</v>
      </c>
      <c r="V473" s="43">
        <f t="shared" si="109"/>
        <v>9.415919E-3</v>
      </c>
      <c r="W473" s="230">
        <f t="shared" si="110"/>
        <v>1.8782796331714972E-2</v>
      </c>
      <c r="X473" s="43">
        <f t="shared" si="111"/>
        <v>0.87729880800000004</v>
      </c>
      <c r="Y473" s="43">
        <v>27.6063309</v>
      </c>
      <c r="Z473" s="43">
        <f t="shared" si="100"/>
        <v>0</v>
      </c>
      <c r="AA473" s="43">
        <f t="shared" si="101"/>
        <v>86244</v>
      </c>
      <c r="AB473" s="43">
        <f t="shared" si="102"/>
        <v>34108</v>
      </c>
      <c r="AC473" s="43">
        <f t="shared" si="112"/>
        <v>6.3645432270270294E-2</v>
      </c>
      <c r="AD473" s="43">
        <f t="shared" si="113"/>
        <v>0.82651807273333366</v>
      </c>
      <c r="AF473" s="43">
        <v>17.82636205480085</v>
      </c>
      <c r="AG473" s="43">
        <v>2.7364577000000001E-2</v>
      </c>
      <c r="AH473" s="43">
        <v>8.7157640000000008E-3</v>
      </c>
      <c r="AI473" s="43">
        <v>0.88494217900000005</v>
      </c>
      <c r="AJ473" s="43">
        <v>4.6317934779999996</v>
      </c>
      <c r="AK473" s="43">
        <v>9.8880788390000003</v>
      </c>
      <c r="AL473" s="43">
        <v>9.415919E-3</v>
      </c>
      <c r="AM473" s="230">
        <v>1.8782796331714972E-2</v>
      </c>
      <c r="AN473" s="43">
        <v>0.87729880800000004</v>
      </c>
    </row>
    <row r="474" spans="1:40" x14ac:dyDescent="0.25">
      <c r="A474" s="134">
        <v>464</v>
      </c>
      <c r="B474" s="134" t="s">
        <v>212</v>
      </c>
      <c r="C474" s="134" t="s">
        <v>210</v>
      </c>
      <c r="D474" s="134" t="s">
        <v>211</v>
      </c>
      <c r="E474" s="134">
        <v>0</v>
      </c>
      <c r="F474" s="134">
        <v>0</v>
      </c>
      <c r="G474" s="134">
        <v>26</v>
      </c>
      <c r="H474" s="134">
        <v>365</v>
      </c>
      <c r="I474" s="200">
        <v>4.6933977328699999E-2</v>
      </c>
      <c r="J474" s="134">
        <v>365</v>
      </c>
      <c r="K474" s="134">
        <v>7776.8819259399997</v>
      </c>
      <c r="L474" s="42">
        <v>0.896593725959</v>
      </c>
      <c r="M474" s="42">
        <v>1</v>
      </c>
      <c r="N474" s="134">
        <v>0</v>
      </c>
      <c r="O474" s="43" t="s">
        <v>664</v>
      </c>
      <c r="P474" s="43">
        <f t="shared" si="103"/>
        <v>18.105965290064471</v>
      </c>
      <c r="Q474" s="43">
        <f t="shared" si="104"/>
        <v>2.8015215E-2</v>
      </c>
      <c r="R474" s="43">
        <f t="shared" si="105"/>
        <v>8.3340459999999995E-3</v>
      </c>
      <c r="S474" s="43">
        <f t="shared" si="106"/>
        <v>0.89659372599999998</v>
      </c>
      <c r="T474" s="43">
        <f t="shared" si="107"/>
        <v>5.0103092780000003</v>
      </c>
      <c r="U474" s="43">
        <f t="shared" si="108"/>
        <v>10.714347679999999</v>
      </c>
      <c r="V474" s="43">
        <f t="shared" si="109"/>
        <v>8.7262710000000007E-3</v>
      </c>
      <c r="W474" s="230">
        <f t="shared" si="110"/>
        <v>2.2096346193100632E-2</v>
      </c>
      <c r="X474" s="43">
        <f t="shared" si="111"/>
        <v>0.87701571700000003</v>
      </c>
      <c r="Y474" s="43">
        <v>27.6063309</v>
      </c>
      <c r="Z474" s="43">
        <f t="shared" si="100"/>
        <v>0</v>
      </c>
      <c r="AA474" s="43">
        <f t="shared" si="101"/>
        <v>86244</v>
      </c>
      <c r="AB474" s="43">
        <f t="shared" si="102"/>
        <v>34108</v>
      </c>
      <c r="AC474" s="43">
        <f t="shared" si="112"/>
        <v>6.3645432270270294E-2</v>
      </c>
      <c r="AD474" s="43">
        <f t="shared" si="113"/>
        <v>0.82651807273333366</v>
      </c>
      <c r="AF474" s="43">
        <v>18.105965290064471</v>
      </c>
      <c r="AG474" s="43">
        <v>2.8015215E-2</v>
      </c>
      <c r="AH474" s="43">
        <v>8.3340459999999995E-3</v>
      </c>
      <c r="AI474" s="43">
        <v>0.89659372599999998</v>
      </c>
      <c r="AJ474" s="43">
        <v>5.0103092780000003</v>
      </c>
      <c r="AK474" s="43">
        <v>10.714347679999999</v>
      </c>
      <c r="AL474" s="43">
        <v>8.7262710000000007E-3</v>
      </c>
      <c r="AM474" s="230">
        <v>2.2096346193100632E-2</v>
      </c>
      <c r="AN474" s="43">
        <v>0.87701571700000003</v>
      </c>
    </row>
    <row r="475" spans="1:40" x14ac:dyDescent="0.25">
      <c r="A475" s="134">
        <v>465</v>
      </c>
      <c r="B475" s="134" t="s">
        <v>212</v>
      </c>
      <c r="C475" s="134" t="s">
        <v>210</v>
      </c>
      <c r="D475" s="134" t="s">
        <v>211</v>
      </c>
      <c r="E475" s="134">
        <v>411</v>
      </c>
      <c r="F475" s="134">
        <v>1372</v>
      </c>
      <c r="G475" s="134">
        <v>17</v>
      </c>
      <c r="H475" s="134">
        <v>365</v>
      </c>
      <c r="I475" s="200">
        <v>3.1355665094999999E-2</v>
      </c>
      <c r="J475" s="134">
        <v>1737</v>
      </c>
      <c r="K475" s="134">
        <v>55396.688118099999</v>
      </c>
      <c r="L475" s="42">
        <v>0.73950842691899998</v>
      </c>
      <c r="M475" s="42">
        <v>0.47036082474200003</v>
      </c>
      <c r="N475" s="134">
        <v>0</v>
      </c>
      <c r="O475" s="43" t="s">
        <v>627</v>
      </c>
      <c r="P475" s="43">
        <f t="shared" si="103"/>
        <v>16.559298411816741</v>
      </c>
      <c r="Q475" s="43">
        <f t="shared" si="104"/>
        <v>0.13534749800000001</v>
      </c>
      <c r="R475" s="43">
        <f t="shared" si="105"/>
        <v>2.4197852999999998E-2</v>
      </c>
      <c r="S475" s="43">
        <f t="shared" si="106"/>
        <v>0.73950842699999997</v>
      </c>
      <c r="T475" s="43">
        <f t="shared" si="107"/>
        <v>4.4197175179999997</v>
      </c>
      <c r="U475" s="43">
        <f t="shared" si="108"/>
        <v>10.280237870000001</v>
      </c>
      <c r="V475" s="43">
        <f t="shared" si="109"/>
        <v>3.6841626000000002E-2</v>
      </c>
      <c r="W475" s="230">
        <f t="shared" si="110"/>
        <v>0.24639646717332517</v>
      </c>
      <c r="X475" s="43">
        <f t="shared" si="111"/>
        <v>0.65174532600000001</v>
      </c>
      <c r="Y475" s="43">
        <v>27.6063309</v>
      </c>
      <c r="Z475" s="43">
        <f t="shared" si="100"/>
        <v>0</v>
      </c>
      <c r="AA475" s="43">
        <f t="shared" si="101"/>
        <v>86244</v>
      </c>
      <c r="AB475" s="43">
        <f t="shared" si="102"/>
        <v>34108</v>
      </c>
      <c r="AC475" s="43">
        <f t="shared" si="112"/>
        <v>6.3645432270270294E-2</v>
      </c>
      <c r="AD475" s="43">
        <f t="shared" si="113"/>
        <v>0.82651807273333366</v>
      </c>
      <c r="AF475" s="43">
        <v>16.559298411816741</v>
      </c>
      <c r="AG475" s="43">
        <v>0.13534749800000001</v>
      </c>
      <c r="AH475" s="43">
        <v>2.4197852999999998E-2</v>
      </c>
      <c r="AI475" s="43">
        <v>0.73950842699999997</v>
      </c>
      <c r="AJ475" s="43">
        <v>4.4197175179999997</v>
      </c>
      <c r="AK475" s="43">
        <v>10.280237870000001</v>
      </c>
      <c r="AL475" s="43">
        <v>3.6841626000000002E-2</v>
      </c>
      <c r="AM475" s="230">
        <v>0.24639646717332517</v>
      </c>
      <c r="AN475" s="43">
        <v>0.65174532600000001</v>
      </c>
    </row>
    <row r="476" spans="1:40" x14ac:dyDescent="0.25">
      <c r="A476" s="134">
        <v>466</v>
      </c>
      <c r="B476" s="134" t="s">
        <v>212</v>
      </c>
      <c r="C476" s="134" t="s">
        <v>210</v>
      </c>
      <c r="D476" s="134" t="s">
        <v>211</v>
      </c>
      <c r="E476" s="134">
        <v>0</v>
      </c>
      <c r="F476" s="134">
        <v>0</v>
      </c>
      <c r="G476" s="134">
        <v>621</v>
      </c>
      <c r="H476" s="134">
        <v>0</v>
      </c>
      <c r="I476" s="200">
        <v>1.1186810030400001</v>
      </c>
      <c r="J476" s="134">
        <v>0</v>
      </c>
      <c r="K476" s="134">
        <v>0</v>
      </c>
      <c r="L476" s="42">
        <v>0.86009778112099999</v>
      </c>
      <c r="M476" s="42">
        <v>0</v>
      </c>
      <c r="N476" s="134">
        <v>0</v>
      </c>
      <c r="O476" s="43" t="s">
        <v>665</v>
      </c>
      <c r="P476" s="43">
        <f t="shared" si="103"/>
        <v>13.602113628360126</v>
      </c>
      <c r="Q476" s="43">
        <f t="shared" si="104"/>
        <v>0.10981572000000001</v>
      </c>
      <c r="R476" s="43">
        <f t="shared" si="105"/>
        <v>4.1368940000000003E-3</v>
      </c>
      <c r="S476" s="43">
        <f t="shared" si="106"/>
        <v>0.86009778100000001</v>
      </c>
      <c r="T476" s="43">
        <f t="shared" si="107"/>
        <v>5.3181818180000002</v>
      </c>
      <c r="U476" s="43">
        <f t="shared" si="108"/>
        <v>9.0969187680000001</v>
      </c>
      <c r="V476" s="43">
        <f t="shared" si="109"/>
        <v>1.3068060635135128E-2</v>
      </c>
      <c r="W476" s="230">
        <f t="shared" si="110"/>
        <v>0.12011843503759743</v>
      </c>
      <c r="X476" s="43">
        <f t="shared" si="111"/>
        <v>0.8101135781081078</v>
      </c>
      <c r="Y476" s="43">
        <v>29.8410315</v>
      </c>
      <c r="Z476" s="43">
        <f t="shared" si="100"/>
        <v>0</v>
      </c>
      <c r="AA476" s="43">
        <f t="shared" si="101"/>
        <v>86244</v>
      </c>
      <c r="AB476" s="43">
        <f t="shared" si="102"/>
        <v>34108</v>
      </c>
      <c r="AC476" s="43">
        <f t="shared" si="112"/>
        <v>6.3645432270270294E-2</v>
      </c>
      <c r="AD476" s="43">
        <f t="shared" si="113"/>
        <v>0.82651807273333366</v>
      </c>
      <c r="AF476" s="43" t="e">
        <v>#DIV/0!</v>
      </c>
      <c r="AG476" s="43">
        <v>0.10981572000000001</v>
      </c>
      <c r="AH476" s="43">
        <v>4.1368940000000003E-3</v>
      </c>
      <c r="AI476" s="43">
        <v>0.86009778100000001</v>
      </c>
      <c r="AJ476" s="43">
        <v>5.3181818180000002</v>
      </c>
      <c r="AK476" s="43">
        <v>9.0969187680000001</v>
      </c>
      <c r="AL476" s="43" t="e">
        <v>#DIV/0!</v>
      </c>
      <c r="AM476" s="230" t="e">
        <v>#DIV/0!</v>
      </c>
      <c r="AN476" s="43" t="e">
        <v>#DIV/0!</v>
      </c>
    </row>
    <row r="477" spans="1:40" x14ac:dyDescent="0.25">
      <c r="A477" s="134">
        <v>467</v>
      </c>
      <c r="B477" s="134" t="s">
        <v>212</v>
      </c>
      <c r="C477" s="134" t="s">
        <v>210</v>
      </c>
      <c r="D477" s="134" t="s">
        <v>211</v>
      </c>
      <c r="E477" s="134">
        <v>0</v>
      </c>
      <c r="F477" s="134">
        <v>0</v>
      </c>
      <c r="G477" s="134">
        <v>233</v>
      </c>
      <c r="H477" s="134">
        <v>301</v>
      </c>
      <c r="I477" s="200">
        <v>0.41967221035199997</v>
      </c>
      <c r="J477" s="134">
        <v>301</v>
      </c>
      <c r="K477" s="134">
        <v>717.22642713899995</v>
      </c>
      <c r="L477" s="42">
        <v>0.95066245483300005</v>
      </c>
      <c r="M477" s="42">
        <v>1</v>
      </c>
      <c r="N477" s="134">
        <v>0</v>
      </c>
      <c r="O477" s="43" t="s">
        <v>665</v>
      </c>
      <c r="P477" s="43">
        <f t="shared" si="103"/>
        <v>19.396177126918523</v>
      </c>
      <c r="Q477" s="43">
        <f t="shared" si="104"/>
        <v>1.4589914000000001E-2</v>
      </c>
      <c r="R477" s="43">
        <f t="shared" si="105"/>
        <v>7.8858260000000003E-3</v>
      </c>
      <c r="S477" s="43">
        <f t="shared" si="106"/>
        <v>0.95066245500000002</v>
      </c>
      <c r="T477" s="43">
        <f t="shared" si="107"/>
        <v>6.2740112989999997</v>
      </c>
      <c r="U477" s="43">
        <f t="shared" si="108"/>
        <v>12.701257030000001</v>
      </c>
      <c r="V477" s="43">
        <f t="shared" si="109"/>
        <v>9.1733720000000008E-3</v>
      </c>
      <c r="W477" s="230">
        <f t="shared" si="110"/>
        <v>2.6136421872597756E-3</v>
      </c>
      <c r="X477" s="43">
        <f t="shared" si="111"/>
        <v>0.94736842099999996</v>
      </c>
      <c r="Y477" s="43">
        <v>27.6063309</v>
      </c>
      <c r="Z477" s="43">
        <f t="shared" si="100"/>
        <v>0</v>
      </c>
      <c r="AA477" s="43">
        <f t="shared" si="101"/>
        <v>86244</v>
      </c>
      <c r="AB477" s="43">
        <f t="shared" si="102"/>
        <v>34108</v>
      </c>
      <c r="AC477" s="43">
        <f t="shared" si="112"/>
        <v>6.3645432270270294E-2</v>
      </c>
      <c r="AD477" s="43">
        <f t="shared" si="113"/>
        <v>0.82651807273333366</v>
      </c>
      <c r="AF477" s="43">
        <v>19.396177126918523</v>
      </c>
      <c r="AG477" s="43">
        <v>1.4589914000000001E-2</v>
      </c>
      <c r="AH477" s="43">
        <v>7.8858260000000003E-3</v>
      </c>
      <c r="AI477" s="43">
        <v>0.95066245500000002</v>
      </c>
      <c r="AJ477" s="43">
        <v>6.2740112989999997</v>
      </c>
      <c r="AK477" s="43">
        <v>12.701257030000001</v>
      </c>
      <c r="AL477" s="43">
        <v>9.1733720000000008E-3</v>
      </c>
      <c r="AM477" s="230">
        <v>2.6136421872597756E-3</v>
      </c>
      <c r="AN477" s="43">
        <v>0.94736842099999996</v>
      </c>
    </row>
    <row r="478" spans="1:40" x14ac:dyDescent="0.25">
      <c r="A478" s="134">
        <v>468</v>
      </c>
      <c r="B478" s="134" t="s">
        <v>212</v>
      </c>
      <c r="C478" s="134" t="s">
        <v>210</v>
      </c>
      <c r="D478" s="134" t="s">
        <v>211</v>
      </c>
      <c r="E478" s="134">
        <v>0</v>
      </c>
      <c r="F478" s="134">
        <v>0</v>
      </c>
      <c r="G478" s="134">
        <v>101</v>
      </c>
      <c r="H478" s="134">
        <v>730</v>
      </c>
      <c r="I478" s="200">
        <v>0.181851093071</v>
      </c>
      <c r="J478" s="134">
        <v>730</v>
      </c>
      <c r="K478" s="134">
        <v>4014.2733687899999</v>
      </c>
      <c r="L478" s="42">
        <v>0.88160341621299998</v>
      </c>
      <c r="M478" s="42">
        <v>1</v>
      </c>
      <c r="N478" s="134">
        <v>0</v>
      </c>
      <c r="O478" s="43" t="s">
        <v>664</v>
      </c>
      <c r="P478" s="43">
        <f t="shared" si="103"/>
        <v>16.703379388743329</v>
      </c>
      <c r="Q478" s="43">
        <f t="shared" si="104"/>
        <v>3.7915834000000002E-2</v>
      </c>
      <c r="R478" s="43">
        <f t="shared" si="105"/>
        <v>1.0469041E-2</v>
      </c>
      <c r="S478" s="43">
        <f t="shared" si="106"/>
        <v>0.88160341600000003</v>
      </c>
      <c r="T478" s="43">
        <f t="shared" si="107"/>
        <v>4.0357535750000002</v>
      </c>
      <c r="U478" s="43">
        <f t="shared" si="108"/>
        <v>9.6276070429999994</v>
      </c>
      <c r="V478" s="43">
        <f t="shared" si="109"/>
        <v>1.2324771999999999E-2</v>
      </c>
      <c r="W478" s="230">
        <f t="shared" si="110"/>
        <v>3.542195879198419E-2</v>
      </c>
      <c r="X478" s="43">
        <f t="shared" si="111"/>
        <v>0.89403989100000003</v>
      </c>
      <c r="Y478" s="43">
        <v>29.16631756</v>
      </c>
      <c r="Z478" s="43">
        <f t="shared" si="100"/>
        <v>0</v>
      </c>
      <c r="AA478" s="43">
        <f t="shared" si="101"/>
        <v>86244</v>
      </c>
      <c r="AB478" s="43">
        <f t="shared" si="102"/>
        <v>34108</v>
      </c>
      <c r="AC478" s="43">
        <f t="shared" si="112"/>
        <v>6.3645432270270294E-2</v>
      </c>
      <c r="AD478" s="43">
        <f t="shared" si="113"/>
        <v>0.82651807273333366</v>
      </c>
      <c r="AF478" s="43">
        <v>16.703379388743329</v>
      </c>
      <c r="AG478" s="43">
        <v>3.7915834000000002E-2</v>
      </c>
      <c r="AH478" s="43">
        <v>1.0469041E-2</v>
      </c>
      <c r="AI478" s="43">
        <v>0.88160341600000003</v>
      </c>
      <c r="AJ478" s="43">
        <v>4.0357535750000002</v>
      </c>
      <c r="AK478" s="43">
        <v>9.6276070429999994</v>
      </c>
      <c r="AL478" s="43">
        <v>1.2324771999999999E-2</v>
      </c>
      <c r="AM478" s="230">
        <v>3.542195879198419E-2</v>
      </c>
      <c r="AN478" s="43">
        <v>0.89403989100000003</v>
      </c>
    </row>
    <row r="479" spans="1:40" x14ac:dyDescent="0.25">
      <c r="A479" s="134">
        <v>469</v>
      </c>
      <c r="B479" s="134" t="s">
        <v>212</v>
      </c>
      <c r="C479" s="134" t="s">
        <v>210</v>
      </c>
      <c r="D479" s="134" t="s">
        <v>211</v>
      </c>
      <c r="E479" s="134">
        <v>0</v>
      </c>
      <c r="F479" s="134">
        <v>0</v>
      </c>
      <c r="G479" s="134">
        <v>65</v>
      </c>
      <c r="H479" s="134">
        <v>730</v>
      </c>
      <c r="I479" s="200">
        <v>0.116212085422</v>
      </c>
      <c r="J479" s="134">
        <v>730</v>
      </c>
      <c r="K479" s="134">
        <v>6281.6186229599998</v>
      </c>
      <c r="L479" s="42">
        <v>0.88180887961599996</v>
      </c>
      <c r="M479" s="42">
        <v>1</v>
      </c>
      <c r="N479" s="134">
        <v>0</v>
      </c>
      <c r="O479" s="43" t="s">
        <v>664</v>
      </c>
      <c r="P479" s="43">
        <f t="shared" si="103"/>
        <v>17.647065772108267</v>
      </c>
      <c r="Q479" s="43">
        <f t="shared" si="104"/>
        <v>5.374015E-2</v>
      </c>
      <c r="R479" s="43">
        <f t="shared" si="105"/>
        <v>9.7806009999999999E-3</v>
      </c>
      <c r="S479" s="43">
        <f t="shared" si="106"/>
        <v>0.88180888000000002</v>
      </c>
      <c r="T479" s="43">
        <f t="shared" si="107"/>
        <v>4.5343665770000001</v>
      </c>
      <c r="U479" s="43">
        <f t="shared" si="108"/>
        <v>9.9043231840000008</v>
      </c>
      <c r="V479" s="43">
        <f t="shared" si="109"/>
        <v>1.0972361E-2</v>
      </c>
      <c r="W479" s="230">
        <f t="shared" si="110"/>
        <v>5.4837369565748646E-2</v>
      </c>
      <c r="X479" s="43">
        <f t="shared" si="111"/>
        <v>0.88568216799999999</v>
      </c>
      <c r="Y479" s="43">
        <v>27.6063309</v>
      </c>
      <c r="Z479" s="43">
        <f t="shared" si="100"/>
        <v>0</v>
      </c>
      <c r="AA479" s="43">
        <f t="shared" si="101"/>
        <v>86244</v>
      </c>
      <c r="AB479" s="43">
        <f t="shared" si="102"/>
        <v>34108</v>
      </c>
      <c r="AC479" s="43">
        <f t="shared" si="112"/>
        <v>6.3645432270270294E-2</v>
      </c>
      <c r="AD479" s="43">
        <f t="shared" si="113"/>
        <v>0.82651807273333366</v>
      </c>
      <c r="AF479" s="43">
        <v>17.647065772108267</v>
      </c>
      <c r="AG479" s="43">
        <v>5.374015E-2</v>
      </c>
      <c r="AH479" s="43">
        <v>9.7806009999999999E-3</v>
      </c>
      <c r="AI479" s="43">
        <v>0.88180888000000002</v>
      </c>
      <c r="AJ479" s="43">
        <v>4.5343665770000001</v>
      </c>
      <c r="AK479" s="43">
        <v>9.9043231840000008</v>
      </c>
      <c r="AL479" s="43">
        <v>1.0972361E-2</v>
      </c>
      <c r="AM479" s="230">
        <v>5.4837369565748646E-2</v>
      </c>
      <c r="AN479" s="43">
        <v>0.88568216799999999</v>
      </c>
    </row>
    <row r="480" spans="1:40" x14ac:dyDescent="0.25">
      <c r="A480" s="134">
        <v>470</v>
      </c>
      <c r="B480" s="134" t="s">
        <v>212</v>
      </c>
      <c r="C480" s="134" t="s">
        <v>210</v>
      </c>
      <c r="D480" s="134" t="s">
        <v>211</v>
      </c>
      <c r="E480" s="134">
        <v>207</v>
      </c>
      <c r="F480" s="134">
        <v>693</v>
      </c>
      <c r="G480" s="134">
        <v>23</v>
      </c>
      <c r="H480" s="134">
        <v>365</v>
      </c>
      <c r="I480" s="200">
        <v>4.2087340059300003E-2</v>
      </c>
      <c r="J480" s="134">
        <v>1058</v>
      </c>
      <c r="K480" s="134">
        <v>25138.200668099998</v>
      </c>
      <c r="L480" s="42">
        <v>0.75398363075300001</v>
      </c>
      <c r="M480" s="42">
        <v>0.63811188811200004</v>
      </c>
      <c r="N480" s="134">
        <v>0</v>
      </c>
      <c r="O480" s="43" t="s">
        <v>627</v>
      </c>
      <c r="P480" s="43">
        <f t="shared" si="103"/>
        <v>16.225919877928998</v>
      </c>
      <c r="Q480" s="43">
        <f t="shared" si="104"/>
        <v>0.111391386</v>
      </c>
      <c r="R480" s="43">
        <f t="shared" si="105"/>
        <v>1.8795116000000001E-2</v>
      </c>
      <c r="S480" s="43">
        <f t="shared" si="106"/>
        <v>0.75398363099999999</v>
      </c>
      <c r="T480" s="43">
        <f t="shared" si="107"/>
        <v>3.9948681399999999</v>
      </c>
      <c r="U480" s="43">
        <f t="shared" si="108"/>
        <v>9.6785114809999993</v>
      </c>
      <c r="V480" s="43">
        <f t="shared" si="109"/>
        <v>2.6341221000000001E-2</v>
      </c>
      <c r="W480" s="230">
        <f t="shared" si="110"/>
        <v>0.21558936411077673</v>
      </c>
      <c r="X480" s="43">
        <f t="shared" si="111"/>
        <v>0.67406190499999996</v>
      </c>
      <c r="Y480" s="43">
        <v>27.6063309</v>
      </c>
      <c r="Z480" s="43">
        <f t="shared" si="100"/>
        <v>0</v>
      </c>
      <c r="AA480" s="43">
        <f t="shared" si="101"/>
        <v>86244</v>
      </c>
      <c r="AB480" s="43">
        <f t="shared" si="102"/>
        <v>34108</v>
      </c>
      <c r="AC480" s="43">
        <f t="shared" si="112"/>
        <v>6.3645432270270294E-2</v>
      </c>
      <c r="AD480" s="43">
        <f t="shared" si="113"/>
        <v>0.82651807273333366</v>
      </c>
      <c r="AF480" s="43">
        <v>16.225919877928998</v>
      </c>
      <c r="AG480" s="43">
        <v>0.111391386</v>
      </c>
      <c r="AH480" s="43">
        <v>1.8795116000000001E-2</v>
      </c>
      <c r="AI480" s="43">
        <v>0.75398363099999999</v>
      </c>
      <c r="AJ480" s="43">
        <v>3.9948681399999999</v>
      </c>
      <c r="AK480" s="43">
        <v>9.6785114809999993</v>
      </c>
      <c r="AL480" s="43">
        <v>2.6341221000000001E-2</v>
      </c>
      <c r="AM480" s="230">
        <v>0.21558936411077673</v>
      </c>
      <c r="AN480" s="43">
        <v>0.67406190499999996</v>
      </c>
    </row>
    <row r="481" spans="1:40" x14ac:dyDescent="0.25">
      <c r="A481" s="134">
        <v>471</v>
      </c>
      <c r="B481" s="134" t="s">
        <v>212</v>
      </c>
      <c r="C481" s="134" t="s">
        <v>210</v>
      </c>
      <c r="D481" s="134" t="s">
        <v>211</v>
      </c>
      <c r="E481" s="134">
        <v>207</v>
      </c>
      <c r="F481" s="134">
        <v>693</v>
      </c>
      <c r="G481" s="134">
        <v>28</v>
      </c>
      <c r="H481" s="134">
        <v>365</v>
      </c>
      <c r="I481" s="200">
        <v>4.95884477213E-2</v>
      </c>
      <c r="J481" s="134">
        <v>1058</v>
      </c>
      <c r="K481" s="134">
        <v>21335.614414600001</v>
      </c>
      <c r="L481" s="42">
        <v>0.76564789809900002</v>
      </c>
      <c r="M481" s="42">
        <v>0.63811188811200004</v>
      </c>
      <c r="N481" s="134">
        <v>0</v>
      </c>
      <c r="O481" s="43" t="s">
        <v>627</v>
      </c>
      <c r="P481" s="43">
        <f t="shared" si="103"/>
        <v>16.245119246540593</v>
      </c>
      <c r="Q481" s="43">
        <f t="shared" si="104"/>
        <v>0.105491396</v>
      </c>
      <c r="R481" s="43">
        <f t="shared" si="105"/>
        <v>1.6447459000000001E-2</v>
      </c>
      <c r="S481" s="43">
        <f t="shared" si="106"/>
        <v>0.76564789799999999</v>
      </c>
      <c r="T481" s="43">
        <f t="shared" si="107"/>
        <v>3.7505611669999999</v>
      </c>
      <c r="U481" s="43">
        <f t="shared" si="108"/>
        <v>9.321148999</v>
      </c>
      <c r="V481" s="43">
        <f t="shared" si="109"/>
        <v>2.2639502999999998E-2</v>
      </c>
      <c r="W481" s="230">
        <f t="shared" si="110"/>
        <v>0.22563944702524208</v>
      </c>
      <c r="X481" s="43">
        <f t="shared" si="111"/>
        <v>0.67876532199999995</v>
      </c>
      <c r="Y481" s="43">
        <v>27.6063309</v>
      </c>
      <c r="Z481" s="43">
        <f t="shared" si="100"/>
        <v>0</v>
      </c>
      <c r="AA481" s="43">
        <f t="shared" si="101"/>
        <v>86244</v>
      </c>
      <c r="AB481" s="43">
        <f t="shared" si="102"/>
        <v>34108</v>
      </c>
      <c r="AC481" s="43">
        <f t="shared" si="112"/>
        <v>6.3645432270270294E-2</v>
      </c>
      <c r="AD481" s="43">
        <f t="shared" si="113"/>
        <v>0.82651807273333366</v>
      </c>
      <c r="AF481" s="43">
        <v>16.245119246540593</v>
      </c>
      <c r="AG481" s="43">
        <v>0.105491396</v>
      </c>
      <c r="AH481" s="43">
        <v>1.6447459000000001E-2</v>
      </c>
      <c r="AI481" s="43">
        <v>0.76564789799999999</v>
      </c>
      <c r="AJ481" s="43">
        <v>3.7505611669999999</v>
      </c>
      <c r="AK481" s="43">
        <v>9.321148999</v>
      </c>
      <c r="AL481" s="43">
        <v>2.2639502999999998E-2</v>
      </c>
      <c r="AM481" s="230">
        <v>0.22563944702524208</v>
      </c>
      <c r="AN481" s="43">
        <v>0.67876532199999995</v>
      </c>
    </row>
    <row r="482" spans="1:40" x14ac:dyDescent="0.25">
      <c r="A482" s="134">
        <v>472</v>
      </c>
      <c r="B482" s="134" t="s">
        <v>212</v>
      </c>
      <c r="C482" s="134" t="s">
        <v>210</v>
      </c>
      <c r="D482" s="134" t="s">
        <v>211</v>
      </c>
      <c r="E482" s="134">
        <v>0</v>
      </c>
      <c r="F482" s="134">
        <v>0</v>
      </c>
      <c r="G482" s="134">
        <v>35</v>
      </c>
      <c r="H482" s="134">
        <v>365</v>
      </c>
      <c r="I482" s="200">
        <v>6.2941316183599993E-2</v>
      </c>
      <c r="J482" s="134">
        <v>365</v>
      </c>
      <c r="K482" s="134">
        <v>5799.0525481699997</v>
      </c>
      <c r="L482" s="42">
        <v>0.88248421372999997</v>
      </c>
      <c r="M482" s="42">
        <v>1</v>
      </c>
      <c r="N482" s="134">
        <v>0</v>
      </c>
      <c r="O482" s="43" t="s">
        <v>664</v>
      </c>
      <c r="P482" s="43">
        <f t="shared" si="103"/>
        <v>17.757177107580993</v>
      </c>
      <c r="Q482" s="43">
        <f t="shared" si="104"/>
        <v>2.8580122999999999E-2</v>
      </c>
      <c r="R482" s="43">
        <f t="shared" si="105"/>
        <v>8.9518930000000007E-3</v>
      </c>
      <c r="S482" s="43">
        <f t="shared" si="106"/>
        <v>0.88248421399999999</v>
      </c>
      <c r="T482" s="43">
        <f t="shared" si="107"/>
        <v>4.5465753419999997</v>
      </c>
      <c r="U482" s="43">
        <f t="shared" si="108"/>
        <v>9.8505674229999993</v>
      </c>
      <c r="V482" s="43">
        <f t="shared" si="109"/>
        <v>9.8850009999999992E-3</v>
      </c>
      <c r="W482" s="230">
        <f t="shared" si="110"/>
        <v>2.1923171030095424E-2</v>
      </c>
      <c r="X482" s="43">
        <f t="shared" si="111"/>
        <v>0.87345240999999996</v>
      </c>
      <c r="Y482" s="43">
        <v>27.6063309</v>
      </c>
      <c r="Z482" s="43">
        <f t="shared" si="100"/>
        <v>0</v>
      </c>
      <c r="AA482" s="43">
        <f t="shared" si="101"/>
        <v>86244</v>
      </c>
      <c r="AB482" s="43">
        <f t="shared" si="102"/>
        <v>34108</v>
      </c>
      <c r="AC482" s="43">
        <f t="shared" si="112"/>
        <v>6.3645432270270294E-2</v>
      </c>
      <c r="AD482" s="43">
        <f t="shared" si="113"/>
        <v>0.82651807273333366</v>
      </c>
      <c r="AF482" s="43">
        <v>17.757177107580993</v>
      </c>
      <c r="AG482" s="43">
        <v>2.8580122999999999E-2</v>
      </c>
      <c r="AH482" s="43">
        <v>8.9518930000000007E-3</v>
      </c>
      <c r="AI482" s="43">
        <v>0.88248421399999999</v>
      </c>
      <c r="AJ482" s="43">
        <v>4.5465753419999997</v>
      </c>
      <c r="AK482" s="43">
        <v>9.8505674229999993</v>
      </c>
      <c r="AL482" s="43">
        <v>9.8850009999999992E-3</v>
      </c>
      <c r="AM482" s="230">
        <v>2.1923171030095424E-2</v>
      </c>
      <c r="AN482" s="43">
        <v>0.87345240999999996</v>
      </c>
    </row>
    <row r="483" spans="1:40" x14ac:dyDescent="0.25">
      <c r="A483" s="134">
        <v>473</v>
      </c>
      <c r="B483" s="134" t="s">
        <v>212</v>
      </c>
      <c r="C483" s="134" t="s">
        <v>210</v>
      </c>
      <c r="D483" s="134" t="s">
        <v>211</v>
      </c>
      <c r="E483" s="134">
        <v>0</v>
      </c>
      <c r="F483" s="134">
        <v>0</v>
      </c>
      <c r="G483" s="134">
        <v>39</v>
      </c>
      <c r="H483" s="134">
        <v>365</v>
      </c>
      <c r="I483" s="200">
        <v>7.0221424040800007E-2</v>
      </c>
      <c r="J483" s="134">
        <v>365</v>
      </c>
      <c r="K483" s="134">
        <v>5197.8438914600001</v>
      </c>
      <c r="L483" s="42">
        <v>0.88631171261300001</v>
      </c>
      <c r="M483" s="42">
        <v>1</v>
      </c>
      <c r="N483" s="134">
        <v>0</v>
      </c>
      <c r="O483" s="43" t="s">
        <v>664</v>
      </c>
      <c r="P483" s="43">
        <f t="shared" si="103"/>
        <v>17.682049654292655</v>
      </c>
      <c r="Q483" s="43">
        <f t="shared" si="104"/>
        <v>3.5074741E-2</v>
      </c>
      <c r="R483" s="43">
        <f t="shared" si="105"/>
        <v>8.9427529999999995E-3</v>
      </c>
      <c r="S483" s="43">
        <f t="shared" si="106"/>
        <v>0.886311713</v>
      </c>
      <c r="T483" s="43">
        <f t="shared" si="107"/>
        <v>4.6837606840000001</v>
      </c>
      <c r="U483" s="43">
        <f t="shared" si="108"/>
        <v>10.51457989</v>
      </c>
      <c r="V483" s="43">
        <f t="shared" si="109"/>
        <v>9.8437730000000001E-3</v>
      </c>
      <c r="W483" s="230">
        <f t="shared" si="110"/>
        <v>2.7082619129242372E-2</v>
      </c>
      <c r="X483" s="43">
        <f t="shared" si="111"/>
        <v>0.87634066300000002</v>
      </c>
      <c r="Y483" s="43">
        <v>27.6063309</v>
      </c>
      <c r="Z483" s="43">
        <f t="shared" si="100"/>
        <v>0</v>
      </c>
      <c r="AA483" s="43">
        <f t="shared" si="101"/>
        <v>86244</v>
      </c>
      <c r="AB483" s="43">
        <f t="shared" si="102"/>
        <v>34108</v>
      </c>
      <c r="AC483" s="43">
        <f t="shared" si="112"/>
        <v>6.3645432270270294E-2</v>
      </c>
      <c r="AD483" s="43">
        <f t="shared" si="113"/>
        <v>0.82651807273333366</v>
      </c>
      <c r="AF483" s="43">
        <v>17.682049654292655</v>
      </c>
      <c r="AG483" s="43">
        <v>3.5074741E-2</v>
      </c>
      <c r="AH483" s="43">
        <v>8.9427529999999995E-3</v>
      </c>
      <c r="AI483" s="43">
        <v>0.886311713</v>
      </c>
      <c r="AJ483" s="43">
        <v>4.6837606840000001</v>
      </c>
      <c r="AK483" s="43">
        <v>10.51457989</v>
      </c>
      <c r="AL483" s="43">
        <v>9.8437730000000001E-3</v>
      </c>
      <c r="AM483" s="230">
        <v>2.7082619129242372E-2</v>
      </c>
      <c r="AN483" s="43">
        <v>0.87634066300000002</v>
      </c>
    </row>
    <row r="484" spans="1:40" x14ac:dyDescent="0.25">
      <c r="A484" s="134">
        <v>474</v>
      </c>
      <c r="B484" s="134" t="s">
        <v>212</v>
      </c>
      <c r="C484" s="134" t="s">
        <v>210</v>
      </c>
      <c r="D484" s="134" t="s">
        <v>211</v>
      </c>
      <c r="E484" s="134">
        <v>491</v>
      </c>
      <c r="F484" s="134">
        <v>1641</v>
      </c>
      <c r="G484" s="134">
        <v>34</v>
      </c>
      <c r="H484" s="134">
        <v>730</v>
      </c>
      <c r="I484" s="200">
        <v>6.0651252996999999E-2</v>
      </c>
      <c r="J484" s="134">
        <v>2371</v>
      </c>
      <c r="K484" s="134">
        <v>39092.349833599998</v>
      </c>
      <c r="L484" s="42">
        <v>0.75155343136800001</v>
      </c>
      <c r="M484" s="42">
        <v>0.59787059787100005</v>
      </c>
      <c r="N484" s="134">
        <v>0</v>
      </c>
      <c r="O484" s="43" t="s">
        <v>627</v>
      </c>
      <c r="P484" s="43">
        <f t="shared" si="103"/>
        <v>15.374223134387819</v>
      </c>
      <c r="Q484" s="43">
        <f t="shared" si="104"/>
        <v>0.110193559</v>
      </c>
      <c r="R484" s="43">
        <f t="shared" si="105"/>
        <v>2.1381124000000001E-2</v>
      </c>
      <c r="S484" s="43">
        <f t="shared" si="106"/>
        <v>0.75155343100000005</v>
      </c>
      <c r="T484" s="43">
        <f t="shared" si="107"/>
        <v>3.8219139929999999</v>
      </c>
      <c r="U484" s="43">
        <f t="shared" si="108"/>
        <v>9.1639704650000002</v>
      </c>
      <c r="V484" s="43">
        <f t="shared" si="109"/>
        <v>3.3701066000000002E-2</v>
      </c>
      <c r="W484" s="230">
        <f t="shared" si="110"/>
        <v>0.22841055300067517</v>
      </c>
      <c r="X484" s="43">
        <f t="shared" si="111"/>
        <v>0.65821220700000005</v>
      </c>
      <c r="Y484" s="43">
        <v>37.977344160000001</v>
      </c>
      <c r="Z484" s="43">
        <f t="shared" si="100"/>
        <v>0</v>
      </c>
      <c r="AA484" s="43">
        <f t="shared" si="101"/>
        <v>86244</v>
      </c>
      <c r="AB484" s="43">
        <f t="shared" si="102"/>
        <v>34108</v>
      </c>
      <c r="AC484" s="43">
        <f t="shared" si="112"/>
        <v>6.3645432270270294E-2</v>
      </c>
      <c r="AD484" s="43">
        <f t="shared" si="113"/>
        <v>0.82651807273333366</v>
      </c>
      <c r="AF484" s="43">
        <v>15.374223134387819</v>
      </c>
      <c r="AG484" s="43">
        <v>0.110193559</v>
      </c>
      <c r="AH484" s="43">
        <v>2.1381124000000001E-2</v>
      </c>
      <c r="AI484" s="43">
        <v>0.75155343100000005</v>
      </c>
      <c r="AJ484" s="43">
        <v>3.8219139929999999</v>
      </c>
      <c r="AK484" s="43">
        <v>9.1639704650000002</v>
      </c>
      <c r="AL484" s="43">
        <v>3.3701066000000002E-2</v>
      </c>
      <c r="AM484" s="230">
        <v>0.22841055300067517</v>
      </c>
      <c r="AN484" s="43">
        <v>0.65821220700000005</v>
      </c>
    </row>
    <row r="485" spans="1:40" x14ac:dyDescent="0.25">
      <c r="A485" s="134">
        <v>475</v>
      </c>
      <c r="B485" s="134" t="s">
        <v>212</v>
      </c>
      <c r="C485" s="134" t="s">
        <v>210</v>
      </c>
      <c r="D485" s="134" t="s">
        <v>211</v>
      </c>
      <c r="E485" s="134">
        <v>411</v>
      </c>
      <c r="F485" s="134">
        <v>1372</v>
      </c>
      <c r="G485" s="134">
        <v>41</v>
      </c>
      <c r="H485" s="134">
        <v>730</v>
      </c>
      <c r="I485" s="200">
        <v>7.3375560990999997E-2</v>
      </c>
      <c r="J485" s="134">
        <v>2102</v>
      </c>
      <c r="K485" s="134">
        <v>28647.140432200002</v>
      </c>
      <c r="L485" s="42">
        <v>0.75523346030899996</v>
      </c>
      <c r="M485" s="42">
        <v>0.639789658195</v>
      </c>
      <c r="N485" s="134">
        <v>0</v>
      </c>
      <c r="O485" s="43" t="s">
        <v>627</v>
      </c>
      <c r="P485" s="43">
        <f t="shared" si="103"/>
        <v>16.014828502214236</v>
      </c>
      <c r="Q485" s="43">
        <f t="shared" si="104"/>
        <v>0.11868502</v>
      </c>
      <c r="R485" s="43">
        <f t="shared" si="105"/>
        <v>1.8731808999999999E-2</v>
      </c>
      <c r="S485" s="43">
        <f t="shared" si="106"/>
        <v>0.75523346000000002</v>
      </c>
      <c r="T485" s="43">
        <f t="shared" si="107"/>
        <v>3.7580179039999999</v>
      </c>
      <c r="U485" s="43">
        <f t="shared" si="108"/>
        <v>9.6566750849999998</v>
      </c>
      <c r="V485" s="43">
        <f t="shared" si="109"/>
        <v>2.6660626E-2</v>
      </c>
      <c r="W485" s="230">
        <f t="shared" si="110"/>
        <v>0.2403777793266885</v>
      </c>
      <c r="X485" s="43">
        <f t="shared" si="111"/>
        <v>0.66788875700000006</v>
      </c>
      <c r="Y485" s="43">
        <v>32.102465440000003</v>
      </c>
      <c r="Z485" s="43">
        <f t="shared" si="100"/>
        <v>0</v>
      </c>
      <c r="AA485" s="43">
        <f t="shared" si="101"/>
        <v>86244</v>
      </c>
      <c r="AB485" s="43">
        <f t="shared" si="102"/>
        <v>34108</v>
      </c>
      <c r="AC485" s="43">
        <f t="shared" si="112"/>
        <v>6.3645432270270294E-2</v>
      </c>
      <c r="AD485" s="43">
        <f t="shared" si="113"/>
        <v>0.82651807273333366</v>
      </c>
      <c r="AF485" s="43">
        <v>16.014828502214236</v>
      </c>
      <c r="AG485" s="43">
        <v>0.11868502</v>
      </c>
      <c r="AH485" s="43">
        <v>1.8731808999999999E-2</v>
      </c>
      <c r="AI485" s="43">
        <v>0.75523346000000002</v>
      </c>
      <c r="AJ485" s="43">
        <v>3.7580179039999999</v>
      </c>
      <c r="AK485" s="43">
        <v>9.6566750849999998</v>
      </c>
      <c r="AL485" s="43">
        <v>2.6660626E-2</v>
      </c>
      <c r="AM485" s="230">
        <v>0.2403777793266885</v>
      </c>
      <c r="AN485" s="43">
        <v>0.66788875700000006</v>
      </c>
    </row>
    <row r="486" spans="1:40" x14ac:dyDescent="0.25">
      <c r="A486" s="134">
        <v>476</v>
      </c>
      <c r="B486" s="134" t="s">
        <v>212</v>
      </c>
      <c r="C486" s="134" t="s">
        <v>210</v>
      </c>
      <c r="D486" s="134" t="s">
        <v>211</v>
      </c>
      <c r="E486" s="134">
        <v>595</v>
      </c>
      <c r="F486" s="134">
        <v>1293</v>
      </c>
      <c r="G486" s="134">
        <v>47</v>
      </c>
      <c r="H486" s="134">
        <v>447</v>
      </c>
      <c r="I486" s="200">
        <v>7.8630021703900002E-2</v>
      </c>
      <c r="J486" s="134">
        <v>1740</v>
      </c>
      <c r="K486" s="134">
        <v>22128.9523047</v>
      </c>
      <c r="L486" s="42">
        <v>0.785684606402</v>
      </c>
      <c r="M486" s="42">
        <v>0.42898272552799999</v>
      </c>
      <c r="N486" s="134">
        <v>0</v>
      </c>
      <c r="O486" s="43" t="s">
        <v>664</v>
      </c>
      <c r="P486" s="43">
        <f t="shared" si="103"/>
        <v>11.960845846655545</v>
      </c>
      <c r="Q486" s="43">
        <f t="shared" si="104"/>
        <v>8.4912728000000007E-2</v>
      </c>
      <c r="R486" s="43">
        <f t="shared" si="105"/>
        <v>1.7005596000000001E-2</v>
      </c>
      <c r="S486" s="43">
        <f t="shared" si="106"/>
        <v>0.78568460600000001</v>
      </c>
      <c r="T486" s="43">
        <f t="shared" si="107"/>
        <v>3.0245901640000001</v>
      </c>
      <c r="U486" s="43">
        <f t="shared" si="108"/>
        <v>7.3003289589999998</v>
      </c>
      <c r="V486" s="43">
        <f t="shared" si="109"/>
        <v>1.9236165E-2</v>
      </c>
      <c r="W486" s="230">
        <f t="shared" si="110"/>
        <v>0.17185762535723564</v>
      </c>
      <c r="X486" s="43">
        <f t="shared" si="111"/>
        <v>0.73908028100000001</v>
      </c>
      <c r="Y486" s="43">
        <v>119.9002926</v>
      </c>
      <c r="Z486" s="43">
        <f t="shared" si="100"/>
        <v>0</v>
      </c>
      <c r="AA486" s="43">
        <f t="shared" si="101"/>
        <v>86244</v>
      </c>
      <c r="AB486" s="43">
        <f t="shared" si="102"/>
        <v>34108</v>
      </c>
      <c r="AC486" s="43">
        <f t="shared" si="112"/>
        <v>6.3645432270270294E-2</v>
      </c>
      <c r="AD486" s="43">
        <f t="shared" si="113"/>
        <v>0.82651807273333366</v>
      </c>
      <c r="AF486" s="43">
        <v>11.960845846655545</v>
      </c>
      <c r="AG486" s="43">
        <v>8.4912728000000007E-2</v>
      </c>
      <c r="AH486" s="43">
        <v>1.7005596000000001E-2</v>
      </c>
      <c r="AI486" s="43">
        <v>0.78568460600000001</v>
      </c>
      <c r="AJ486" s="43">
        <v>3.0245901640000001</v>
      </c>
      <c r="AK486" s="43">
        <v>7.3003289589999998</v>
      </c>
      <c r="AL486" s="43">
        <v>1.9236165E-2</v>
      </c>
      <c r="AM486" s="230">
        <v>0.17185762535723564</v>
      </c>
      <c r="AN486" s="43">
        <v>0.73908028100000001</v>
      </c>
    </row>
    <row r="487" spans="1:40" x14ac:dyDescent="0.25">
      <c r="A487" s="134">
        <v>477</v>
      </c>
      <c r="B487" s="134" t="s">
        <v>212</v>
      </c>
      <c r="C487" s="134" t="s">
        <v>210</v>
      </c>
      <c r="D487" s="134" t="s">
        <v>211</v>
      </c>
      <c r="E487" s="134">
        <v>684</v>
      </c>
      <c r="F487" s="134">
        <v>1486</v>
      </c>
      <c r="G487" s="134">
        <v>78</v>
      </c>
      <c r="H487" s="134">
        <v>414</v>
      </c>
      <c r="I487" s="200">
        <v>0.12964665404600001</v>
      </c>
      <c r="J487" s="134">
        <v>1900</v>
      </c>
      <c r="K487" s="134">
        <v>14655.218169600001</v>
      </c>
      <c r="L487" s="42">
        <v>0.70999509671899996</v>
      </c>
      <c r="M487" s="42">
        <v>0.377049180328</v>
      </c>
      <c r="N487" s="134">
        <v>0</v>
      </c>
      <c r="O487" s="43" t="s">
        <v>664</v>
      </c>
      <c r="P487" s="43">
        <f t="shared" si="103"/>
        <v>12.124531388294688</v>
      </c>
      <c r="Q487" s="43">
        <f t="shared" si="104"/>
        <v>9.6256241000000006E-2</v>
      </c>
      <c r="R487" s="43">
        <f t="shared" si="105"/>
        <v>7.8042739E-2</v>
      </c>
      <c r="S487" s="43">
        <f t="shared" si="106"/>
        <v>0.70999509699999996</v>
      </c>
      <c r="T487" s="43">
        <f t="shared" si="107"/>
        <v>3.1284547090000001</v>
      </c>
      <c r="U487" s="43">
        <f t="shared" si="108"/>
        <v>7.2457276769999996</v>
      </c>
      <c r="V487" s="43">
        <f t="shared" si="109"/>
        <v>1.5699082999999999E-2</v>
      </c>
      <c r="W487" s="230">
        <f t="shared" si="110"/>
        <v>0.15451959272420762</v>
      </c>
      <c r="X487" s="43">
        <f t="shared" si="111"/>
        <v>0.76613250799999999</v>
      </c>
      <c r="Y487" s="43">
        <v>85.161599210000006</v>
      </c>
      <c r="Z487" s="43">
        <f t="shared" si="100"/>
        <v>0</v>
      </c>
      <c r="AA487" s="43">
        <f t="shared" si="101"/>
        <v>86244</v>
      </c>
      <c r="AB487" s="43">
        <f t="shared" si="102"/>
        <v>34108</v>
      </c>
      <c r="AC487" s="43">
        <f t="shared" si="112"/>
        <v>6.3645432270270294E-2</v>
      </c>
      <c r="AD487" s="43">
        <f t="shared" si="113"/>
        <v>0.82651807273333366</v>
      </c>
      <c r="AF487" s="43">
        <v>12.124531388294688</v>
      </c>
      <c r="AG487" s="43">
        <v>9.6256241000000006E-2</v>
      </c>
      <c r="AH487" s="43">
        <v>7.8042739E-2</v>
      </c>
      <c r="AI487" s="43">
        <v>0.70999509699999996</v>
      </c>
      <c r="AJ487" s="43">
        <v>3.1284547090000001</v>
      </c>
      <c r="AK487" s="43">
        <v>7.2457276769999996</v>
      </c>
      <c r="AL487" s="43">
        <v>1.5699082999999999E-2</v>
      </c>
      <c r="AM487" s="230">
        <v>0.15451959272420762</v>
      </c>
      <c r="AN487" s="43">
        <v>0.76613250799999999</v>
      </c>
    </row>
    <row r="488" spans="1:40" x14ac:dyDescent="0.25">
      <c r="A488" s="134">
        <v>478</v>
      </c>
      <c r="B488" s="134" t="s">
        <v>212</v>
      </c>
      <c r="C488" s="134" t="s">
        <v>210</v>
      </c>
      <c r="D488" s="134" t="s">
        <v>211</v>
      </c>
      <c r="E488" s="134">
        <v>1072</v>
      </c>
      <c r="F488" s="134">
        <v>2330</v>
      </c>
      <c r="G488" s="134">
        <v>110</v>
      </c>
      <c r="H488" s="134">
        <v>238</v>
      </c>
      <c r="I488" s="200">
        <v>0.18190392230800001</v>
      </c>
      <c r="J488" s="134">
        <v>2568</v>
      </c>
      <c r="K488" s="134">
        <v>14117.342646700001</v>
      </c>
      <c r="L488" s="42">
        <v>0.82994252747999997</v>
      </c>
      <c r="M488" s="42">
        <v>0.18167938931300001</v>
      </c>
      <c r="N488" s="134">
        <v>0</v>
      </c>
      <c r="O488" s="43" t="s">
        <v>664</v>
      </c>
      <c r="P488" s="43">
        <f t="shared" si="103"/>
        <v>12.46442261189962</v>
      </c>
      <c r="Q488" s="43">
        <f t="shared" si="104"/>
        <v>6.7020150000000001E-2</v>
      </c>
      <c r="R488" s="43">
        <f t="shared" si="105"/>
        <v>1.6089524000000001E-2</v>
      </c>
      <c r="S488" s="43">
        <f t="shared" si="106"/>
        <v>0.82994252700000004</v>
      </c>
      <c r="T488" s="43">
        <f t="shared" si="107"/>
        <v>3.3947335889999999</v>
      </c>
      <c r="U488" s="43">
        <f t="shared" si="108"/>
        <v>8.2423329259999996</v>
      </c>
      <c r="V488" s="43">
        <f t="shared" si="109"/>
        <v>1.2735513E-2</v>
      </c>
      <c r="W488" s="230">
        <f t="shared" si="110"/>
        <v>0.14982207738697234</v>
      </c>
      <c r="X488" s="43">
        <f t="shared" si="111"/>
        <v>0.80530396699999995</v>
      </c>
      <c r="Y488" s="43">
        <v>61.358758299999998</v>
      </c>
      <c r="Z488" s="43">
        <f t="shared" si="100"/>
        <v>0</v>
      </c>
      <c r="AA488" s="43">
        <f t="shared" si="101"/>
        <v>86244</v>
      </c>
      <c r="AB488" s="43">
        <f t="shared" si="102"/>
        <v>34108</v>
      </c>
      <c r="AC488" s="43">
        <f t="shared" si="112"/>
        <v>6.3645432270270294E-2</v>
      </c>
      <c r="AD488" s="43">
        <f t="shared" si="113"/>
        <v>0.82651807273333366</v>
      </c>
      <c r="AF488" s="43">
        <v>12.46442261189962</v>
      </c>
      <c r="AG488" s="43">
        <v>6.7020150000000001E-2</v>
      </c>
      <c r="AH488" s="43">
        <v>1.6089524000000001E-2</v>
      </c>
      <c r="AI488" s="43">
        <v>0.82994252700000004</v>
      </c>
      <c r="AJ488" s="43">
        <v>3.3947335889999999</v>
      </c>
      <c r="AK488" s="43">
        <v>8.2423329259999996</v>
      </c>
      <c r="AL488" s="43">
        <v>1.2735513E-2</v>
      </c>
      <c r="AM488" s="230">
        <v>0.14982207738697234</v>
      </c>
      <c r="AN488" s="43">
        <v>0.80530396699999995</v>
      </c>
    </row>
    <row r="489" spans="1:40" x14ac:dyDescent="0.25">
      <c r="A489" s="134">
        <v>479</v>
      </c>
      <c r="B489" s="134" t="s">
        <v>212</v>
      </c>
      <c r="C489" s="134" t="s">
        <v>210</v>
      </c>
      <c r="D489" s="134" t="s">
        <v>211</v>
      </c>
      <c r="E489" s="134">
        <v>761</v>
      </c>
      <c r="F489" s="134">
        <v>2114</v>
      </c>
      <c r="G489" s="134">
        <v>69</v>
      </c>
      <c r="H489" s="134">
        <v>290</v>
      </c>
      <c r="I489" s="200">
        <v>0.10371047622</v>
      </c>
      <c r="J489" s="134">
        <v>2404</v>
      </c>
      <c r="K489" s="134">
        <v>23179.9147744</v>
      </c>
      <c r="L489" s="42">
        <v>0.75478231944399998</v>
      </c>
      <c r="M489" s="42">
        <v>0.27592768791599998</v>
      </c>
      <c r="N489" s="134">
        <v>0</v>
      </c>
      <c r="O489" s="43" t="s">
        <v>664</v>
      </c>
      <c r="P489" s="43">
        <f t="shared" si="103"/>
        <v>11.724750995128295</v>
      </c>
      <c r="Q489" s="43">
        <f t="shared" si="104"/>
        <v>8.9316301000000001E-2</v>
      </c>
      <c r="R489" s="43">
        <f t="shared" si="105"/>
        <v>2.0030383999999998E-2</v>
      </c>
      <c r="S489" s="43">
        <f t="shared" si="106"/>
        <v>0.75478231900000003</v>
      </c>
      <c r="T489" s="43">
        <f t="shared" si="107"/>
        <v>2.7812112189999998</v>
      </c>
      <c r="U489" s="43">
        <f t="shared" si="108"/>
        <v>6.9091865459999999</v>
      </c>
      <c r="V489" s="43">
        <f t="shared" si="109"/>
        <v>1.7077391000000001E-2</v>
      </c>
      <c r="W489" s="230">
        <f t="shared" si="110"/>
        <v>0.19691297080127859</v>
      </c>
      <c r="X489" s="43">
        <f t="shared" si="111"/>
        <v>0.70959637900000005</v>
      </c>
      <c r="Y489" s="43">
        <v>153.94278460000001</v>
      </c>
      <c r="Z489" s="43">
        <f t="shared" si="100"/>
        <v>0</v>
      </c>
      <c r="AA489" s="43">
        <f t="shared" si="101"/>
        <v>86244</v>
      </c>
      <c r="AB489" s="43">
        <f t="shared" si="102"/>
        <v>34108</v>
      </c>
      <c r="AC489" s="43">
        <f t="shared" si="112"/>
        <v>6.3645432270270294E-2</v>
      </c>
      <c r="AD489" s="43">
        <f t="shared" si="113"/>
        <v>0.82651807273333366</v>
      </c>
      <c r="AF489" s="43">
        <v>11.724750995128295</v>
      </c>
      <c r="AG489" s="43">
        <v>8.9316301000000001E-2</v>
      </c>
      <c r="AH489" s="43">
        <v>2.0030383999999998E-2</v>
      </c>
      <c r="AI489" s="43">
        <v>0.75478231900000003</v>
      </c>
      <c r="AJ489" s="43">
        <v>2.7812112189999998</v>
      </c>
      <c r="AK489" s="43">
        <v>6.9091865459999999</v>
      </c>
      <c r="AL489" s="43">
        <v>1.7077391000000001E-2</v>
      </c>
      <c r="AM489" s="230">
        <v>0.19691297080127859</v>
      </c>
      <c r="AN489" s="43">
        <v>0.70959637900000005</v>
      </c>
    </row>
    <row r="490" spans="1:40" x14ac:dyDescent="0.25">
      <c r="A490" s="134">
        <v>480</v>
      </c>
      <c r="B490" s="134" t="s">
        <v>212</v>
      </c>
      <c r="C490" s="134" t="s">
        <v>210</v>
      </c>
      <c r="D490" s="134" t="s">
        <v>211</v>
      </c>
      <c r="E490" s="134">
        <v>1062</v>
      </c>
      <c r="F490" s="134">
        <v>2947</v>
      </c>
      <c r="G490" s="134">
        <v>76</v>
      </c>
      <c r="H490" s="134">
        <v>180</v>
      </c>
      <c r="I490" s="200">
        <v>0.11479141497500001</v>
      </c>
      <c r="J490" s="134">
        <v>3127</v>
      </c>
      <c r="K490" s="134">
        <v>27240.713085300002</v>
      </c>
      <c r="L490" s="42">
        <v>0.74791342833300001</v>
      </c>
      <c r="M490" s="42">
        <v>0.144927536232</v>
      </c>
      <c r="N490" s="134">
        <v>0</v>
      </c>
      <c r="O490" s="43" t="s">
        <v>664</v>
      </c>
      <c r="P490" s="43">
        <f t="shared" si="103"/>
        <v>11.06068194384382</v>
      </c>
      <c r="Q490" s="43">
        <f t="shared" si="104"/>
        <v>9.5744924999999995E-2</v>
      </c>
      <c r="R490" s="43">
        <f t="shared" si="105"/>
        <v>2.0867631000000001E-2</v>
      </c>
      <c r="S490" s="43">
        <f t="shared" si="106"/>
        <v>0.74791342800000005</v>
      </c>
      <c r="T490" s="43">
        <f t="shared" si="107"/>
        <v>2.7342480839999999</v>
      </c>
      <c r="U490" s="43">
        <f t="shared" si="108"/>
        <v>6.5877605949999998</v>
      </c>
      <c r="V490" s="43">
        <f t="shared" si="109"/>
        <v>1.5057264000000001E-2</v>
      </c>
      <c r="W490" s="230">
        <f t="shared" si="110"/>
        <v>0.2121480673529211</v>
      </c>
      <c r="X490" s="43">
        <f t="shared" si="111"/>
        <v>0.69788329100000002</v>
      </c>
      <c r="Y490" s="43">
        <v>138.42883929999999</v>
      </c>
      <c r="Z490" s="43">
        <f t="shared" si="100"/>
        <v>0</v>
      </c>
      <c r="AA490" s="43">
        <f t="shared" si="101"/>
        <v>86244</v>
      </c>
      <c r="AB490" s="43">
        <f t="shared" si="102"/>
        <v>34108</v>
      </c>
      <c r="AC490" s="43">
        <f t="shared" si="112"/>
        <v>6.3645432270270294E-2</v>
      </c>
      <c r="AD490" s="43">
        <f t="shared" si="113"/>
        <v>0.82651807273333366</v>
      </c>
      <c r="AF490" s="43">
        <v>11.06068194384382</v>
      </c>
      <c r="AG490" s="43">
        <v>9.5744924999999995E-2</v>
      </c>
      <c r="AH490" s="43">
        <v>2.0867631000000001E-2</v>
      </c>
      <c r="AI490" s="43">
        <v>0.74791342800000005</v>
      </c>
      <c r="AJ490" s="43">
        <v>2.7342480839999999</v>
      </c>
      <c r="AK490" s="43">
        <v>6.5877605949999998</v>
      </c>
      <c r="AL490" s="43">
        <v>1.5057264000000001E-2</v>
      </c>
      <c r="AM490" s="230">
        <v>0.2121480673529211</v>
      </c>
      <c r="AN490" s="43">
        <v>0.69788329100000002</v>
      </c>
    </row>
    <row r="491" spans="1:40" x14ac:dyDescent="0.25">
      <c r="A491" s="134">
        <v>481</v>
      </c>
      <c r="B491" s="134" t="s">
        <v>212</v>
      </c>
      <c r="C491" s="134" t="s">
        <v>210</v>
      </c>
      <c r="D491" s="134" t="s">
        <v>211</v>
      </c>
      <c r="E491" s="134">
        <v>0</v>
      </c>
      <c r="F491" s="134">
        <v>0</v>
      </c>
      <c r="G491" s="134">
        <v>63</v>
      </c>
      <c r="H491" s="134">
        <v>626</v>
      </c>
      <c r="I491" s="200">
        <v>0.10381013925099999</v>
      </c>
      <c r="J491" s="134">
        <v>626</v>
      </c>
      <c r="K491" s="134">
        <v>6030.2394787100002</v>
      </c>
      <c r="L491" s="42">
        <v>0.72815365064000004</v>
      </c>
      <c r="M491" s="42">
        <v>1</v>
      </c>
      <c r="N491" s="134">
        <v>0</v>
      </c>
      <c r="O491" s="43" t="s">
        <v>664</v>
      </c>
      <c r="P491" s="43">
        <f t="shared" si="103"/>
        <v>15.458453191162679</v>
      </c>
      <c r="Q491" s="43">
        <f t="shared" si="104"/>
        <v>9.6714979000000006E-2</v>
      </c>
      <c r="R491" s="43">
        <f t="shared" si="105"/>
        <v>6.855982E-3</v>
      </c>
      <c r="S491" s="43">
        <f t="shared" si="106"/>
        <v>0.72815365099999996</v>
      </c>
      <c r="T491" s="43">
        <f t="shared" si="107"/>
        <v>2.7287792299999998</v>
      </c>
      <c r="U491" s="43">
        <f t="shared" si="108"/>
        <v>6.085142684</v>
      </c>
      <c r="V491" s="43">
        <f t="shared" si="109"/>
        <v>1.3905895E-2</v>
      </c>
      <c r="W491" s="230">
        <f t="shared" si="110"/>
        <v>6.6847414144947825E-2</v>
      </c>
      <c r="X491" s="43">
        <f t="shared" si="111"/>
        <v>0.84925077299999996</v>
      </c>
      <c r="Y491" s="43">
        <v>170.06941040000001</v>
      </c>
      <c r="Z491" s="43">
        <f t="shared" si="100"/>
        <v>0</v>
      </c>
      <c r="AA491" s="43">
        <f t="shared" si="101"/>
        <v>86244</v>
      </c>
      <c r="AB491" s="43">
        <f t="shared" si="102"/>
        <v>34108</v>
      </c>
      <c r="AC491" s="43">
        <f t="shared" si="112"/>
        <v>6.3645432270270294E-2</v>
      </c>
      <c r="AD491" s="43">
        <f t="shared" si="113"/>
        <v>0.82651807273333366</v>
      </c>
      <c r="AF491" s="43">
        <v>15.458453191162679</v>
      </c>
      <c r="AG491" s="43">
        <v>9.6714979000000006E-2</v>
      </c>
      <c r="AH491" s="43">
        <v>6.855982E-3</v>
      </c>
      <c r="AI491" s="43">
        <v>0.72815365099999996</v>
      </c>
      <c r="AJ491" s="43">
        <v>2.7287792299999998</v>
      </c>
      <c r="AK491" s="43">
        <v>6.085142684</v>
      </c>
      <c r="AL491" s="43">
        <v>1.3905895E-2</v>
      </c>
      <c r="AM491" s="230">
        <v>6.6847414144947825E-2</v>
      </c>
      <c r="AN491" s="43">
        <v>0.84925077299999996</v>
      </c>
    </row>
    <row r="492" spans="1:40" x14ac:dyDescent="0.25">
      <c r="A492" s="134">
        <v>482</v>
      </c>
      <c r="B492" s="134" t="s">
        <v>212</v>
      </c>
      <c r="C492" s="134" t="s">
        <v>210</v>
      </c>
      <c r="D492" s="134" t="s">
        <v>211</v>
      </c>
      <c r="E492" s="134">
        <v>622</v>
      </c>
      <c r="F492" s="134">
        <v>1845</v>
      </c>
      <c r="G492" s="134">
        <v>109</v>
      </c>
      <c r="H492" s="134">
        <v>375</v>
      </c>
      <c r="I492" s="200">
        <v>0.18107634949000001</v>
      </c>
      <c r="J492" s="134">
        <v>2220</v>
      </c>
      <c r="K492" s="134">
        <v>12260.021843</v>
      </c>
      <c r="L492" s="42">
        <v>0.77451861311100001</v>
      </c>
      <c r="M492" s="42">
        <v>0.37612838515500002</v>
      </c>
      <c r="N492" s="134">
        <v>0</v>
      </c>
      <c r="O492" s="43" t="s">
        <v>664</v>
      </c>
      <c r="P492" s="43">
        <f t="shared" si="103"/>
        <v>12.957152348264568</v>
      </c>
      <c r="Q492" s="43">
        <f t="shared" si="104"/>
        <v>9.8983288000000003E-2</v>
      </c>
      <c r="R492" s="43">
        <f t="shared" si="105"/>
        <v>1.4585140999999999E-2</v>
      </c>
      <c r="S492" s="43">
        <f t="shared" si="106"/>
        <v>0.77451861300000002</v>
      </c>
      <c r="T492" s="43">
        <f t="shared" si="107"/>
        <v>3.1775419980000001</v>
      </c>
      <c r="U492" s="43">
        <f t="shared" si="108"/>
        <v>8.0813137939999997</v>
      </c>
      <c r="V492" s="43">
        <f t="shared" si="109"/>
        <v>1.4193570000000001E-2</v>
      </c>
      <c r="W492" s="230">
        <f t="shared" si="110"/>
        <v>0.16432626734303088</v>
      </c>
      <c r="X492" s="43">
        <f t="shared" si="111"/>
        <v>0.76689790700000005</v>
      </c>
      <c r="Y492" s="43">
        <v>170.52176979999999</v>
      </c>
      <c r="Z492" s="43">
        <f t="shared" si="100"/>
        <v>0</v>
      </c>
      <c r="AA492" s="43">
        <f t="shared" si="101"/>
        <v>86244</v>
      </c>
      <c r="AB492" s="43">
        <f t="shared" si="102"/>
        <v>34108</v>
      </c>
      <c r="AC492" s="43">
        <f t="shared" si="112"/>
        <v>6.3645432270270294E-2</v>
      </c>
      <c r="AD492" s="43">
        <f t="shared" si="113"/>
        <v>0.82651807273333366</v>
      </c>
      <c r="AF492" s="43">
        <v>12.957152348264568</v>
      </c>
      <c r="AG492" s="43">
        <v>9.8983288000000003E-2</v>
      </c>
      <c r="AH492" s="43">
        <v>1.4585140999999999E-2</v>
      </c>
      <c r="AI492" s="43">
        <v>0.77451861300000002</v>
      </c>
      <c r="AJ492" s="43">
        <v>3.1775419980000001</v>
      </c>
      <c r="AK492" s="43">
        <v>8.0813137939999997</v>
      </c>
      <c r="AL492" s="43">
        <v>1.4193570000000001E-2</v>
      </c>
      <c r="AM492" s="230">
        <v>0.16432626734303088</v>
      </c>
      <c r="AN492" s="43">
        <v>0.76689790700000005</v>
      </c>
    </row>
    <row r="493" spans="1:40" x14ac:dyDescent="0.25">
      <c r="A493" s="134">
        <v>483</v>
      </c>
      <c r="B493" s="134" t="s">
        <v>212</v>
      </c>
      <c r="C493" s="134" t="s">
        <v>210</v>
      </c>
      <c r="D493" s="134" t="s">
        <v>211</v>
      </c>
      <c r="E493" s="134">
        <v>193</v>
      </c>
      <c r="F493" s="134">
        <v>574</v>
      </c>
      <c r="G493" s="134">
        <v>117</v>
      </c>
      <c r="H493" s="134">
        <v>730</v>
      </c>
      <c r="I493" s="200">
        <v>5.8987207562699998E-2</v>
      </c>
      <c r="J493" s="134">
        <v>1304</v>
      </c>
      <c r="K493" s="134">
        <v>22106.488065500002</v>
      </c>
      <c r="L493" s="42">
        <v>0.83013468093499998</v>
      </c>
      <c r="M493" s="42">
        <v>0.79089924160299996</v>
      </c>
      <c r="N493" s="134">
        <v>0</v>
      </c>
      <c r="O493" s="43" t="s">
        <v>664</v>
      </c>
      <c r="P493" s="43">
        <f t="shared" si="103"/>
        <v>15.138937124118833</v>
      </c>
      <c r="Q493" s="43">
        <f t="shared" si="104"/>
        <v>6.0917807999999997E-2</v>
      </c>
      <c r="R493" s="43">
        <f t="shared" si="105"/>
        <v>1.4822985E-2</v>
      </c>
      <c r="S493" s="43">
        <f t="shared" si="106"/>
        <v>0.83013468099999999</v>
      </c>
      <c r="T493" s="43">
        <f t="shared" si="107"/>
        <v>3.3029623699999999</v>
      </c>
      <c r="U493" s="43">
        <f t="shared" si="108"/>
        <v>9.3933456290000006</v>
      </c>
      <c r="V493" s="43">
        <f t="shared" si="109"/>
        <v>1.5086654999999999E-2</v>
      </c>
      <c r="W493" s="230">
        <f t="shared" si="110"/>
        <v>9.0187440256015952E-2</v>
      </c>
      <c r="X493" s="43">
        <f t="shared" si="111"/>
        <v>0.83915880499999995</v>
      </c>
      <c r="Y493" s="43">
        <v>170.5974731</v>
      </c>
      <c r="Z493" s="43">
        <f t="shared" si="100"/>
        <v>0</v>
      </c>
      <c r="AA493" s="43">
        <f t="shared" si="101"/>
        <v>86244</v>
      </c>
      <c r="AB493" s="43">
        <f t="shared" si="102"/>
        <v>34108</v>
      </c>
      <c r="AC493" s="43">
        <f t="shared" si="112"/>
        <v>6.3645432270270294E-2</v>
      </c>
      <c r="AD493" s="43">
        <f t="shared" si="113"/>
        <v>0.82651807273333366</v>
      </c>
      <c r="AF493" s="43">
        <v>15.138937124118833</v>
      </c>
      <c r="AG493" s="43">
        <v>6.0917807999999997E-2</v>
      </c>
      <c r="AH493" s="43">
        <v>1.4822985E-2</v>
      </c>
      <c r="AI493" s="43">
        <v>0.83013468099999999</v>
      </c>
      <c r="AJ493" s="43">
        <v>3.3029623699999999</v>
      </c>
      <c r="AK493" s="43">
        <v>9.3933456290000006</v>
      </c>
      <c r="AL493" s="43">
        <v>1.5086654999999999E-2</v>
      </c>
      <c r="AM493" s="230">
        <v>9.0187440256015952E-2</v>
      </c>
      <c r="AN493" s="43">
        <v>0.83915880499999995</v>
      </c>
    </row>
    <row r="494" spans="1:40" x14ac:dyDescent="0.25">
      <c r="A494" s="134">
        <v>484</v>
      </c>
      <c r="B494" s="134" t="s">
        <v>212</v>
      </c>
      <c r="C494" s="134" t="s">
        <v>210</v>
      </c>
      <c r="D494" s="134" t="s">
        <v>211</v>
      </c>
      <c r="E494" s="134">
        <v>0</v>
      </c>
      <c r="F494" s="134">
        <v>0</v>
      </c>
      <c r="G494" s="134">
        <v>42</v>
      </c>
      <c r="H494" s="134">
        <v>438</v>
      </c>
      <c r="I494" s="200">
        <v>6.8643714447000001E-2</v>
      </c>
      <c r="J494" s="134">
        <v>438</v>
      </c>
      <c r="K494" s="134">
        <v>6380.7735861700003</v>
      </c>
      <c r="L494" s="42">
        <v>0.85054150278700003</v>
      </c>
      <c r="M494" s="42">
        <v>1</v>
      </c>
      <c r="N494" s="134">
        <v>0</v>
      </c>
      <c r="O494" s="43" t="s">
        <v>664</v>
      </c>
      <c r="P494" s="43">
        <f t="shared" si="103"/>
        <v>15.583787359737494</v>
      </c>
      <c r="Q494" s="43">
        <f t="shared" si="104"/>
        <v>5.4951815000000001E-2</v>
      </c>
      <c r="R494" s="43">
        <f t="shared" si="105"/>
        <v>1.0923258E-2</v>
      </c>
      <c r="S494" s="43">
        <f t="shared" si="106"/>
        <v>0.85054150299999998</v>
      </c>
      <c r="T494" s="43">
        <f t="shared" si="107"/>
        <v>3.6747491640000001</v>
      </c>
      <c r="U494" s="43">
        <f t="shared" si="108"/>
        <v>8.8562334469999993</v>
      </c>
      <c r="V494" s="43">
        <f t="shared" si="109"/>
        <v>1.2762040000000001E-2</v>
      </c>
      <c r="W494" s="230">
        <f t="shared" si="110"/>
        <v>5.8621699652705132E-2</v>
      </c>
      <c r="X494" s="43">
        <f t="shared" si="111"/>
        <v>0.85790200400000005</v>
      </c>
      <c r="Y494" s="43">
        <v>170.43654509999999</v>
      </c>
      <c r="Z494" s="43">
        <f t="shared" si="100"/>
        <v>0</v>
      </c>
      <c r="AA494" s="43">
        <f t="shared" si="101"/>
        <v>86244</v>
      </c>
      <c r="AB494" s="43">
        <f t="shared" si="102"/>
        <v>34108</v>
      </c>
      <c r="AC494" s="43">
        <f t="shared" si="112"/>
        <v>6.3645432270270294E-2</v>
      </c>
      <c r="AD494" s="43">
        <f t="shared" si="113"/>
        <v>0.82651807273333366</v>
      </c>
      <c r="AF494" s="43">
        <v>15.583787359737494</v>
      </c>
      <c r="AG494" s="43">
        <v>5.4951815000000001E-2</v>
      </c>
      <c r="AH494" s="43">
        <v>1.0923258E-2</v>
      </c>
      <c r="AI494" s="43">
        <v>0.85054150299999998</v>
      </c>
      <c r="AJ494" s="43">
        <v>3.6747491640000001</v>
      </c>
      <c r="AK494" s="43">
        <v>8.8562334469999993</v>
      </c>
      <c r="AL494" s="43">
        <v>1.2762040000000001E-2</v>
      </c>
      <c r="AM494" s="230">
        <v>5.8621699652705132E-2</v>
      </c>
      <c r="AN494" s="43">
        <v>0.85790200400000005</v>
      </c>
    </row>
    <row r="495" spans="1:40" x14ac:dyDescent="0.25">
      <c r="A495" s="134">
        <v>485</v>
      </c>
      <c r="B495" s="134" t="s">
        <v>212</v>
      </c>
      <c r="C495" s="134" t="s">
        <v>210</v>
      </c>
      <c r="D495" s="134" t="s">
        <v>211</v>
      </c>
      <c r="E495" s="134">
        <v>0</v>
      </c>
      <c r="F495" s="134">
        <v>0</v>
      </c>
      <c r="G495" s="134">
        <v>78</v>
      </c>
      <c r="H495" s="134">
        <v>730</v>
      </c>
      <c r="I495" s="200">
        <v>0.12917053632799999</v>
      </c>
      <c r="J495" s="134">
        <v>730</v>
      </c>
      <c r="K495" s="134">
        <v>5651.4435934900002</v>
      </c>
      <c r="L495" s="42">
        <v>0.87241597354</v>
      </c>
      <c r="M495" s="42">
        <v>1</v>
      </c>
      <c r="N495" s="134">
        <v>0</v>
      </c>
      <c r="O495" s="43" t="s">
        <v>664</v>
      </c>
      <c r="P495" s="43">
        <f t="shared" si="103"/>
        <v>16.104132598488285</v>
      </c>
      <c r="Q495" s="43">
        <f t="shared" si="104"/>
        <v>3.9447443999999998E-2</v>
      </c>
      <c r="R495" s="43">
        <f t="shared" si="105"/>
        <v>1.199799E-2</v>
      </c>
      <c r="S495" s="43">
        <f t="shared" si="106"/>
        <v>0.87241597400000004</v>
      </c>
      <c r="T495" s="43">
        <f t="shared" si="107"/>
        <v>3.5762309000000001</v>
      </c>
      <c r="U495" s="43">
        <f t="shared" si="108"/>
        <v>9.3716639270000002</v>
      </c>
      <c r="V495" s="43">
        <f t="shared" si="109"/>
        <v>1.4653296999999999E-2</v>
      </c>
      <c r="W495" s="230">
        <f t="shared" si="110"/>
        <v>4.9886224400490106E-2</v>
      </c>
      <c r="X495" s="43">
        <f t="shared" si="111"/>
        <v>0.88262359000000001</v>
      </c>
      <c r="Y495" s="43">
        <v>170.5967752</v>
      </c>
      <c r="Z495" s="43">
        <f t="shared" si="100"/>
        <v>0</v>
      </c>
      <c r="AA495" s="43">
        <f t="shared" si="101"/>
        <v>86244</v>
      </c>
      <c r="AB495" s="43">
        <f t="shared" si="102"/>
        <v>34108</v>
      </c>
      <c r="AC495" s="43">
        <f t="shared" si="112"/>
        <v>6.3645432270270294E-2</v>
      </c>
      <c r="AD495" s="43">
        <f t="shared" si="113"/>
        <v>0.82651807273333366</v>
      </c>
      <c r="AF495" s="43">
        <v>16.104132598488285</v>
      </c>
      <c r="AG495" s="43">
        <v>3.9447443999999998E-2</v>
      </c>
      <c r="AH495" s="43">
        <v>1.199799E-2</v>
      </c>
      <c r="AI495" s="43">
        <v>0.87241597400000004</v>
      </c>
      <c r="AJ495" s="43">
        <v>3.5762309000000001</v>
      </c>
      <c r="AK495" s="43">
        <v>9.3716639270000002</v>
      </c>
      <c r="AL495" s="43">
        <v>1.4653296999999999E-2</v>
      </c>
      <c r="AM495" s="230">
        <v>4.9886224400490106E-2</v>
      </c>
      <c r="AN495" s="43">
        <v>0.88262359000000001</v>
      </c>
    </row>
    <row r="496" spans="1:40" x14ac:dyDescent="0.25">
      <c r="A496" s="134">
        <v>486</v>
      </c>
      <c r="B496" s="134" t="s">
        <v>212</v>
      </c>
      <c r="C496" s="134" t="s">
        <v>210</v>
      </c>
      <c r="D496" s="134" t="s">
        <v>211</v>
      </c>
      <c r="E496" s="134">
        <v>255</v>
      </c>
      <c r="F496" s="134">
        <v>602</v>
      </c>
      <c r="G496" s="134">
        <v>27</v>
      </c>
      <c r="H496" s="134">
        <v>37</v>
      </c>
      <c r="I496" s="200">
        <v>3.7511102603899997E-2</v>
      </c>
      <c r="J496" s="134">
        <v>639</v>
      </c>
      <c r="K496" s="134">
        <v>17034.956470000001</v>
      </c>
      <c r="L496" s="42">
        <v>0.79626358639799999</v>
      </c>
      <c r="M496" s="42">
        <v>0.126712328767</v>
      </c>
      <c r="N496" s="134">
        <v>0</v>
      </c>
      <c r="O496" s="43" t="s">
        <v>664</v>
      </c>
      <c r="P496" s="43">
        <f t="shared" si="103"/>
        <v>10.732027629614128</v>
      </c>
      <c r="Q496" s="43">
        <f t="shared" si="104"/>
        <v>7.2378635999999996E-2</v>
      </c>
      <c r="R496" s="43">
        <f t="shared" si="105"/>
        <v>1.6077752000000001E-2</v>
      </c>
      <c r="S496" s="43">
        <f t="shared" si="106"/>
        <v>0.79626358600000002</v>
      </c>
      <c r="T496" s="43">
        <f t="shared" si="107"/>
        <v>2.800254453</v>
      </c>
      <c r="U496" s="43">
        <f t="shared" si="108"/>
        <v>6.3067516809999997</v>
      </c>
      <c r="V496" s="43">
        <f t="shared" si="109"/>
        <v>8.2943429999999992E-3</v>
      </c>
      <c r="W496" s="230">
        <f t="shared" si="110"/>
        <v>0.17336594357011201</v>
      </c>
      <c r="X496" s="43">
        <f t="shared" si="111"/>
        <v>0.74074861800000003</v>
      </c>
      <c r="Y496" s="43">
        <v>260.53831409999998</v>
      </c>
      <c r="Z496" s="43">
        <f t="shared" si="100"/>
        <v>0</v>
      </c>
      <c r="AA496" s="43">
        <f t="shared" si="101"/>
        <v>86244</v>
      </c>
      <c r="AB496" s="43">
        <f t="shared" si="102"/>
        <v>34108</v>
      </c>
      <c r="AC496" s="43">
        <f t="shared" si="112"/>
        <v>6.3645432270270294E-2</v>
      </c>
      <c r="AD496" s="43">
        <f t="shared" si="113"/>
        <v>0.82651807273333366</v>
      </c>
      <c r="AF496" s="43">
        <v>10.732027629614128</v>
      </c>
      <c r="AG496" s="43">
        <v>7.2378635999999996E-2</v>
      </c>
      <c r="AH496" s="43">
        <v>1.6077752000000001E-2</v>
      </c>
      <c r="AI496" s="43">
        <v>0.79626358600000002</v>
      </c>
      <c r="AJ496" s="43">
        <v>2.800254453</v>
      </c>
      <c r="AK496" s="43">
        <v>6.3067516809999997</v>
      </c>
      <c r="AL496" s="43">
        <v>8.2943429999999992E-3</v>
      </c>
      <c r="AM496" s="230">
        <v>0.17336594357011201</v>
      </c>
      <c r="AN496" s="43">
        <v>0.74074861800000003</v>
      </c>
    </row>
    <row r="497" spans="1:40" x14ac:dyDescent="0.25">
      <c r="A497" s="134">
        <v>487</v>
      </c>
      <c r="B497" s="134" t="s">
        <v>212</v>
      </c>
      <c r="C497" s="134" t="s">
        <v>210</v>
      </c>
      <c r="D497" s="134" t="s">
        <v>211</v>
      </c>
      <c r="E497" s="134">
        <v>157</v>
      </c>
      <c r="F497" s="134">
        <v>372</v>
      </c>
      <c r="G497" s="134">
        <v>73</v>
      </c>
      <c r="H497" s="134">
        <v>981</v>
      </c>
      <c r="I497" s="200">
        <v>0.101308233242</v>
      </c>
      <c r="J497" s="134">
        <v>1353</v>
      </c>
      <c r="K497" s="134">
        <v>13355.281764400001</v>
      </c>
      <c r="L497" s="42">
        <v>0.85029336661499999</v>
      </c>
      <c r="M497" s="42">
        <v>0.86203866432300003</v>
      </c>
      <c r="N497" s="134">
        <v>0</v>
      </c>
      <c r="O497" s="43" t="s">
        <v>664</v>
      </c>
      <c r="P497" s="43">
        <f t="shared" si="103"/>
        <v>13.948586558894474</v>
      </c>
      <c r="Q497" s="43">
        <f t="shared" si="104"/>
        <v>4.8179549000000002E-2</v>
      </c>
      <c r="R497" s="43">
        <f t="shared" si="105"/>
        <v>1.3847048000000001E-2</v>
      </c>
      <c r="S497" s="43">
        <f t="shared" si="106"/>
        <v>0.85029336700000002</v>
      </c>
      <c r="T497" s="43">
        <f t="shared" si="107"/>
        <v>3.0274256140000002</v>
      </c>
      <c r="U497" s="43">
        <f t="shared" si="108"/>
        <v>7.7201867789999996</v>
      </c>
      <c r="V497" s="43">
        <f t="shared" si="109"/>
        <v>1.4991127999999999E-2</v>
      </c>
      <c r="W497" s="230">
        <f t="shared" si="110"/>
        <v>7.6621323130031754E-2</v>
      </c>
      <c r="X497" s="43">
        <f t="shared" si="111"/>
        <v>0.86034834500000001</v>
      </c>
      <c r="Y497" s="43">
        <v>108.5293717</v>
      </c>
      <c r="Z497" s="43">
        <f t="shared" si="100"/>
        <v>0</v>
      </c>
      <c r="AA497" s="43">
        <f t="shared" si="101"/>
        <v>86244</v>
      </c>
      <c r="AB497" s="43">
        <f t="shared" si="102"/>
        <v>34108</v>
      </c>
      <c r="AC497" s="43">
        <f t="shared" si="112"/>
        <v>6.3645432270270294E-2</v>
      </c>
      <c r="AD497" s="43">
        <f t="shared" si="113"/>
        <v>0.82651807273333366</v>
      </c>
      <c r="AF497" s="43">
        <v>13.948586558894474</v>
      </c>
      <c r="AG497" s="43">
        <v>4.8179549000000002E-2</v>
      </c>
      <c r="AH497" s="43">
        <v>1.3847048000000001E-2</v>
      </c>
      <c r="AI497" s="43">
        <v>0.85029336700000002</v>
      </c>
      <c r="AJ497" s="43">
        <v>3.0274256140000002</v>
      </c>
      <c r="AK497" s="43">
        <v>7.7201867789999996</v>
      </c>
      <c r="AL497" s="43">
        <v>1.4991127999999999E-2</v>
      </c>
      <c r="AM497" s="230">
        <v>7.6621323130031754E-2</v>
      </c>
      <c r="AN497" s="43">
        <v>0.86034834500000001</v>
      </c>
    </row>
    <row r="498" spans="1:40" x14ac:dyDescent="0.25">
      <c r="A498" s="134">
        <v>488</v>
      </c>
      <c r="B498" s="134" t="s">
        <v>212</v>
      </c>
      <c r="C498" s="134" t="s">
        <v>210</v>
      </c>
      <c r="D498" s="134" t="s">
        <v>211</v>
      </c>
      <c r="E498" s="134">
        <v>117</v>
      </c>
      <c r="F498" s="134">
        <v>277</v>
      </c>
      <c r="G498" s="134">
        <v>25</v>
      </c>
      <c r="H498" s="134">
        <v>745</v>
      </c>
      <c r="I498" s="200">
        <v>3.4339176940900003E-2</v>
      </c>
      <c r="J498" s="134">
        <v>1022</v>
      </c>
      <c r="K498" s="134">
        <v>29761.9247473</v>
      </c>
      <c r="L498" s="42">
        <v>0.84006468992399996</v>
      </c>
      <c r="M498" s="42">
        <v>0.86426914153099998</v>
      </c>
      <c r="N498" s="134">
        <v>0</v>
      </c>
      <c r="O498" s="43" t="s">
        <v>664</v>
      </c>
      <c r="P498" s="43">
        <f t="shared" si="103"/>
        <v>13.883912564760356</v>
      </c>
      <c r="Q498" s="43">
        <f t="shared" si="104"/>
        <v>5.1445715000000003E-2</v>
      </c>
      <c r="R498" s="43">
        <f t="shared" si="105"/>
        <v>1.3708331000000001E-2</v>
      </c>
      <c r="S498" s="43">
        <f t="shared" si="106"/>
        <v>0.84006468999999995</v>
      </c>
      <c r="T498" s="43">
        <f t="shared" si="107"/>
        <v>3.0524383849999999</v>
      </c>
      <c r="U498" s="43">
        <f t="shared" si="108"/>
        <v>7.4588578439999997</v>
      </c>
      <c r="V498" s="43">
        <f t="shared" si="109"/>
        <v>1.4384236E-2</v>
      </c>
      <c r="W498" s="230">
        <f t="shared" si="110"/>
        <v>9.8768472906403948E-2</v>
      </c>
      <c r="X498" s="43">
        <f t="shared" si="111"/>
        <v>0.82793103400000001</v>
      </c>
      <c r="Y498" s="43">
        <v>93.422439690000004</v>
      </c>
      <c r="Z498" s="43">
        <f t="shared" si="100"/>
        <v>0</v>
      </c>
      <c r="AA498" s="43">
        <f t="shared" si="101"/>
        <v>86244</v>
      </c>
      <c r="AB498" s="43">
        <f t="shared" si="102"/>
        <v>34108</v>
      </c>
      <c r="AC498" s="43">
        <f t="shared" si="112"/>
        <v>6.3645432270270294E-2</v>
      </c>
      <c r="AD498" s="43">
        <f t="shared" si="113"/>
        <v>0.82651807273333366</v>
      </c>
      <c r="AF498" s="43">
        <v>13.883912564760356</v>
      </c>
      <c r="AG498" s="43">
        <v>5.1445715000000003E-2</v>
      </c>
      <c r="AH498" s="43">
        <v>1.3708331000000001E-2</v>
      </c>
      <c r="AI498" s="43">
        <v>0.84006468999999995</v>
      </c>
      <c r="AJ498" s="43">
        <v>3.0524383849999999</v>
      </c>
      <c r="AK498" s="43">
        <v>7.4588578439999997</v>
      </c>
      <c r="AL498" s="43">
        <v>1.4384236E-2</v>
      </c>
      <c r="AM498" s="230">
        <v>9.8768472906403948E-2</v>
      </c>
      <c r="AN498" s="43">
        <v>0.82793103400000001</v>
      </c>
    </row>
    <row r="499" spans="1:40" x14ac:dyDescent="0.25">
      <c r="A499" s="134">
        <v>489</v>
      </c>
      <c r="B499" s="134" t="s">
        <v>212</v>
      </c>
      <c r="C499" s="134" t="s">
        <v>210</v>
      </c>
      <c r="D499" s="134" t="s">
        <v>211</v>
      </c>
      <c r="E499" s="134">
        <v>0</v>
      </c>
      <c r="F499" s="134">
        <v>0</v>
      </c>
      <c r="G499" s="134">
        <v>45</v>
      </c>
      <c r="H499" s="134">
        <v>193</v>
      </c>
      <c r="I499" s="200">
        <v>6.2124810939100002E-2</v>
      </c>
      <c r="J499" s="134">
        <v>193</v>
      </c>
      <c r="K499" s="134">
        <v>3106.6492932900001</v>
      </c>
      <c r="L499" s="42">
        <v>0.87134645626600005</v>
      </c>
      <c r="M499" s="42">
        <v>1</v>
      </c>
      <c r="N499" s="134">
        <v>0</v>
      </c>
      <c r="O499" s="43" t="s">
        <v>664</v>
      </c>
      <c r="P499" s="43">
        <f t="shared" si="103"/>
        <v>14.284543694177415</v>
      </c>
      <c r="Q499" s="43">
        <f t="shared" si="104"/>
        <v>2.9879073999999999E-2</v>
      </c>
      <c r="R499" s="43">
        <f t="shared" si="105"/>
        <v>1.0438696000000001E-2</v>
      </c>
      <c r="S499" s="43">
        <f t="shared" si="106"/>
        <v>0.87134645600000005</v>
      </c>
      <c r="T499" s="43">
        <f t="shared" si="107"/>
        <v>3.62</v>
      </c>
      <c r="U499" s="43">
        <f t="shared" si="108"/>
        <v>7.2961906250000004</v>
      </c>
      <c r="V499" s="43">
        <f t="shared" si="109"/>
        <v>1.0984144E-2</v>
      </c>
      <c r="W499" s="230">
        <f t="shared" si="110"/>
        <v>2.6220214367968817E-2</v>
      </c>
      <c r="X499" s="43">
        <f t="shared" si="111"/>
        <v>0.85800336600000005</v>
      </c>
      <c r="Y499" s="43">
        <v>98.927885919999994</v>
      </c>
      <c r="Z499" s="43">
        <f t="shared" si="100"/>
        <v>0</v>
      </c>
      <c r="AA499" s="43">
        <f t="shared" si="101"/>
        <v>86244</v>
      </c>
      <c r="AB499" s="43">
        <f t="shared" si="102"/>
        <v>34108</v>
      </c>
      <c r="AC499" s="43">
        <f t="shared" si="112"/>
        <v>6.3645432270270294E-2</v>
      </c>
      <c r="AD499" s="43">
        <f t="shared" si="113"/>
        <v>0.82651807273333366</v>
      </c>
      <c r="AF499" s="43">
        <v>14.284543694177415</v>
      </c>
      <c r="AG499" s="43">
        <v>2.9879073999999999E-2</v>
      </c>
      <c r="AH499" s="43">
        <v>1.0438696000000001E-2</v>
      </c>
      <c r="AI499" s="43">
        <v>0.87134645600000005</v>
      </c>
      <c r="AJ499" s="43">
        <v>3.62</v>
      </c>
      <c r="AK499" s="43">
        <v>7.2961906250000004</v>
      </c>
      <c r="AL499" s="43">
        <v>1.0984144E-2</v>
      </c>
      <c r="AM499" s="230">
        <v>2.6220214367968817E-2</v>
      </c>
      <c r="AN499" s="43">
        <v>0.85800336600000005</v>
      </c>
    </row>
    <row r="500" spans="1:40" x14ac:dyDescent="0.25">
      <c r="A500" s="134">
        <v>490</v>
      </c>
      <c r="B500" s="134" t="s">
        <v>212</v>
      </c>
      <c r="C500" s="134" t="s">
        <v>210</v>
      </c>
      <c r="D500" s="134" t="s">
        <v>211</v>
      </c>
      <c r="E500" s="134">
        <v>257</v>
      </c>
      <c r="F500" s="134">
        <v>607</v>
      </c>
      <c r="G500" s="134">
        <v>95</v>
      </c>
      <c r="H500" s="134">
        <v>1444</v>
      </c>
      <c r="I500" s="200">
        <v>0.13204564610899999</v>
      </c>
      <c r="J500" s="134">
        <v>2051</v>
      </c>
      <c r="K500" s="134">
        <v>15532.5075868</v>
      </c>
      <c r="L500" s="42">
        <v>0.85487702559000001</v>
      </c>
      <c r="M500" s="42">
        <v>0.84891240446799998</v>
      </c>
      <c r="N500" s="134">
        <v>0</v>
      </c>
      <c r="O500" s="43" t="s">
        <v>664</v>
      </c>
      <c r="P500" s="43">
        <f t="shared" si="103"/>
        <v>13.816592681581387</v>
      </c>
      <c r="Q500" s="43">
        <f t="shared" si="104"/>
        <v>4.9382444999999997E-2</v>
      </c>
      <c r="R500" s="43">
        <f t="shared" si="105"/>
        <v>1.4021814E-2</v>
      </c>
      <c r="S500" s="43">
        <f t="shared" si="106"/>
        <v>0.85487702600000004</v>
      </c>
      <c r="T500" s="43">
        <f t="shared" si="107"/>
        <v>3.1518447620000001</v>
      </c>
      <c r="U500" s="43">
        <f t="shared" si="108"/>
        <v>7.7866197240000004</v>
      </c>
      <c r="V500" s="43">
        <f t="shared" si="109"/>
        <v>1.4952613E-2</v>
      </c>
      <c r="W500" s="230">
        <f t="shared" si="110"/>
        <v>8.9979828381147542E-2</v>
      </c>
      <c r="X500" s="43">
        <f t="shared" si="111"/>
        <v>0.85392385999999998</v>
      </c>
      <c r="Y500" s="43">
        <v>92.537796</v>
      </c>
      <c r="Z500" s="43">
        <f t="shared" si="100"/>
        <v>0</v>
      </c>
      <c r="AA500" s="43">
        <f t="shared" si="101"/>
        <v>86244</v>
      </c>
      <c r="AB500" s="43">
        <f t="shared" si="102"/>
        <v>34108</v>
      </c>
      <c r="AC500" s="43">
        <f t="shared" si="112"/>
        <v>6.3645432270270294E-2</v>
      </c>
      <c r="AD500" s="43">
        <f t="shared" si="113"/>
        <v>0.82651807273333366</v>
      </c>
      <c r="AF500" s="43">
        <v>13.816592681581387</v>
      </c>
      <c r="AG500" s="43">
        <v>4.9382444999999997E-2</v>
      </c>
      <c r="AH500" s="43">
        <v>1.4021814E-2</v>
      </c>
      <c r="AI500" s="43">
        <v>0.85487702600000004</v>
      </c>
      <c r="AJ500" s="43">
        <v>3.1518447620000001</v>
      </c>
      <c r="AK500" s="43">
        <v>7.7866197240000004</v>
      </c>
      <c r="AL500" s="43">
        <v>1.4952613E-2</v>
      </c>
      <c r="AM500" s="230">
        <v>8.9979828381147542E-2</v>
      </c>
      <c r="AN500" s="43">
        <v>0.85392385999999998</v>
      </c>
    </row>
    <row r="501" spans="1:40" x14ac:dyDescent="0.25">
      <c r="A501" s="134">
        <v>491</v>
      </c>
      <c r="B501" s="134" t="s">
        <v>212</v>
      </c>
      <c r="C501" s="134" t="s">
        <v>210</v>
      </c>
      <c r="D501" s="134" t="s">
        <v>211</v>
      </c>
      <c r="E501" s="134">
        <v>960</v>
      </c>
      <c r="F501" s="134">
        <v>2270</v>
      </c>
      <c r="G501" s="134">
        <v>124</v>
      </c>
      <c r="H501" s="134">
        <v>204</v>
      </c>
      <c r="I501" s="200">
        <v>0.17232603882</v>
      </c>
      <c r="J501" s="134">
        <v>2474</v>
      </c>
      <c r="K501" s="134">
        <v>14356.507100999999</v>
      </c>
      <c r="L501" s="42">
        <v>0.80915179049300001</v>
      </c>
      <c r="M501" s="42">
        <v>0.17525773195899999</v>
      </c>
      <c r="N501" s="134">
        <v>0</v>
      </c>
      <c r="O501" s="43" t="s">
        <v>664</v>
      </c>
      <c r="P501" s="43">
        <f t="shared" si="103"/>
        <v>11.270877351794388</v>
      </c>
      <c r="Q501" s="43">
        <f t="shared" si="104"/>
        <v>6.7376327E-2</v>
      </c>
      <c r="R501" s="43">
        <f t="shared" si="105"/>
        <v>1.6532570999999999E-2</v>
      </c>
      <c r="S501" s="43">
        <f t="shared" si="106"/>
        <v>0.80915179000000004</v>
      </c>
      <c r="T501" s="43">
        <f t="shared" si="107"/>
        <v>2.8124555390000001</v>
      </c>
      <c r="U501" s="43">
        <f t="shared" si="108"/>
        <v>6.8009199279999999</v>
      </c>
      <c r="V501" s="43">
        <f t="shared" si="109"/>
        <v>1.1007312E-2</v>
      </c>
      <c r="W501" s="230">
        <f t="shared" si="110"/>
        <v>0.15555960342449715</v>
      </c>
      <c r="X501" s="43">
        <f t="shared" si="111"/>
        <v>0.78286363599999997</v>
      </c>
      <c r="Y501" s="43">
        <v>169.174666</v>
      </c>
      <c r="Z501" s="43">
        <f t="shared" si="100"/>
        <v>0</v>
      </c>
      <c r="AA501" s="43">
        <f t="shared" si="101"/>
        <v>86244</v>
      </c>
      <c r="AB501" s="43">
        <f t="shared" si="102"/>
        <v>34108</v>
      </c>
      <c r="AC501" s="43">
        <f t="shared" si="112"/>
        <v>6.3645432270270294E-2</v>
      </c>
      <c r="AD501" s="43">
        <f t="shared" si="113"/>
        <v>0.82651807273333366</v>
      </c>
      <c r="AF501" s="43">
        <v>11.270877351794388</v>
      </c>
      <c r="AG501" s="43">
        <v>6.7376327E-2</v>
      </c>
      <c r="AH501" s="43">
        <v>1.6532570999999999E-2</v>
      </c>
      <c r="AI501" s="43">
        <v>0.80915179000000004</v>
      </c>
      <c r="AJ501" s="43">
        <v>2.8124555390000001</v>
      </c>
      <c r="AK501" s="43">
        <v>6.8009199279999999</v>
      </c>
      <c r="AL501" s="43">
        <v>1.1007312E-2</v>
      </c>
      <c r="AM501" s="230">
        <v>0.15555960342449715</v>
      </c>
      <c r="AN501" s="43">
        <v>0.78286363599999997</v>
      </c>
    </row>
    <row r="502" spans="1:40" x14ac:dyDescent="0.25">
      <c r="A502" s="134">
        <v>492</v>
      </c>
      <c r="B502" s="134" t="s">
        <v>212</v>
      </c>
      <c r="C502" s="134" t="s">
        <v>210</v>
      </c>
      <c r="D502" s="134" t="s">
        <v>211</v>
      </c>
      <c r="E502" s="134">
        <v>273</v>
      </c>
      <c r="F502" s="134">
        <v>646</v>
      </c>
      <c r="G502" s="134">
        <v>31</v>
      </c>
      <c r="H502" s="134">
        <v>99</v>
      </c>
      <c r="I502" s="200">
        <v>4.2867597904500003E-2</v>
      </c>
      <c r="J502" s="134">
        <v>745</v>
      </c>
      <c r="K502" s="134">
        <v>17379.093684200001</v>
      </c>
      <c r="L502" s="42">
        <v>0.78897019027299997</v>
      </c>
      <c r="M502" s="42">
        <v>0.266129032258</v>
      </c>
      <c r="N502" s="134">
        <v>0</v>
      </c>
      <c r="O502" s="43" t="s">
        <v>664</v>
      </c>
      <c r="P502" s="43">
        <f t="shared" si="103"/>
        <v>11.539688380035827</v>
      </c>
      <c r="Q502" s="43">
        <f t="shared" si="104"/>
        <v>7.3789793000000006E-2</v>
      </c>
      <c r="R502" s="43">
        <f t="shared" si="105"/>
        <v>1.6412571000000001E-2</v>
      </c>
      <c r="S502" s="43">
        <f t="shared" si="106"/>
        <v>0.78897019000000002</v>
      </c>
      <c r="T502" s="43">
        <f t="shared" si="107"/>
        <v>2.7629550319999998</v>
      </c>
      <c r="U502" s="43">
        <f t="shared" si="108"/>
        <v>6.6841977220000004</v>
      </c>
      <c r="V502" s="43">
        <f t="shared" si="109"/>
        <v>1.2184716999999999E-2</v>
      </c>
      <c r="W502" s="230">
        <f t="shared" si="110"/>
        <v>0.14736308857249505</v>
      </c>
      <c r="X502" s="43">
        <f t="shared" si="111"/>
        <v>0.75622567100000004</v>
      </c>
      <c r="Y502" s="43">
        <v>154.23800990000001</v>
      </c>
      <c r="Z502" s="43">
        <f t="shared" si="100"/>
        <v>0</v>
      </c>
      <c r="AA502" s="43">
        <f t="shared" si="101"/>
        <v>86244</v>
      </c>
      <c r="AB502" s="43">
        <f t="shared" si="102"/>
        <v>34108</v>
      </c>
      <c r="AC502" s="43">
        <f t="shared" si="112"/>
        <v>6.3645432270270294E-2</v>
      </c>
      <c r="AD502" s="43">
        <f t="shared" si="113"/>
        <v>0.82651807273333366</v>
      </c>
      <c r="AF502" s="43">
        <v>11.539688380035827</v>
      </c>
      <c r="AG502" s="43">
        <v>7.3789793000000006E-2</v>
      </c>
      <c r="AH502" s="43">
        <v>1.6412571000000001E-2</v>
      </c>
      <c r="AI502" s="43">
        <v>0.78897019000000002</v>
      </c>
      <c r="AJ502" s="43">
        <v>2.7629550319999998</v>
      </c>
      <c r="AK502" s="43">
        <v>6.6841977220000004</v>
      </c>
      <c r="AL502" s="43">
        <v>1.2184716999999999E-2</v>
      </c>
      <c r="AM502" s="230">
        <v>0.14736308857249505</v>
      </c>
      <c r="AN502" s="43">
        <v>0.75622567100000004</v>
      </c>
    </row>
    <row r="503" spans="1:40" x14ac:dyDescent="0.25">
      <c r="A503" s="134">
        <v>493</v>
      </c>
      <c r="B503" s="134" t="s">
        <v>212</v>
      </c>
      <c r="C503" s="134" t="s">
        <v>210</v>
      </c>
      <c r="D503" s="134" t="s">
        <v>211</v>
      </c>
      <c r="E503" s="134">
        <v>47</v>
      </c>
      <c r="F503" s="134">
        <v>110</v>
      </c>
      <c r="G503" s="134">
        <v>91</v>
      </c>
      <c r="H503" s="134">
        <v>494</v>
      </c>
      <c r="I503" s="200">
        <v>0.12629092053099999</v>
      </c>
      <c r="J503" s="134">
        <v>604</v>
      </c>
      <c r="K503" s="134">
        <v>4782.6082624199998</v>
      </c>
      <c r="L503" s="42">
        <v>0.90146459596100004</v>
      </c>
      <c r="M503" s="42">
        <v>0.91312384473200003</v>
      </c>
      <c r="N503" s="134">
        <v>0</v>
      </c>
      <c r="O503" s="43" t="s">
        <v>664</v>
      </c>
      <c r="P503" s="43">
        <f t="shared" si="103"/>
        <v>14.183586226026662</v>
      </c>
      <c r="Q503" s="43">
        <f t="shared" si="104"/>
        <v>3.0700054000000001E-2</v>
      </c>
      <c r="R503" s="43">
        <f t="shared" si="105"/>
        <v>1.2319475999999999E-2</v>
      </c>
      <c r="S503" s="43">
        <f t="shared" si="106"/>
        <v>0.90146459599999995</v>
      </c>
      <c r="T503" s="43">
        <f t="shared" si="107"/>
        <v>3.6224545950000002</v>
      </c>
      <c r="U503" s="43">
        <f t="shared" si="108"/>
        <v>8.5551178609999994</v>
      </c>
      <c r="V503" s="43">
        <f t="shared" si="109"/>
        <v>1.3560625999999999E-2</v>
      </c>
      <c r="W503" s="230">
        <f t="shared" si="110"/>
        <v>3.166550455627419E-2</v>
      </c>
      <c r="X503" s="43">
        <f t="shared" si="111"/>
        <v>0.91067779100000001</v>
      </c>
      <c r="Y503" s="43">
        <v>65.769731840000006</v>
      </c>
      <c r="Z503" s="43">
        <f t="shared" si="100"/>
        <v>0</v>
      </c>
      <c r="AA503" s="43">
        <f t="shared" si="101"/>
        <v>86244</v>
      </c>
      <c r="AB503" s="43">
        <f t="shared" si="102"/>
        <v>34108</v>
      </c>
      <c r="AC503" s="43">
        <f t="shared" si="112"/>
        <v>6.3645432270270294E-2</v>
      </c>
      <c r="AD503" s="43">
        <f t="shared" si="113"/>
        <v>0.82651807273333366</v>
      </c>
      <c r="AF503" s="43">
        <v>14.183586226026662</v>
      </c>
      <c r="AG503" s="43">
        <v>3.0700054000000001E-2</v>
      </c>
      <c r="AH503" s="43">
        <v>1.2319475999999999E-2</v>
      </c>
      <c r="AI503" s="43">
        <v>0.90146459599999995</v>
      </c>
      <c r="AJ503" s="43">
        <v>3.6224545950000002</v>
      </c>
      <c r="AK503" s="43">
        <v>8.5551178609999994</v>
      </c>
      <c r="AL503" s="43">
        <v>1.3560625999999999E-2</v>
      </c>
      <c r="AM503" s="230">
        <v>3.166550455627419E-2</v>
      </c>
      <c r="AN503" s="43">
        <v>0.91067779100000001</v>
      </c>
    </row>
    <row r="504" spans="1:40" x14ac:dyDescent="0.25">
      <c r="A504" s="134">
        <v>494</v>
      </c>
      <c r="B504" s="134" t="s">
        <v>212</v>
      </c>
      <c r="C504" s="134" t="s">
        <v>210</v>
      </c>
      <c r="D504" s="134" t="s">
        <v>211</v>
      </c>
      <c r="E504" s="134">
        <v>136</v>
      </c>
      <c r="F504" s="134">
        <v>323</v>
      </c>
      <c r="G504" s="134">
        <v>28</v>
      </c>
      <c r="H504" s="134">
        <v>84</v>
      </c>
      <c r="I504" s="200">
        <v>3.8748964117800003E-2</v>
      </c>
      <c r="J504" s="134">
        <v>407</v>
      </c>
      <c r="K504" s="134">
        <v>10503.5065908</v>
      </c>
      <c r="L504" s="42">
        <v>0.87374508820800001</v>
      </c>
      <c r="M504" s="42">
        <v>0.38181818181799998</v>
      </c>
      <c r="N504" s="134">
        <v>0</v>
      </c>
      <c r="O504" s="43" t="s">
        <v>664</v>
      </c>
      <c r="P504" s="43">
        <f t="shared" si="103"/>
        <v>11.782021736848359</v>
      </c>
      <c r="Q504" s="43">
        <f t="shared" si="104"/>
        <v>4.2792346000000002E-2</v>
      </c>
      <c r="R504" s="43">
        <f t="shared" si="105"/>
        <v>1.466833E-2</v>
      </c>
      <c r="S504" s="43">
        <f t="shared" si="106"/>
        <v>0.87374508799999995</v>
      </c>
      <c r="T504" s="43">
        <f t="shared" si="107"/>
        <v>3.5152354570000002</v>
      </c>
      <c r="U504" s="43">
        <f t="shared" si="108"/>
        <v>7.2794666860000001</v>
      </c>
      <c r="V504" s="43">
        <f t="shared" si="109"/>
        <v>9.9179379999999994E-3</v>
      </c>
      <c r="W504" s="230">
        <f t="shared" si="110"/>
        <v>0.10587524543120376</v>
      </c>
      <c r="X504" s="43">
        <f t="shared" si="111"/>
        <v>0.81437849299999998</v>
      </c>
      <c r="Y504" s="43">
        <v>92.537796</v>
      </c>
      <c r="Z504" s="43">
        <f t="shared" si="100"/>
        <v>0</v>
      </c>
      <c r="AA504" s="43">
        <f t="shared" si="101"/>
        <v>86244</v>
      </c>
      <c r="AB504" s="43">
        <f t="shared" si="102"/>
        <v>34108</v>
      </c>
      <c r="AC504" s="43">
        <f t="shared" si="112"/>
        <v>6.3645432270270294E-2</v>
      </c>
      <c r="AD504" s="43">
        <f t="shared" si="113"/>
        <v>0.82651807273333366</v>
      </c>
      <c r="AF504" s="43">
        <v>11.782021736848359</v>
      </c>
      <c r="AG504" s="43">
        <v>4.2792346000000002E-2</v>
      </c>
      <c r="AH504" s="43">
        <v>1.466833E-2</v>
      </c>
      <c r="AI504" s="43">
        <v>0.87374508799999995</v>
      </c>
      <c r="AJ504" s="43">
        <v>3.5152354570000002</v>
      </c>
      <c r="AK504" s="43">
        <v>7.2794666860000001</v>
      </c>
      <c r="AL504" s="43">
        <v>9.9179379999999994E-3</v>
      </c>
      <c r="AM504" s="230">
        <v>0.10587524543120376</v>
      </c>
      <c r="AN504" s="43">
        <v>0.81437849299999998</v>
      </c>
    </row>
    <row r="505" spans="1:40" x14ac:dyDescent="0.25">
      <c r="A505" s="134">
        <v>495</v>
      </c>
      <c r="B505" s="134" t="s">
        <v>212</v>
      </c>
      <c r="C505" s="134" t="s">
        <v>210</v>
      </c>
      <c r="D505" s="134" t="s">
        <v>211</v>
      </c>
      <c r="E505" s="134">
        <v>0</v>
      </c>
      <c r="F505" s="134">
        <v>0</v>
      </c>
      <c r="G505" s="134">
        <v>23</v>
      </c>
      <c r="H505" s="134">
        <v>281</v>
      </c>
      <c r="I505" s="200">
        <v>3.2153874526799998E-2</v>
      </c>
      <c r="J505" s="134">
        <v>281</v>
      </c>
      <c r="K505" s="134">
        <v>8739.2267381500005</v>
      </c>
      <c r="L505" s="42">
        <v>0.86248433601600005</v>
      </c>
      <c r="M505" s="42">
        <v>1</v>
      </c>
      <c r="N505" s="134">
        <v>0</v>
      </c>
      <c r="O505" s="43" t="s">
        <v>664</v>
      </c>
      <c r="P505" s="43">
        <f t="shared" si="103"/>
        <v>14.566999679034373</v>
      </c>
      <c r="Q505" s="43">
        <f t="shared" si="104"/>
        <v>2.9532959000000001E-2</v>
      </c>
      <c r="R505" s="43">
        <f t="shared" si="105"/>
        <v>1.1153885000000001E-2</v>
      </c>
      <c r="S505" s="43">
        <f t="shared" si="106"/>
        <v>0.86248433599999996</v>
      </c>
      <c r="T505" s="43">
        <f t="shared" si="107"/>
        <v>3.2169099139999999</v>
      </c>
      <c r="U505" s="43">
        <f t="shared" si="108"/>
        <v>6.8466365810000003</v>
      </c>
      <c r="V505" s="43">
        <f t="shared" si="109"/>
        <v>1.1075626999999999E-2</v>
      </c>
      <c r="W505" s="230">
        <f t="shared" si="110"/>
        <v>3.8594822314330368E-2</v>
      </c>
      <c r="X505" s="43">
        <f t="shared" si="111"/>
        <v>0.85037711500000002</v>
      </c>
      <c r="Y505" s="43">
        <v>92.868074010000001</v>
      </c>
      <c r="Z505" s="43">
        <f t="shared" si="100"/>
        <v>0</v>
      </c>
      <c r="AA505" s="43">
        <f t="shared" si="101"/>
        <v>86244</v>
      </c>
      <c r="AB505" s="43">
        <f t="shared" si="102"/>
        <v>34108</v>
      </c>
      <c r="AC505" s="43">
        <f t="shared" si="112"/>
        <v>6.3645432270270294E-2</v>
      </c>
      <c r="AD505" s="43">
        <f t="shared" si="113"/>
        <v>0.82651807273333366</v>
      </c>
      <c r="AF505" s="43">
        <v>14.566999679034373</v>
      </c>
      <c r="AG505" s="43">
        <v>2.9532959000000001E-2</v>
      </c>
      <c r="AH505" s="43">
        <v>1.1153885000000001E-2</v>
      </c>
      <c r="AI505" s="43">
        <v>0.86248433599999996</v>
      </c>
      <c r="AJ505" s="43">
        <v>3.2169099139999999</v>
      </c>
      <c r="AK505" s="43">
        <v>6.8466365810000003</v>
      </c>
      <c r="AL505" s="43">
        <v>1.1075626999999999E-2</v>
      </c>
      <c r="AM505" s="230">
        <v>3.8594822314330368E-2</v>
      </c>
      <c r="AN505" s="43">
        <v>0.85037711500000002</v>
      </c>
    </row>
    <row r="506" spans="1:40" x14ac:dyDescent="0.25">
      <c r="A506" s="134">
        <v>496</v>
      </c>
      <c r="B506" s="134" t="s">
        <v>212</v>
      </c>
      <c r="C506" s="134" t="s">
        <v>210</v>
      </c>
      <c r="D506" s="134" t="s">
        <v>211</v>
      </c>
      <c r="E506" s="134">
        <v>100</v>
      </c>
      <c r="F506" s="134">
        <v>236</v>
      </c>
      <c r="G506" s="134">
        <v>19</v>
      </c>
      <c r="H506" s="134">
        <v>327</v>
      </c>
      <c r="I506" s="200">
        <v>2.6029330480300001E-2</v>
      </c>
      <c r="J506" s="134">
        <v>563</v>
      </c>
      <c r="K506" s="134">
        <v>21629.446075299998</v>
      </c>
      <c r="L506" s="42">
        <v>0.84044795558100005</v>
      </c>
      <c r="M506" s="42">
        <v>0.76580796252899996</v>
      </c>
      <c r="N506" s="134">
        <v>0</v>
      </c>
      <c r="O506" s="43" t="s">
        <v>664</v>
      </c>
      <c r="P506" s="43">
        <f t="shared" si="103"/>
        <v>13.234674983457897</v>
      </c>
      <c r="Q506" s="43">
        <f t="shared" si="104"/>
        <v>4.7751653999999998E-2</v>
      </c>
      <c r="R506" s="43">
        <f t="shared" si="105"/>
        <v>1.4463447000000001E-2</v>
      </c>
      <c r="S506" s="43">
        <f t="shared" si="106"/>
        <v>0.840447956</v>
      </c>
      <c r="T506" s="43">
        <f t="shared" si="107"/>
        <v>3.0777186759999999</v>
      </c>
      <c r="U506" s="43">
        <f t="shared" si="108"/>
        <v>7.1811391359999996</v>
      </c>
      <c r="V506" s="43">
        <f t="shared" si="109"/>
        <v>1.3932338000000001E-2</v>
      </c>
      <c r="W506" s="230">
        <f t="shared" si="110"/>
        <v>8.8915406198600319E-2</v>
      </c>
      <c r="X506" s="43">
        <f t="shared" si="111"/>
        <v>0.823330216</v>
      </c>
      <c r="Y506" s="43">
        <v>92.642762419999997</v>
      </c>
      <c r="Z506" s="43">
        <f t="shared" si="100"/>
        <v>0</v>
      </c>
      <c r="AA506" s="43">
        <f t="shared" si="101"/>
        <v>86244</v>
      </c>
      <c r="AB506" s="43">
        <f t="shared" si="102"/>
        <v>34108</v>
      </c>
      <c r="AC506" s="43">
        <f t="shared" si="112"/>
        <v>6.3645432270270294E-2</v>
      </c>
      <c r="AD506" s="43">
        <f t="shared" si="113"/>
        <v>0.82651807273333366</v>
      </c>
      <c r="AF506" s="43">
        <v>13.234674983457897</v>
      </c>
      <c r="AG506" s="43">
        <v>4.7751653999999998E-2</v>
      </c>
      <c r="AH506" s="43">
        <v>1.4463447000000001E-2</v>
      </c>
      <c r="AI506" s="43">
        <v>0.840447956</v>
      </c>
      <c r="AJ506" s="43">
        <v>3.0777186759999999</v>
      </c>
      <c r="AK506" s="43">
        <v>7.1811391359999996</v>
      </c>
      <c r="AL506" s="43">
        <v>1.3932338000000001E-2</v>
      </c>
      <c r="AM506" s="230">
        <v>8.8915406198600319E-2</v>
      </c>
      <c r="AN506" s="43">
        <v>0.823330216</v>
      </c>
    </row>
    <row r="507" spans="1:40" x14ac:dyDescent="0.25">
      <c r="A507" s="134">
        <v>497</v>
      </c>
      <c r="B507" s="134" t="s">
        <v>212</v>
      </c>
      <c r="C507" s="134" t="s">
        <v>210</v>
      </c>
      <c r="D507" s="134" t="s">
        <v>211</v>
      </c>
      <c r="E507" s="134">
        <v>139</v>
      </c>
      <c r="F507" s="134">
        <v>328</v>
      </c>
      <c r="G507" s="134">
        <v>35</v>
      </c>
      <c r="H507" s="134">
        <v>191</v>
      </c>
      <c r="I507" s="200">
        <v>4.8656949823199999E-2</v>
      </c>
      <c r="J507" s="134">
        <v>519</v>
      </c>
      <c r="K507" s="134">
        <v>10666.513250100001</v>
      </c>
      <c r="L507" s="42">
        <v>0.84784705860499998</v>
      </c>
      <c r="M507" s="42">
        <v>0.57878787878799998</v>
      </c>
      <c r="N507" s="134">
        <v>0</v>
      </c>
      <c r="O507" s="43" t="s">
        <v>664</v>
      </c>
      <c r="P507" s="43">
        <f t="shared" si="103"/>
        <v>12.756688215352533</v>
      </c>
      <c r="Q507" s="43">
        <f t="shared" si="104"/>
        <v>5.1731815E-2</v>
      </c>
      <c r="R507" s="43">
        <f t="shared" si="105"/>
        <v>1.5221787000000001E-2</v>
      </c>
      <c r="S507" s="43">
        <f t="shared" si="106"/>
        <v>0.84784705900000001</v>
      </c>
      <c r="T507" s="43">
        <f t="shared" si="107"/>
        <v>3.1494358039999999</v>
      </c>
      <c r="U507" s="43">
        <f t="shared" si="108"/>
        <v>7.3134194639999999</v>
      </c>
      <c r="V507" s="43">
        <f t="shared" si="109"/>
        <v>1.1449936000000001E-2</v>
      </c>
      <c r="W507" s="230">
        <f t="shared" si="110"/>
        <v>0.1023873505471823</v>
      </c>
      <c r="X507" s="43">
        <f t="shared" si="111"/>
        <v>0.81835884299999995</v>
      </c>
      <c r="Y507" s="43">
        <v>101.2523846</v>
      </c>
      <c r="Z507" s="43">
        <f t="shared" si="100"/>
        <v>0</v>
      </c>
      <c r="AA507" s="43">
        <f t="shared" si="101"/>
        <v>86244</v>
      </c>
      <c r="AB507" s="43">
        <f t="shared" si="102"/>
        <v>34108</v>
      </c>
      <c r="AC507" s="43">
        <f t="shared" si="112"/>
        <v>6.3645432270270294E-2</v>
      </c>
      <c r="AD507" s="43">
        <f t="shared" si="113"/>
        <v>0.82651807273333366</v>
      </c>
      <c r="AF507" s="43">
        <v>12.756688215352533</v>
      </c>
      <c r="AG507" s="43">
        <v>5.1731815E-2</v>
      </c>
      <c r="AH507" s="43">
        <v>1.5221787000000001E-2</v>
      </c>
      <c r="AI507" s="43">
        <v>0.84784705900000001</v>
      </c>
      <c r="AJ507" s="43">
        <v>3.1494358039999999</v>
      </c>
      <c r="AK507" s="43">
        <v>7.3134194639999999</v>
      </c>
      <c r="AL507" s="43">
        <v>1.1449936000000001E-2</v>
      </c>
      <c r="AM507" s="230">
        <v>0.1023873505471823</v>
      </c>
      <c r="AN507" s="43">
        <v>0.81835884299999995</v>
      </c>
    </row>
    <row r="508" spans="1:40" x14ac:dyDescent="0.25">
      <c r="A508" s="134">
        <v>498</v>
      </c>
      <c r="B508" s="134" t="s">
        <v>212</v>
      </c>
      <c r="C508" s="134" t="s">
        <v>210</v>
      </c>
      <c r="D508" s="134" t="s">
        <v>211</v>
      </c>
      <c r="E508" s="134">
        <v>493</v>
      </c>
      <c r="F508" s="134">
        <v>1157</v>
      </c>
      <c r="G508" s="134">
        <v>38</v>
      </c>
      <c r="H508" s="134">
        <v>218</v>
      </c>
      <c r="I508" s="200">
        <v>5.8013387157099999E-2</v>
      </c>
      <c r="J508" s="134">
        <v>1375</v>
      </c>
      <c r="K508" s="134">
        <v>23701.4259532</v>
      </c>
      <c r="L508" s="42">
        <v>0.78797055231599999</v>
      </c>
      <c r="M508" s="42">
        <v>0.30661040787600002</v>
      </c>
      <c r="N508" s="134">
        <v>0</v>
      </c>
      <c r="O508" s="43" t="s">
        <v>664</v>
      </c>
      <c r="P508" s="43">
        <f t="shared" si="103"/>
        <v>11.139984082153839</v>
      </c>
      <c r="Q508" s="43">
        <f t="shared" si="104"/>
        <v>8.0314996999999999E-2</v>
      </c>
      <c r="R508" s="43">
        <f t="shared" si="105"/>
        <v>1.6986398E-2</v>
      </c>
      <c r="S508" s="43">
        <f t="shared" si="106"/>
        <v>0.78797055199999999</v>
      </c>
      <c r="T508" s="43">
        <f t="shared" si="107"/>
        <v>2.8529743129999998</v>
      </c>
      <c r="U508" s="43">
        <f t="shared" si="108"/>
        <v>6.8448804379999997</v>
      </c>
      <c r="V508" s="43">
        <f t="shared" si="109"/>
        <v>1.6150500000000002E-2</v>
      </c>
      <c r="W508" s="230">
        <f t="shared" si="110"/>
        <v>0.16367303813274423</v>
      </c>
      <c r="X508" s="43">
        <f t="shared" si="111"/>
        <v>0.75318687699999998</v>
      </c>
      <c r="Y508" s="43">
        <v>127.7497017</v>
      </c>
      <c r="Z508" s="43">
        <f t="shared" si="100"/>
        <v>0</v>
      </c>
      <c r="AA508" s="43">
        <f t="shared" si="101"/>
        <v>86244</v>
      </c>
      <c r="AB508" s="43">
        <f t="shared" si="102"/>
        <v>34108</v>
      </c>
      <c r="AC508" s="43">
        <f t="shared" si="112"/>
        <v>6.3645432270270294E-2</v>
      </c>
      <c r="AD508" s="43">
        <f t="shared" si="113"/>
        <v>0.82651807273333366</v>
      </c>
      <c r="AF508" s="43">
        <v>11.139984082153839</v>
      </c>
      <c r="AG508" s="43">
        <v>8.0314996999999999E-2</v>
      </c>
      <c r="AH508" s="43">
        <v>1.6986398E-2</v>
      </c>
      <c r="AI508" s="43">
        <v>0.78797055199999999</v>
      </c>
      <c r="AJ508" s="43">
        <v>2.8529743129999998</v>
      </c>
      <c r="AK508" s="43">
        <v>6.8448804379999997</v>
      </c>
      <c r="AL508" s="43">
        <v>1.6150500000000002E-2</v>
      </c>
      <c r="AM508" s="230">
        <v>0.16367303813274423</v>
      </c>
      <c r="AN508" s="43">
        <v>0.75318687699999998</v>
      </c>
    </row>
    <row r="509" spans="1:40" x14ac:dyDescent="0.25">
      <c r="A509" s="134">
        <v>499</v>
      </c>
      <c r="B509" s="134" t="s">
        <v>212</v>
      </c>
      <c r="C509" s="134" t="s">
        <v>210</v>
      </c>
      <c r="D509" s="134" t="s">
        <v>211</v>
      </c>
      <c r="E509" s="134">
        <v>562</v>
      </c>
      <c r="F509" s="134">
        <v>1317</v>
      </c>
      <c r="G509" s="134">
        <v>85</v>
      </c>
      <c r="H509" s="134">
        <v>117</v>
      </c>
      <c r="I509" s="200">
        <v>0.130868961847</v>
      </c>
      <c r="J509" s="134">
        <v>1434</v>
      </c>
      <c r="K509" s="134">
        <v>10957.5256025</v>
      </c>
      <c r="L509" s="42">
        <v>0.81623999089499999</v>
      </c>
      <c r="M509" s="42">
        <v>0.172312223859</v>
      </c>
      <c r="N509" s="134">
        <v>0</v>
      </c>
      <c r="O509" s="43" t="s">
        <v>666</v>
      </c>
      <c r="P509" s="43">
        <f t="shared" si="103"/>
        <v>10.778532875499266</v>
      </c>
      <c r="Q509" s="43">
        <f t="shared" si="104"/>
        <v>6.7325802000000004E-2</v>
      </c>
      <c r="R509" s="43">
        <f t="shared" si="105"/>
        <v>1.5827328000000002E-2</v>
      </c>
      <c r="S509" s="43">
        <f t="shared" si="106"/>
        <v>0.816239991</v>
      </c>
      <c r="T509" s="43">
        <f t="shared" si="107"/>
        <v>2.8110465119999999</v>
      </c>
      <c r="U509" s="43">
        <f t="shared" si="108"/>
        <v>6.7153445710000002</v>
      </c>
      <c r="V509" s="43">
        <f t="shared" si="109"/>
        <v>9.616632E-3</v>
      </c>
      <c r="W509" s="230">
        <f t="shared" si="110"/>
        <v>0.15209273490102224</v>
      </c>
      <c r="X509" s="43">
        <f t="shared" si="111"/>
        <v>0.794590464</v>
      </c>
      <c r="Y509" s="43">
        <v>97.360881469999995</v>
      </c>
      <c r="Z509" s="43">
        <f t="shared" si="100"/>
        <v>0</v>
      </c>
      <c r="AA509" s="43">
        <f t="shared" si="101"/>
        <v>86244</v>
      </c>
      <c r="AB509" s="43">
        <f t="shared" si="102"/>
        <v>34108</v>
      </c>
      <c r="AC509" s="43">
        <f t="shared" si="112"/>
        <v>6.3645432270270294E-2</v>
      </c>
      <c r="AD509" s="43">
        <f t="shared" si="113"/>
        <v>0.82651807273333366</v>
      </c>
      <c r="AF509" s="43">
        <v>10.778532875499266</v>
      </c>
      <c r="AG509" s="43">
        <v>6.7325802000000004E-2</v>
      </c>
      <c r="AH509" s="43">
        <v>1.5827328000000002E-2</v>
      </c>
      <c r="AI509" s="43">
        <v>0.816239991</v>
      </c>
      <c r="AJ509" s="43">
        <v>2.8110465119999999</v>
      </c>
      <c r="AK509" s="43">
        <v>6.7153445710000002</v>
      </c>
      <c r="AL509" s="43">
        <v>9.616632E-3</v>
      </c>
      <c r="AM509" s="230">
        <v>0.15209273490102224</v>
      </c>
      <c r="AN509" s="43">
        <v>0.794590464</v>
      </c>
    </row>
    <row r="510" spans="1:40" x14ac:dyDescent="0.25">
      <c r="A510" s="134">
        <v>500</v>
      </c>
      <c r="B510" s="134" t="s">
        <v>212</v>
      </c>
      <c r="C510" s="134" t="s">
        <v>210</v>
      </c>
      <c r="D510" s="134" t="s">
        <v>211</v>
      </c>
      <c r="E510" s="134">
        <v>953</v>
      </c>
      <c r="F510" s="134">
        <v>2233</v>
      </c>
      <c r="G510" s="134">
        <v>86</v>
      </c>
      <c r="H510" s="134">
        <v>186</v>
      </c>
      <c r="I510" s="200">
        <v>0.13277080238200001</v>
      </c>
      <c r="J510" s="134">
        <v>2419</v>
      </c>
      <c r="K510" s="134">
        <v>18219.367184700001</v>
      </c>
      <c r="L510" s="42">
        <v>0.79418895205100004</v>
      </c>
      <c r="M510" s="42">
        <v>0.163301141352</v>
      </c>
      <c r="N510" s="134">
        <v>0</v>
      </c>
      <c r="O510" s="43" t="s">
        <v>664</v>
      </c>
      <c r="P510" s="43">
        <f t="shared" si="103"/>
        <v>10.732549990938962</v>
      </c>
      <c r="Q510" s="43">
        <f t="shared" si="104"/>
        <v>7.9711001000000004E-2</v>
      </c>
      <c r="R510" s="43">
        <f t="shared" si="105"/>
        <v>1.6325111E-2</v>
      </c>
      <c r="S510" s="43">
        <f t="shared" si="106"/>
        <v>0.79418895199999995</v>
      </c>
      <c r="T510" s="43">
        <f t="shared" si="107"/>
        <v>2.7714534729999998</v>
      </c>
      <c r="U510" s="43">
        <f t="shared" si="108"/>
        <v>6.5591750280000003</v>
      </c>
      <c r="V510" s="43">
        <f t="shared" si="109"/>
        <v>1.2128389999999999E-2</v>
      </c>
      <c r="W510" s="230">
        <f t="shared" si="110"/>
        <v>0.18241858937231475</v>
      </c>
      <c r="X510" s="43">
        <f t="shared" si="111"/>
        <v>0.75315312199999995</v>
      </c>
      <c r="Y510" s="43">
        <v>127.09686859999999</v>
      </c>
      <c r="Z510" s="43">
        <f t="shared" si="100"/>
        <v>0</v>
      </c>
      <c r="AA510" s="43">
        <f t="shared" si="101"/>
        <v>86244</v>
      </c>
      <c r="AB510" s="43">
        <f t="shared" si="102"/>
        <v>34108</v>
      </c>
      <c r="AC510" s="43">
        <f t="shared" si="112"/>
        <v>6.3645432270270294E-2</v>
      </c>
      <c r="AD510" s="43">
        <f t="shared" si="113"/>
        <v>0.82651807273333366</v>
      </c>
      <c r="AF510" s="43">
        <v>10.732549990938962</v>
      </c>
      <c r="AG510" s="43">
        <v>7.9711001000000004E-2</v>
      </c>
      <c r="AH510" s="43">
        <v>1.6325111E-2</v>
      </c>
      <c r="AI510" s="43">
        <v>0.79418895199999995</v>
      </c>
      <c r="AJ510" s="43">
        <v>2.7714534729999998</v>
      </c>
      <c r="AK510" s="43">
        <v>6.5591750280000003</v>
      </c>
      <c r="AL510" s="43">
        <v>1.2128389999999999E-2</v>
      </c>
      <c r="AM510" s="230">
        <v>0.18241858937231475</v>
      </c>
      <c r="AN510" s="43">
        <v>0.75315312199999995</v>
      </c>
    </row>
    <row r="511" spans="1:40" x14ac:dyDescent="0.25">
      <c r="A511" s="134">
        <v>501</v>
      </c>
      <c r="B511" s="134" t="s">
        <v>212</v>
      </c>
      <c r="C511" s="134" t="s">
        <v>210</v>
      </c>
      <c r="D511" s="134" t="s">
        <v>211</v>
      </c>
      <c r="E511" s="134">
        <v>305</v>
      </c>
      <c r="F511" s="134">
        <v>652</v>
      </c>
      <c r="G511" s="134">
        <v>73</v>
      </c>
      <c r="H511" s="134">
        <v>208</v>
      </c>
      <c r="I511" s="200">
        <v>0.142133550049</v>
      </c>
      <c r="J511" s="134">
        <v>860</v>
      </c>
      <c r="K511" s="134">
        <v>6050.6474347800004</v>
      </c>
      <c r="L511" s="42">
        <v>0.83042074834400004</v>
      </c>
      <c r="M511" s="42">
        <v>0.40545808966899999</v>
      </c>
      <c r="N511" s="134">
        <v>0</v>
      </c>
      <c r="O511" s="43" t="s">
        <v>664</v>
      </c>
      <c r="P511" s="43">
        <f t="shared" si="103"/>
        <v>12.591200395257083</v>
      </c>
      <c r="Q511" s="43">
        <f t="shared" si="104"/>
        <v>6.5019636000000006E-2</v>
      </c>
      <c r="R511" s="43">
        <f t="shared" si="105"/>
        <v>1.4079055E-2</v>
      </c>
      <c r="S511" s="43">
        <f t="shared" si="106"/>
        <v>0.83042074799999999</v>
      </c>
      <c r="T511" s="43">
        <f t="shared" si="107"/>
        <v>3.1116773759999998</v>
      </c>
      <c r="U511" s="43">
        <f t="shared" si="108"/>
        <v>8.2076934949999991</v>
      </c>
      <c r="V511" s="43">
        <f t="shared" si="109"/>
        <v>1.0928846000000001E-2</v>
      </c>
      <c r="W511" s="230">
        <f t="shared" si="110"/>
        <v>0.10922504544878028</v>
      </c>
      <c r="X511" s="43">
        <f t="shared" si="111"/>
        <v>0.82336278699999998</v>
      </c>
      <c r="Y511" s="43">
        <v>174.70122739999999</v>
      </c>
      <c r="Z511" s="43">
        <f t="shared" si="100"/>
        <v>0</v>
      </c>
      <c r="AA511" s="43">
        <f t="shared" si="101"/>
        <v>86244</v>
      </c>
      <c r="AB511" s="43">
        <f t="shared" si="102"/>
        <v>34108</v>
      </c>
      <c r="AC511" s="43">
        <f t="shared" si="112"/>
        <v>6.3645432270270294E-2</v>
      </c>
      <c r="AD511" s="43">
        <f t="shared" si="113"/>
        <v>0.82651807273333366</v>
      </c>
      <c r="AF511" s="43">
        <v>12.591200395257083</v>
      </c>
      <c r="AG511" s="43">
        <v>6.5019636000000006E-2</v>
      </c>
      <c r="AH511" s="43">
        <v>1.4079055E-2</v>
      </c>
      <c r="AI511" s="43">
        <v>0.83042074799999999</v>
      </c>
      <c r="AJ511" s="43">
        <v>3.1116773759999998</v>
      </c>
      <c r="AK511" s="43">
        <v>8.2076934949999991</v>
      </c>
      <c r="AL511" s="43">
        <v>1.0928846000000001E-2</v>
      </c>
      <c r="AM511" s="230">
        <v>0.10922504544878028</v>
      </c>
      <c r="AN511" s="43">
        <v>0.82336278699999998</v>
      </c>
    </row>
    <row r="512" spans="1:40" x14ac:dyDescent="0.25">
      <c r="A512" s="134">
        <v>502</v>
      </c>
      <c r="B512" s="134" t="s">
        <v>212</v>
      </c>
      <c r="C512" s="134" t="s">
        <v>210</v>
      </c>
      <c r="D512" s="134" t="s">
        <v>211</v>
      </c>
      <c r="E512" s="134">
        <v>472</v>
      </c>
      <c r="F512" s="134">
        <v>1010</v>
      </c>
      <c r="G512" s="134">
        <v>69</v>
      </c>
      <c r="H512" s="134">
        <v>108</v>
      </c>
      <c r="I512" s="200">
        <v>0.13458050086100001</v>
      </c>
      <c r="J512" s="134">
        <v>1118</v>
      </c>
      <c r="K512" s="134">
        <v>8307.29558034</v>
      </c>
      <c r="L512" s="42">
        <v>0.83936113447500005</v>
      </c>
      <c r="M512" s="42">
        <v>0.18620689655200001</v>
      </c>
      <c r="N512" s="134">
        <v>0</v>
      </c>
      <c r="O512" s="43" t="s">
        <v>666</v>
      </c>
      <c r="P512" s="43">
        <f t="shared" si="103"/>
        <v>12.305254869309199</v>
      </c>
      <c r="Q512" s="43">
        <f t="shared" si="104"/>
        <v>7.1578443000000005E-2</v>
      </c>
      <c r="R512" s="43">
        <f t="shared" si="105"/>
        <v>1.3620208E-2</v>
      </c>
      <c r="S512" s="43">
        <f t="shared" si="106"/>
        <v>0.83936113400000001</v>
      </c>
      <c r="T512" s="43">
        <f t="shared" si="107"/>
        <v>3.210107705</v>
      </c>
      <c r="U512" s="43">
        <f t="shared" si="108"/>
        <v>8.1688732769999994</v>
      </c>
      <c r="V512" s="43">
        <f t="shared" si="109"/>
        <v>7.9299920000000003E-3</v>
      </c>
      <c r="W512" s="230">
        <f t="shared" si="110"/>
        <v>0.15486192380919112</v>
      </c>
      <c r="X512" s="43">
        <f t="shared" si="111"/>
        <v>0.80856229599999996</v>
      </c>
      <c r="Y512" s="43">
        <v>145.86175650000001</v>
      </c>
      <c r="Z512" s="43">
        <f t="shared" si="100"/>
        <v>0</v>
      </c>
      <c r="AA512" s="43">
        <f t="shared" si="101"/>
        <v>86244</v>
      </c>
      <c r="AB512" s="43">
        <f t="shared" si="102"/>
        <v>34108</v>
      </c>
      <c r="AC512" s="43">
        <f t="shared" si="112"/>
        <v>6.3645432270270294E-2</v>
      </c>
      <c r="AD512" s="43">
        <f t="shared" si="113"/>
        <v>0.82651807273333366</v>
      </c>
      <c r="AF512" s="43">
        <v>12.305254869309199</v>
      </c>
      <c r="AG512" s="43">
        <v>7.1578443000000005E-2</v>
      </c>
      <c r="AH512" s="43">
        <v>1.3620208E-2</v>
      </c>
      <c r="AI512" s="43">
        <v>0.83936113400000001</v>
      </c>
      <c r="AJ512" s="43">
        <v>3.210107705</v>
      </c>
      <c r="AK512" s="43">
        <v>8.1688732769999994</v>
      </c>
      <c r="AL512" s="43">
        <v>7.9299920000000003E-3</v>
      </c>
      <c r="AM512" s="230">
        <v>0.15486192380919112</v>
      </c>
      <c r="AN512" s="43">
        <v>0.80856229599999996</v>
      </c>
    </row>
    <row r="513" spans="1:40" x14ac:dyDescent="0.25">
      <c r="A513" s="134">
        <v>503</v>
      </c>
      <c r="B513" s="134" t="s">
        <v>212</v>
      </c>
      <c r="C513" s="134" t="s">
        <v>210</v>
      </c>
      <c r="D513" s="134" t="s">
        <v>211</v>
      </c>
      <c r="E513" s="134">
        <v>777</v>
      </c>
      <c r="F513" s="134">
        <v>1661</v>
      </c>
      <c r="G513" s="134">
        <v>53</v>
      </c>
      <c r="H513" s="134">
        <v>155</v>
      </c>
      <c r="I513" s="200">
        <v>0.10273615081699999</v>
      </c>
      <c r="J513" s="134">
        <v>1816</v>
      </c>
      <c r="K513" s="134">
        <v>17676.3484475</v>
      </c>
      <c r="L513" s="42">
        <v>0.84894873693499995</v>
      </c>
      <c r="M513" s="42">
        <v>0.166309012876</v>
      </c>
      <c r="N513" s="134">
        <v>0</v>
      </c>
      <c r="O513" s="43" t="s">
        <v>666</v>
      </c>
      <c r="P513" s="43">
        <f t="shared" si="103"/>
        <v>12.625247653895604</v>
      </c>
      <c r="Q513" s="43">
        <f t="shared" si="104"/>
        <v>6.5374614999999997E-2</v>
      </c>
      <c r="R513" s="43">
        <f t="shared" si="105"/>
        <v>1.5558005E-2</v>
      </c>
      <c r="S513" s="43">
        <f t="shared" si="106"/>
        <v>0.84894873699999995</v>
      </c>
      <c r="T513" s="43">
        <f t="shared" si="107"/>
        <v>3.523074077</v>
      </c>
      <c r="U513" s="43">
        <f t="shared" si="108"/>
        <v>8.7163837019999999</v>
      </c>
      <c r="V513" s="43">
        <f t="shared" si="109"/>
        <v>1.2191103999999999E-2</v>
      </c>
      <c r="W513" s="230">
        <f t="shared" si="110"/>
        <v>0.15011532125205931</v>
      </c>
      <c r="X513" s="43">
        <f t="shared" si="111"/>
        <v>0.81526633699999995</v>
      </c>
      <c r="Y513" s="43">
        <v>114.0407752</v>
      </c>
      <c r="Z513" s="43">
        <f t="shared" si="100"/>
        <v>0</v>
      </c>
      <c r="AA513" s="43">
        <f t="shared" si="101"/>
        <v>86244</v>
      </c>
      <c r="AB513" s="43">
        <f t="shared" si="102"/>
        <v>34108</v>
      </c>
      <c r="AC513" s="43">
        <f t="shared" si="112"/>
        <v>6.3645432270270294E-2</v>
      </c>
      <c r="AD513" s="43">
        <f t="shared" si="113"/>
        <v>0.82651807273333366</v>
      </c>
      <c r="AF513" s="43">
        <v>12.625247653895604</v>
      </c>
      <c r="AG513" s="43">
        <v>6.5374614999999997E-2</v>
      </c>
      <c r="AH513" s="43">
        <v>1.5558005E-2</v>
      </c>
      <c r="AI513" s="43">
        <v>0.84894873699999995</v>
      </c>
      <c r="AJ513" s="43">
        <v>3.523074077</v>
      </c>
      <c r="AK513" s="43">
        <v>8.7163837019999999</v>
      </c>
      <c r="AL513" s="43">
        <v>1.2191103999999999E-2</v>
      </c>
      <c r="AM513" s="230">
        <v>0.15011532125205931</v>
      </c>
      <c r="AN513" s="43">
        <v>0.81526633699999995</v>
      </c>
    </row>
    <row r="514" spans="1:40" x14ac:dyDescent="0.25">
      <c r="A514" s="134">
        <v>504</v>
      </c>
      <c r="B514" s="134" t="s">
        <v>212</v>
      </c>
      <c r="C514" s="134" t="s">
        <v>210</v>
      </c>
      <c r="D514" s="134" t="s">
        <v>211</v>
      </c>
      <c r="E514" s="134">
        <v>336</v>
      </c>
      <c r="F514" s="134">
        <v>752</v>
      </c>
      <c r="G514" s="134">
        <v>68</v>
      </c>
      <c r="H514" s="134">
        <v>161</v>
      </c>
      <c r="I514" s="200">
        <v>0.11296298768800001</v>
      </c>
      <c r="J514" s="134">
        <v>913</v>
      </c>
      <c r="K514" s="134">
        <v>8082.29331293</v>
      </c>
      <c r="L514" s="42">
        <v>0.82848375347699998</v>
      </c>
      <c r="M514" s="42">
        <v>0.32394366197199997</v>
      </c>
      <c r="N514" s="134">
        <v>0</v>
      </c>
      <c r="O514" s="43" t="s">
        <v>664</v>
      </c>
      <c r="P514" s="43">
        <f t="shared" si="103"/>
        <v>12.858580991263239</v>
      </c>
      <c r="Q514" s="43">
        <f t="shared" si="104"/>
        <v>5.2774671000000002E-2</v>
      </c>
      <c r="R514" s="43">
        <f t="shared" si="105"/>
        <v>1.3794488000000001E-2</v>
      </c>
      <c r="S514" s="43">
        <f t="shared" si="106"/>
        <v>0.82848375299999999</v>
      </c>
      <c r="T514" s="43">
        <f t="shared" si="107"/>
        <v>3.03452579</v>
      </c>
      <c r="U514" s="43">
        <f t="shared" si="108"/>
        <v>7.9758863379999996</v>
      </c>
      <c r="V514" s="43">
        <f t="shared" si="109"/>
        <v>9.1202330000000002E-3</v>
      </c>
      <c r="W514" s="230">
        <f t="shared" si="110"/>
        <v>0.10135939480050689</v>
      </c>
      <c r="X514" s="43">
        <f t="shared" si="111"/>
        <v>0.83520218099999999</v>
      </c>
      <c r="Y514" s="43">
        <v>117.8816387</v>
      </c>
      <c r="Z514" s="43">
        <f t="shared" si="100"/>
        <v>0</v>
      </c>
      <c r="AA514" s="43">
        <f t="shared" si="101"/>
        <v>86244</v>
      </c>
      <c r="AB514" s="43">
        <f t="shared" si="102"/>
        <v>34108</v>
      </c>
      <c r="AC514" s="43">
        <f t="shared" si="112"/>
        <v>6.3645432270270294E-2</v>
      </c>
      <c r="AD514" s="43">
        <f t="shared" si="113"/>
        <v>0.82651807273333366</v>
      </c>
      <c r="AF514" s="43">
        <v>12.858580991263239</v>
      </c>
      <c r="AG514" s="43">
        <v>5.2774671000000002E-2</v>
      </c>
      <c r="AH514" s="43">
        <v>1.3794488000000001E-2</v>
      </c>
      <c r="AI514" s="43">
        <v>0.82848375299999999</v>
      </c>
      <c r="AJ514" s="43">
        <v>3.03452579</v>
      </c>
      <c r="AK514" s="43">
        <v>7.9758863379999996</v>
      </c>
      <c r="AL514" s="43">
        <v>9.1202330000000002E-3</v>
      </c>
      <c r="AM514" s="230">
        <v>0.10135939480050689</v>
      </c>
      <c r="AN514" s="43">
        <v>0.83520218099999999</v>
      </c>
    </row>
    <row r="515" spans="1:40" x14ac:dyDescent="0.25">
      <c r="A515" s="134">
        <v>505</v>
      </c>
      <c r="B515" s="134" t="s">
        <v>212</v>
      </c>
      <c r="C515" s="134" t="s">
        <v>210</v>
      </c>
      <c r="D515" s="134" t="s">
        <v>211</v>
      </c>
      <c r="E515" s="134">
        <v>1104</v>
      </c>
      <c r="F515" s="134">
        <v>2474</v>
      </c>
      <c r="G515" s="134">
        <v>90</v>
      </c>
      <c r="H515" s="134">
        <v>251</v>
      </c>
      <c r="I515" s="200">
        <v>0.14807179756800001</v>
      </c>
      <c r="J515" s="134">
        <v>2725</v>
      </c>
      <c r="K515" s="134">
        <v>18403.234409000001</v>
      </c>
      <c r="L515" s="42">
        <v>0.81805069391899998</v>
      </c>
      <c r="M515" s="42">
        <v>0.18523985239900001</v>
      </c>
      <c r="N515" s="134">
        <v>0</v>
      </c>
      <c r="O515" s="43" t="s">
        <v>664</v>
      </c>
      <c r="P515" s="43">
        <f t="shared" si="103"/>
        <v>12.894669470256796</v>
      </c>
      <c r="Q515" s="43">
        <f t="shared" si="104"/>
        <v>7.1977626000000003E-2</v>
      </c>
      <c r="R515" s="43">
        <f t="shared" si="105"/>
        <v>1.5226938000000001E-2</v>
      </c>
      <c r="S515" s="43">
        <f t="shared" si="106"/>
        <v>0.81805069399999997</v>
      </c>
      <c r="T515" s="43">
        <f t="shared" si="107"/>
        <v>3.2024796040000001</v>
      </c>
      <c r="U515" s="43">
        <f t="shared" si="108"/>
        <v>8.3024729629999996</v>
      </c>
      <c r="V515" s="43">
        <f t="shared" si="109"/>
        <v>1.1190843000000001E-2</v>
      </c>
      <c r="W515" s="230">
        <f t="shared" si="110"/>
        <v>0.16403746340893663</v>
      </c>
      <c r="X515" s="43">
        <f t="shared" si="111"/>
        <v>0.79084876699999995</v>
      </c>
      <c r="Y515" s="43">
        <v>97.82537705</v>
      </c>
      <c r="Z515" s="43">
        <f t="shared" si="100"/>
        <v>0</v>
      </c>
      <c r="AA515" s="43">
        <f t="shared" si="101"/>
        <v>86244</v>
      </c>
      <c r="AB515" s="43">
        <f t="shared" si="102"/>
        <v>34108</v>
      </c>
      <c r="AC515" s="43">
        <f t="shared" si="112"/>
        <v>6.3645432270270294E-2</v>
      </c>
      <c r="AD515" s="43">
        <f t="shared" si="113"/>
        <v>0.82651807273333366</v>
      </c>
      <c r="AF515" s="43">
        <v>12.894669470256796</v>
      </c>
      <c r="AG515" s="43">
        <v>7.1977626000000003E-2</v>
      </c>
      <c r="AH515" s="43">
        <v>1.5226938000000001E-2</v>
      </c>
      <c r="AI515" s="43">
        <v>0.81805069399999997</v>
      </c>
      <c r="AJ515" s="43">
        <v>3.2024796040000001</v>
      </c>
      <c r="AK515" s="43">
        <v>8.3024729629999996</v>
      </c>
      <c r="AL515" s="43">
        <v>1.1190843000000001E-2</v>
      </c>
      <c r="AM515" s="230">
        <v>0.16403746340893663</v>
      </c>
      <c r="AN515" s="43">
        <v>0.79084876699999995</v>
      </c>
    </row>
    <row r="516" spans="1:40" x14ac:dyDescent="0.25">
      <c r="A516" s="134">
        <v>506</v>
      </c>
      <c r="B516" s="134" t="s">
        <v>212</v>
      </c>
      <c r="C516" s="134" t="s">
        <v>210</v>
      </c>
      <c r="D516" s="134" t="s">
        <v>211</v>
      </c>
      <c r="E516" s="134">
        <v>1159</v>
      </c>
      <c r="F516" s="134">
        <v>2552</v>
      </c>
      <c r="G516" s="134">
        <v>98</v>
      </c>
      <c r="H516" s="134">
        <v>634</v>
      </c>
      <c r="I516" s="200">
        <v>0.14340151253299999</v>
      </c>
      <c r="J516" s="134">
        <v>3186</v>
      </c>
      <c r="K516" s="134">
        <v>22217.3388811</v>
      </c>
      <c r="L516" s="42">
        <v>0.79332887130700003</v>
      </c>
      <c r="M516" s="42">
        <v>0.35359732292200002</v>
      </c>
      <c r="N516" s="134">
        <v>0</v>
      </c>
      <c r="O516" s="43" t="s">
        <v>664</v>
      </c>
      <c r="P516" s="43">
        <f t="shared" si="103"/>
        <v>11.941251598825149</v>
      </c>
      <c r="Q516" s="43">
        <f t="shared" si="104"/>
        <v>8.0662251000000004E-2</v>
      </c>
      <c r="R516" s="43">
        <f t="shared" si="105"/>
        <v>1.675314E-2</v>
      </c>
      <c r="S516" s="43">
        <f t="shared" si="106"/>
        <v>0.79332887100000005</v>
      </c>
      <c r="T516" s="43">
        <f t="shared" si="107"/>
        <v>2.9195396420000002</v>
      </c>
      <c r="U516" s="43">
        <f t="shared" si="108"/>
        <v>7.2778496959999996</v>
      </c>
      <c r="V516" s="43">
        <f t="shared" si="109"/>
        <v>1.5856420999999999E-2</v>
      </c>
      <c r="W516" s="230">
        <f t="shared" si="110"/>
        <v>0.16090752323785834</v>
      </c>
      <c r="X516" s="43">
        <f t="shared" si="111"/>
        <v>0.77138273499999999</v>
      </c>
      <c r="Y516" s="43">
        <v>113.1710581</v>
      </c>
      <c r="Z516" s="43">
        <f t="shared" si="100"/>
        <v>0</v>
      </c>
      <c r="AA516" s="43">
        <f t="shared" si="101"/>
        <v>86244</v>
      </c>
      <c r="AB516" s="43">
        <f t="shared" si="102"/>
        <v>34108</v>
      </c>
      <c r="AC516" s="43">
        <f t="shared" si="112"/>
        <v>6.3645432270270294E-2</v>
      </c>
      <c r="AD516" s="43">
        <f t="shared" si="113"/>
        <v>0.82651807273333366</v>
      </c>
      <c r="AF516" s="43">
        <v>11.941251598825149</v>
      </c>
      <c r="AG516" s="43">
        <v>8.0662251000000004E-2</v>
      </c>
      <c r="AH516" s="43">
        <v>1.675314E-2</v>
      </c>
      <c r="AI516" s="43">
        <v>0.79332887100000005</v>
      </c>
      <c r="AJ516" s="43">
        <v>2.9195396420000002</v>
      </c>
      <c r="AK516" s="43">
        <v>7.2778496959999996</v>
      </c>
      <c r="AL516" s="43">
        <v>1.5856420999999999E-2</v>
      </c>
      <c r="AM516" s="230">
        <v>0.16090752323785834</v>
      </c>
      <c r="AN516" s="43">
        <v>0.77138273499999999</v>
      </c>
    </row>
    <row r="517" spans="1:40" x14ac:dyDescent="0.25">
      <c r="A517" s="134">
        <v>507</v>
      </c>
      <c r="B517" s="134" t="s">
        <v>212</v>
      </c>
      <c r="C517" s="134" t="s">
        <v>210</v>
      </c>
      <c r="D517" s="134" t="s">
        <v>211</v>
      </c>
      <c r="E517" s="134">
        <v>491</v>
      </c>
      <c r="F517" s="134">
        <v>1081</v>
      </c>
      <c r="G517" s="134">
        <v>45</v>
      </c>
      <c r="H517" s="134">
        <v>155</v>
      </c>
      <c r="I517" s="200">
        <v>6.5863324461900005E-2</v>
      </c>
      <c r="J517" s="134">
        <v>1236</v>
      </c>
      <c r="K517" s="134">
        <v>18766.134417000001</v>
      </c>
      <c r="L517" s="42">
        <v>0.79921812178100005</v>
      </c>
      <c r="M517" s="42">
        <v>0.23993808049500001</v>
      </c>
      <c r="N517" s="134">
        <v>0</v>
      </c>
      <c r="O517" s="43" t="s">
        <v>664</v>
      </c>
      <c r="P517" s="43">
        <f t="shared" si="103"/>
        <v>11.639107993851542</v>
      </c>
      <c r="Q517" s="43">
        <f t="shared" si="104"/>
        <v>7.1198822999999994E-2</v>
      </c>
      <c r="R517" s="43">
        <f t="shared" si="105"/>
        <v>1.6326199E-2</v>
      </c>
      <c r="S517" s="43">
        <f t="shared" si="106"/>
        <v>0.79921812199999998</v>
      </c>
      <c r="T517" s="43">
        <f t="shared" si="107"/>
        <v>2.864506821</v>
      </c>
      <c r="U517" s="43">
        <f t="shared" si="108"/>
        <v>6.8029383069999998</v>
      </c>
      <c r="V517" s="43">
        <f t="shared" si="109"/>
        <v>1.2963928E-2</v>
      </c>
      <c r="W517" s="230">
        <f t="shared" si="110"/>
        <v>0.14877869379999387</v>
      </c>
      <c r="X517" s="43">
        <f t="shared" si="111"/>
        <v>0.77837199999999995</v>
      </c>
      <c r="Y517" s="43">
        <v>177.2395717</v>
      </c>
      <c r="Z517" s="43">
        <f t="shared" si="100"/>
        <v>0</v>
      </c>
      <c r="AA517" s="43">
        <f t="shared" si="101"/>
        <v>86244</v>
      </c>
      <c r="AB517" s="43">
        <f t="shared" si="102"/>
        <v>34108</v>
      </c>
      <c r="AC517" s="43">
        <f t="shared" si="112"/>
        <v>6.3645432270270294E-2</v>
      </c>
      <c r="AD517" s="43">
        <f t="shared" si="113"/>
        <v>0.82651807273333366</v>
      </c>
      <c r="AF517" s="43">
        <v>11.639107993851542</v>
      </c>
      <c r="AG517" s="43">
        <v>7.1198822999999994E-2</v>
      </c>
      <c r="AH517" s="43">
        <v>1.6326199E-2</v>
      </c>
      <c r="AI517" s="43">
        <v>0.79921812199999998</v>
      </c>
      <c r="AJ517" s="43">
        <v>2.864506821</v>
      </c>
      <c r="AK517" s="43">
        <v>6.8029383069999998</v>
      </c>
      <c r="AL517" s="43">
        <v>1.2963928E-2</v>
      </c>
      <c r="AM517" s="230">
        <v>0.14877869379999387</v>
      </c>
      <c r="AN517" s="43">
        <v>0.77837199999999995</v>
      </c>
    </row>
    <row r="518" spans="1:40" x14ac:dyDescent="0.25">
      <c r="A518" s="134">
        <v>508</v>
      </c>
      <c r="B518" s="134" t="s">
        <v>212</v>
      </c>
      <c r="C518" s="134" t="s">
        <v>210</v>
      </c>
      <c r="D518" s="134" t="s">
        <v>211</v>
      </c>
      <c r="E518" s="134">
        <v>455</v>
      </c>
      <c r="F518" s="134">
        <v>1001</v>
      </c>
      <c r="G518" s="134">
        <v>76</v>
      </c>
      <c r="H518" s="134">
        <v>60</v>
      </c>
      <c r="I518" s="200">
        <v>0.111167256223</v>
      </c>
      <c r="J518" s="134">
        <v>1061</v>
      </c>
      <c r="K518" s="134">
        <v>9544.1772698599998</v>
      </c>
      <c r="L518" s="42">
        <v>0.75063412963200005</v>
      </c>
      <c r="M518" s="42">
        <v>0.116504854369</v>
      </c>
      <c r="N518" s="134">
        <v>0</v>
      </c>
      <c r="O518" s="43" t="s">
        <v>666</v>
      </c>
      <c r="P518" s="43">
        <f t="shared" si="103"/>
        <v>11.027000096065391</v>
      </c>
      <c r="Q518" s="43">
        <f t="shared" si="104"/>
        <v>7.4615239999999999E-2</v>
      </c>
      <c r="R518" s="43">
        <f t="shared" si="105"/>
        <v>6.0590984000000001E-2</v>
      </c>
      <c r="S518" s="43">
        <f t="shared" si="106"/>
        <v>0.75063413000000001</v>
      </c>
      <c r="T518" s="43">
        <f t="shared" si="107"/>
        <v>2.9630727760000002</v>
      </c>
      <c r="U518" s="43">
        <f t="shared" si="108"/>
        <v>6.4119889810000004</v>
      </c>
      <c r="V518" s="43">
        <f t="shared" si="109"/>
        <v>6.8913009999999999E-3</v>
      </c>
      <c r="W518" s="230">
        <f t="shared" si="110"/>
        <v>0.15004685303763859</v>
      </c>
      <c r="X518" s="43">
        <f t="shared" si="111"/>
        <v>0.79451038600000001</v>
      </c>
      <c r="Y518" s="43">
        <v>176.21528280000001</v>
      </c>
      <c r="Z518" s="43">
        <f t="shared" si="100"/>
        <v>0</v>
      </c>
      <c r="AA518" s="43">
        <f t="shared" si="101"/>
        <v>86244</v>
      </c>
      <c r="AB518" s="43">
        <f t="shared" si="102"/>
        <v>34108</v>
      </c>
      <c r="AC518" s="43">
        <f t="shared" si="112"/>
        <v>6.3645432270270294E-2</v>
      </c>
      <c r="AD518" s="43">
        <f t="shared" si="113"/>
        <v>0.82651807273333366</v>
      </c>
      <c r="AF518" s="43">
        <v>11.027000096065391</v>
      </c>
      <c r="AG518" s="43">
        <v>7.4615239999999999E-2</v>
      </c>
      <c r="AH518" s="43">
        <v>6.0590984000000001E-2</v>
      </c>
      <c r="AI518" s="43">
        <v>0.75063413000000001</v>
      </c>
      <c r="AJ518" s="43">
        <v>2.9630727760000002</v>
      </c>
      <c r="AK518" s="43">
        <v>6.4119889810000004</v>
      </c>
      <c r="AL518" s="43">
        <v>6.8913009999999999E-3</v>
      </c>
      <c r="AM518" s="230">
        <v>0.15004685303763859</v>
      </c>
      <c r="AN518" s="43">
        <v>0.79451038600000001</v>
      </c>
    </row>
    <row r="519" spans="1:40" x14ac:dyDescent="0.25">
      <c r="A519" s="134">
        <v>509</v>
      </c>
      <c r="B519" s="134" t="s">
        <v>212</v>
      </c>
      <c r="C519" s="134" t="s">
        <v>210</v>
      </c>
      <c r="D519" s="134" t="s">
        <v>211</v>
      </c>
      <c r="E519" s="134">
        <v>279</v>
      </c>
      <c r="F519" s="134">
        <v>618</v>
      </c>
      <c r="G519" s="134">
        <v>57</v>
      </c>
      <c r="H519" s="134">
        <v>3243</v>
      </c>
      <c r="I519" s="200">
        <v>8.6142570051100001E-2</v>
      </c>
      <c r="J519" s="134">
        <v>3861</v>
      </c>
      <c r="K519" s="134">
        <v>44821.044899300003</v>
      </c>
      <c r="L519" s="42">
        <v>0.80798283384000003</v>
      </c>
      <c r="M519" s="42">
        <v>0.92078364565600002</v>
      </c>
      <c r="N519" s="134">
        <v>0</v>
      </c>
      <c r="O519" s="43" t="s">
        <v>627</v>
      </c>
      <c r="P519" s="43">
        <f t="shared" si="103"/>
        <v>13.287272773321567</v>
      </c>
      <c r="Q519" s="43">
        <f t="shared" si="104"/>
        <v>7.2690530000000003E-2</v>
      </c>
      <c r="R519" s="43">
        <f t="shared" si="105"/>
        <v>1.2918895999999999E-2</v>
      </c>
      <c r="S519" s="43">
        <f t="shared" si="106"/>
        <v>0.80798283400000004</v>
      </c>
      <c r="T519" s="43">
        <f t="shared" si="107"/>
        <v>3.0114963619999999</v>
      </c>
      <c r="U519" s="43">
        <f t="shared" si="108"/>
        <v>8.3955895740000006</v>
      </c>
      <c r="V519" s="43">
        <f t="shared" si="109"/>
        <v>1.439872E-2</v>
      </c>
      <c r="W519" s="230">
        <f t="shared" si="110"/>
        <v>0.12849651459552802</v>
      </c>
      <c r="X519" s="43">
        <f t="shared" si="111"/>
        <v>0.78539473699999995</v>
      </c>
      <c r="Y519" s="43">
        <v>142.935799</v>
      </c>
      <c r="Z519" s="43">
        <f t="shared" si="100"/>
        <v>0</v>
      </c>
      <c r="AA519" s="43">
        <f t="shared" si="101"/>
        <v>86244</v>
      </c>
      <c r="AB519" s="43">
        <f t="shared" si="102"/>
        <v>34108</v>
      </c>
      <c r="AC519" s="43">
        <f t="shared" si="112"/>
        <v>6.3645432270270294E-2</v>
      </c>
      <c r="AD519" s="43">
        <f t="shared" si="113"/>
        <v>0.82651807273333366</v>
      </c>
      <c r="AF519" s="43">
        <v>13.287272773321567</v>
      </c>
      <c r="AG519" s="43">
        <v>7.2690530000000003E-2</v>
      </c>
      <c r="AH519" s="43">
        <v>1.2918895999999999E-2</v>
      </c>
      <c r="AI519" s="43">
        <v>0.80798283400000004</v>
      </c>
      <c r="AJ519" s="43">
        <v>3.0114963619999999</v>
      </c>
      <c r="AK519" s="43">
        <v>8.3955895740000006</v>
      </c>
      <c r="AL519" s="43">
        <v>1.439872E-2</v>
      </c>
      <c r="AM519" s="230">
        <v>0.12849651459552802</v>
      </c>
      <c r="AN519" s="43">
        <v>0.78539473699999995</v>
      </c>
    </row>
    <row r="520" spans="1:40" x14ac:dyDescent="0.25">
      <c r="A520" s="134">
        <v>510</v>
      </c>
      <c r="B520" s="134" t="s">
        <v>212</v>
      </c>
      <c r="C520" s="134" t="s">
        <v>210</v>
      </c>
      <c r="D520" s="134" t="s">
        <v>211</v>
      </c>
      <c r="E520" s="134">
        <v>1055</v>
      </c>
      <c r="F520" s="134">
        <v>2341</v>
      </c>
      <c r="G520" s="134">
        <v>77</v>
      </c>
      <c r="H520" s="134">
        <v>479</v>
      </c>
      <c r="I520" s="200">
        <v>0.11625398642199999</v>
      </c>
      <c r="J520" s="134">
        <v>2820</v>
      </c>
      <c r="K520" s="134">
        <v>24257.232691900001</v>
      </c>
      <c r="L520" s="42">
        <v>0.77783381048699995</v>
      </c>
      <c r="M520" s="42">
        <v>0.312255541069</v>
      </c>
      <c r="N520" s="134">
        <v>0</v>
      </c>
      <c r="O520" s="43" t="s">
        <v>664</v>
      </c>
      <c r="P520" s="43">
        <f t="shared" si="103"/>
        <v>12.436021397346352</v>
      </c>
      <c r="Q520" s="43">
        <f t="shared" si="104"/>
        <v>7.6808586999999998E-2</v>
      </c>
      <c r="R520" s="43">
        <f t="shared" si="105"/>
        <v>1.6809813E-2</v>
      </c>
      <c r="S520" s="43">
        <f t="shared" si="106"/>
        <v>0.77783380999999996</v>
      </c>
      <c r="T520" s="43">
        <f t="shared" si="107"/>
        <v>2.896066684</v>
      </c>
      <c r="U520" s="43">
        <f t="shared" si="108"/>
        <v>7.3186579460000001</v>
      </c>
      <c r="V520" s="43">
        <f t="shared" si="109"/>
        <v>1.5037356999999999E-2</v>
      </c>
      <c r="W520" s="230">
        <f t="shared" si="110"/>
        <v>0.15646297137664697</v>
      </c>
      <c r="X520" s="43">
        <f t="shared" si="111"/>
        <v>0.74805012900000001</v>
      </c>
      <c r="Y520" s="43">
        <v>69.436364620000006</v>
      </c>
      <c r="Z520" s="43">
        <f t="shared" si="100"/>
        <v>0</v>
      </c>
      <c r="AA520" s="43">
        <f t="shared" si="101"/>
        <v>86244</v>
      </c>
      <c r="AB520" s="43">
        <f t="shared" si="102"/>
        <v>34108</v>
      </c>
      <c r="AC520" s="43">
        <f t="shared" si="112"/>
        <v>6.3645432270270294E-2</v>
      </c>
      <c r="AD520" s="43">
        <f t="shared" si="113"/>
        <v>0.82651807273333366</v>
      </c>
      <c r="AF520" s="43">
        <v>12.436021397346352</v>
      </c>
      <c r="AG520" s="43">
        <v>7.6808586999999998E-2</v>
      </c>
      <c r="AH520" s="43">
        <v>1.6809813E-2</v>
      </c>
      <c r="AI520" s="43">
        <v>0.77783380999999996</v>
      </c>
      <c r="AJ520" s="43">
        <v>2.896066684</v>
      </c>
      <c r="AK520" s="43">
        <v>7.3186579460000001</v>
      </c>
      <c r="AL520" s="43">
        <v>1.5037356999999999E-2</v>
      </c>
      <c r="AM520" s="230">
        <v>0.15646297137664697</v>
      </c>
      <c r="AN520" s="43">
        <v>0.74805012900000001</v>
      </c>
    </row>
    <row r="521" spans="1:40" x14ac:dyDescent="0.25">
      <c r="A521" s="134">
        <v>511</v>
      </c>
      <c r="B521" s="134" t="s">
        <v>212</v>
      </c>
      <c r="C521" s="134" t="s">
        <v>210</v>
      </c>
      <c r="D521" s="134" t="s">
        <v>211</v>
      </c>
      <c r="E521" s="134">
        <v>1675</v>
      </c>
      <c r="F521" s="134">
        <v>3962</v>
      </c>
      <c r="G521" s="134">
        <v>118</v>
      </c>
      <c r="H521" s="134">
        <v>1509</v>
      </c>
      <c r="I521" s="200">
        <v>0.19431283274799999</v>
      </c>
      <c r="J521" s="134">
        <v>5471</v>
      </c>
      <c r="K521" s="134">
        <v>28155.6288518</v>
      </c>
      <c r="L521" s="42">
        <v>0.765896866585</v>
      </c>
      <c r="M521" s="42">
        <v>0.47393216080400002</v>
      </c>
      <c r="N521" s="134">
        <v>0</v>
      </c>
      <c r="O521" s="43" t="s">
        <v>627</v>
      </c>
      <c r="P521" s="43">
        <f t="shared" si="103"/>
        <v>12.588522572636084</v>
      </c>
      <c r="Q521" s="43">
        <f t="shared" si="104"/>
        <v>6.5213127999999995E-2</v>
      </c>
      <c r="R521" s="43">
        <f t="shared" si="105"/>
        <v>4.3233617000000002E-2</v>
      </c>
      <c r="S521" s="43">
        <f t="shared" si="106"/>
        <v>0.76589686700000004</v>
      </c>
      <c r="T521" s="43">
        <f t="shared" si="107"/>
        <v>2.9106136089999999</v>
      </c>
      <c r="U521" s="43">
        <f t="shared" si="108"/>
        <v>7.1508164939999999</v>
      </c>
      <c r="V521" s="43">
        <f t="shared" si="109"/>
        <v>1.7678930999999998E-2</v>
      </c>
      <c r="W521" s="230">
        <f t="shared" si="110"/>
        <v>0.13349445260238213</v>
      </c>
      <c r="X521" s="43">
        <f t="shared" si="111"/>
        <v>0.78160860899999995</v>
      </c>
      <c r="Y521" s="43">
        <v>102.9509407</v>
      </c>
      <c r="Z521" s="43">
        <f t="shared" si="100"/>
        <v>0</v>
      </c>
      <c r="AA521" s="43">
        <f t="shared" si="101"/>
        <v>86244</v>
      </c>
      <c r="AB521" s="43">
        <f t="shared" si="102"/>
        <v>34108</v>
      </c>
      <c r="AC521" s="43">
        <f t="shared" si="112"/>
        <v>6.3645432270270294E-2</v>
      </c>
      <c r="AD521" s="43">
        <f t="shared" si="113"/>
        <v>0.82651807273333366</v>
      </c>
      <c r="AF521" s="43">
        <v>12.588522572636084</v>
      </c>
      <c r="AG521" s="43">
        <v>6.5213127999999995E-2</v>
      </c>
      <c r="AH521" s="43">
        <v>4.3233617000000002E-2</v>
      </c>
      <c r="AI521" s="43">
        <v>0.76589686700000004</v>
      </c>
      <c r="AJ521" s="43">
        <v>2.9106136089999999</v>
      </c>
      <c r="AK521" s="43">
        <v>7.1508164939999999</v>
      </c>
      <c r="AL521" s="43">
        <v>1.7678930999999998E-2</v>
      </c>
      <c r="AM521" s="230">
        <v>0.13349445260238213</v>
      </c>
      <c r="AN521" s="43">
        <v>0.78160860899999995</v>
      </c>
    </row>
    <row r="522" spans="1:40" x14ac:dyDescent="0.25">
      <c r="A522" s="134">
        <v>512</v>
      </c>
      <c r="B522" s="134" t="s">
        <v>212</v>
      </c>
      <c r="C522" s="134" t="s">
        <v>210</v>
      </c>
      <c r="D522" s="134" t="s">
        <v>211</v>
      </c>
      <c r="E522" s="134">
        <v>202</v>
      </c>
      <c r="F522" s="134">
        <v>479</v>
      </c>
      <c r="G522" s="134">
        <v>80</v>
      </c>
      <c r="H522" s="134">
        <v>818</v>
      </c>
      <c r="I522" s="200">
        <v>0.131684823161</v>
      </c>
      <c r="J522" s="134">
        <v>1297</v>
      </c>
      <c r="K522" s="134">
        <v>9849.2747217699998</v>
      </c>
      <c r="L522" s="42">
        <v>0.84784077194600005</v>
      </c>
      <c r="M522" s="42">
        <v>0.80196078431399997</v>
      </c>
      <c r="N522" s="134">
        <v>0</v>
      </c>
      <c r="O522" s="43" t="s">
        <v>664</v>
      </c>
      <c r="P522" s="43">
        <f t="shared" si="103"/>
        <v>13.31336522896771</v>
      </c>
      <c r="Q522" s="43">
        <f t="shared" si="104"/>
        <v>3.4634702000000003E-2</v>
      </c>
      <c r="R522" s="43">
        <f t="shared" si="105"/>
        <v>1.3541281E-2</v>
      </c>
      <c r="S522" s="43">
        <f t="shared" si="106"/>
        <v>0.84784077199999996</v>
      </c>
      <c r="T522" s="43">
        <f t="shared" si="107"/>
        <v>2.9513592329999998</v>
      </c>
      <c r="U522" s="43">
        <f t="shared" si="108"/>
        <v>7.4005474360000001</v>
      </c>
      <c r="V522" s="43">
        <f t="shared" si="109"/>
        <v>1.4047017E-2</v>
      </c>
      <c r="W522" s="230">
        <f t="shared" si="110"/>
        <v>7.2382985452245419E-2</v>
      </c>
      <c r="X522" s="43">
        <f t="shared" si="111"/>
        <v>0.86070261400000003</v>
      </c>
      <c r="Y522" s="43">
        <v>98.954228499999999</v>
      </c>
      <c r="Z522" s="43">
        <f t="shared" si="100"/>
        <v>0</v>
      </c>
      <c r="AA522" s="43">
        <f t="shared" si="101"/>
        <v>86244</v>
      </c>
      <c r="AB522" s="43">
        <f t="shared" si="102"/>
        <v>34108</v>
      </c>
      <c r="AC522" s="43">
        <f t="shared" si="112"/>
        <v>6.3645432270270294E-2</v>
      </c>
      <c r="AD522" s="43">
        <f t="shared" si="113"/>
        <v>0.82651807273333366</v>
      </c>
      <c r="AF522" s="43">
        <v>13.31336522896771</v>
      </c>
      <c r="AG522" s="43">
        <v>3.4634702000000003E-2</v>
      </c>
      <c r="AH522" s="43">
        <v>1.3541281E-2</v>
      </c>
      <c r="AI522" s="43">
        <v>0.84784077199999996</v>
      </c>
      <c r="AJ522" s="43">
        <v>2.9513592329999998</v>
      </c>
      <c r="AK522" s="43">
        <v>7.4005474360000001</v>
      </c>
      <c r="AL522" s="43">
        <v>1.4047017E-2</v>
      </c>
      <c r="AM522" s="230">
        <v>7.2382985452245419E-2</v>
      </c>
      <c r="AN522" s="43">
        <v>0.86070261400000003</v>
      </c>
    </row>
    <row r="523" spans="1:40" x14ac:dyDescent="0.25">
      <c r="A523" s="134">
        <v>513</v>
      </c>
      <c r="B523" s="134" t="s">
        <v>212</v>
      </c>
      <c r="C523" s="134" t="s">
        <v>210</v>
      </c>
      <c r="D523" s="134" t="s">
        <v>211</v>
      </c>
      <c r="E523" s="134">
        <v>885</v>
      </c>
      <c r="F523" s="134">
        <v>2369</v>
      </c>
      <c r="G523" s="134">
        <v>362</v>
      </c>
      <c r="H523" s="134">
        <v>380</v>
      </c>
      <c r="I523" s="200">
        <v>0.28580925371900001</v>
      </c>
      <c r="J523" s="134">
        <v>2749</v>
      </c>
      <c r="K523" s="134">
        <v>9618.3029913600003</v>
      </c>
      <c r="L523" s="42">
        <v>0.87059530467500001</v>
      </c>
      <c r="M523" s="42">
        <v>0.30039525691699998</v>
      </c>
      <c r="N523" s="134">
        <v>0</v>
      </c>
      <c r="O523" s="43" t="s">
        <v>666</v>
      </c>
      <c r="P523" s="43">
        <f t="shared" si="103"/>
        <v>14.697091470917629</v>
      </c>
      <c r="Q523" s="43">
        <f t="shared" si="104"/>
        <v>4.3758722E-2</v>
      </c>
      <c r="R523" s="43">
        <f t="shared" si="105"/>
        <v>1.1759126999999999E-2</v>
      </c>
      <c r="S523" s="43">
        <f t="shared" si="106"/>
        <v>0.87059530500000004</v>
      </c>
      <c r="T523" s="43">
        <f t="shared" si="107"/>
        <v>4.1147515769999998</v>
      </c>
      <c r="U523" s="43">
        <f t="shared" si="108"/>
        <v>10.04612558</v>
      </c>
      <c r="V523" s="43">
        <f t="shared" si="109"/>
        <v>4.5125620000000003E-3</v>
      </c>
      <c r="W523" s="230">
        <f t="shared" si="110"/>
        <v>9.4694758775645982E-2</v>
      </c>
      <c r="X523" s="43">
        <f t="shared" si="111"/>
        <v>0.87841188000000003</v>
      </c>
      <c r="Y523" s="43">
        <v>167.7426878</v>
      </c>
      <c r="Z523" s="43">
        <f t="shared" ref="Z523:Z586" si="114">IF(B523="Berkeley",1,0)</f>
        <v>0</v>
      </c>
      <c r="AA523" s="43">
        <f t="shared" ref="AA523:AA586" si="115">SUMIFS(F:F,B:B,B523)</f>
        <v>86244</v>
      </c>
      <c r="AB523" s="43">
        <f t="shared" ref="AB523:AB586" si="116">SUMIFS(E:E,B:B,B523)</f>
        <v>34108</v>
      </c>
      <c r="AC523" s="43">
        <f t="shared" si="112"/>
        <v>6.3645432270270294E-2</v>
      </c>
      <c r="AD523" s="43">
        <f t="shared" si="113"/>
        <v>0.82651807273333366</v>
      </c>
      <c r="AF523" s="43">
        <v>14.697091470917629</v>
      </c>
      <c r="AG523" s="43">
        <v>4.3758722E-2</v>
      </c>
      <c r="AH523" s="43">
        <v>1.1759126999999999E-2</v>
      </c>
      <c r="AI523" s="43">
        <v>0.87059530500000004</v>
      </c>
      <c r="AJ523" s="43">
        <v>4.1147515769999998</v>
      </c>
      <c r="AK523" s="43">
        <v>10.04612558</v>
      </c>
      <c r="AL523" s="43">
        <v>4.5125620000000003E-3</v>
      </c>
      <c r="AM523" s="230">
        <v>9.4694758775645982E-2</v>
      </c>
      <c r="AN523" s="43">
        <v>0.87841188000000003</v>
      </c>
    </row>
    <row r="524" spans="1:40" x14ac:dyDescent="0.25">
      <c r="A524" s="134">
        <v>514</v>
      </c>
      <c r="B524" s="134" t="s">
        <v>212</v>
      </c>
      <c r="C524" s="134" t="s">
        <v>210</v>
      </c>
      <c r="D524" s="134" t="s">
        <v>211</v>
      </c>
      <c r="E524" s="134">
        <v>205</v>
      </c>
      <c r="F524" s="134">
        <v>553</v>
      </c>
      <c r="G524" s="134">
        <v>248</v>
      </c>
      <c r="H524" s="134">
        <v>887</v>
      </c>
      <c r="I524" s="200">
        <v>0.69885514548799998</v>
      </c>
      <c r="J524" s="134">
        <v>1440</v>
      </c>
      <c r="K524" s="134">
        <v>2060.51283917</v>
      </c>
      <c r="L524" s="42">
        <v>0.89610220957499997</v>
      </c>
      <c r="M524" s="42">
        <v>0.81227106227099999</v>
      </c>
      <c r="N524" s="134">
        <v>0</v>
      </c>
      <c r="O524" s="43" t="s">
        <v>666</v>
      </c>
      <c r="P524" s="43">
        <f t="shared" ref="P524:P587" si="117">IF(OR(IFERROR(AF524=0,TRUE),ISERROR(AF524)),AVERAGEIFS(AF:AF,$B:$B,$B524,AF:AF,"&gt;0"),AF524)</f>
        <v>14.86499469286667</v>
      </c>
      <c r="Q524" s="43">
        <f t="shared" ref="Q524:Q587" si="118">IF(OR(IFERROR(AG524=0,TRUE),ISERROR(AG524)),AVERAGEIFS(AG:AG,$B:$B,$B524,AG:AG,"&gt;0"),AG524)</f>
        <v>2.3119377999999999E-2</v>
      </c>
      <c r="R524" s="43">
        <f t="shared" ref="R524:R587" si="119">IF(OR(IFERROR(AH524=0,TRUE),ISERROR(AH524)),AVERAGEIFS(AH:AH,$B:$B,$B524,AH:AH,"&gt;0"),AH524)</f>
        <v>1.1706739000000001E-2</v>
      </c>
      <c r="S524" s="43">
        <f t="shared" ref="S524:S587" si="120">IF(OR(IFERROR(AI524=0,TRUE),ISERROR(AI524)),AVERAGEIFS(AI:AI,$B:$B,$B524,AI:AI,"&gt;0"),AI524)</f>
        <v>0.89610221000000001</v>
      </c>
      <c r="T524" s="43">
        <f t="shared" ref="T524:T587" si="121">IF(OR(IFERROR(AJ524=0,TRUE),ISERROR(AJ524)),AVERAGEIFS(AJ:AJ,$B:$B,$B524,AJ:AJ,"&gt;0"),AJ524)</f>
        <v>4.0578741440000003</v>
      </c>
      <c r="U524" s="43">
        <f t="shared" ref="U524:U587" si="122">IF(OR(IFERROR(AK524=0,TRUE),ISERROR(AK524)),AVERAGEIFS(AK:AK,$B:$B,$B524,AK:AK,"&gt;0"),AK524)</f>
        <v>9.6389263060000001</v>
      </c>
      <c r="V524" s="43">
        <f t="shared" ref="V524:V587" si="123">IF(OR(IFERROR(AL524=0,TRUE),ISERROR(AL524)),AVERAGEIFS(AL:AL,$B:$B,$B524,AL:AL,"&gt;0"),AL524)</f>
        <v>8.0737139999999992E-3</v>
      </c>
      <c r="W524" s="230">
        <f t="shared" ref="W524:W587" si="124">IF(OR(IFERROR(AM524=0,TRUE),ISERROR(AM524)),AVERAGEIFS(AM:AM,$B:$B,$B524,AM:AM,"&gt;0"),AM524)</f>
        <v>3.1086620219288836E-2</v>
      </c>
      <c r="X524" s="43">
        <f t="shared" ref="X524:X587" si="125">IF(OR(IFERROR(AN524=0,TRUE),ISERROR(AN524)),AVERAGEIFS(AN:AN,$B:$B,$B524,AN:AN,"&gt;0"),AN524)</f>
        <v>0.93190980000000001</v>
      </c>
      <c r="Y524" s="43">
        <v>41.56819041</v>
      </c>
      <c r="Z524" s="43">
        <f t="shared" si="114"/>
        <v>0</v>
      </c>
      <c r="AA524" s="43">
        <f t="shared" si="115"/>
        <v>86244</v>
      </c>
      <c r="AB524" s="43">
        <f t="shared" si="116"/>
        <v>34108</v>
      </c>
      <c r="AC524" s="43">
        <f t="shared" ref="AC524:AC587" si="126">AVERAGEIFS(Q:Q,B:B,B524,N:N,0,Q:Q,"&gt;0")</f>
        <v>6.3645432270270294E-2</v>
      </c>
      <c r="AD524" s="43">
        <f t="shared" ref="AD524:AD587" si="127">AVERAGEIFS(S:S,B:B,B524,N:N,0,S:S,"&gt;0")</f>
        <v>0.82651807273333366</v>
      </c>
      <c r="AF524" s="43">
        <v>14.86499469286667</v>
      </c>
      <c r="AG524" s="43">
        <v>2.3119377999999999E-2</v>
      </c>
      <c r="AH524" s="43">
        <v>1.1706739000000001E-2</v>
      </c>
      <c r="AI524" s="43">
        <v>0.89610221000000001</v>
      </c>
      <c r="AJ524" s="43">
        <v>4.0578741440000003</v>
      </c>
      <c r="AK524" s="43">
        <v>9.6389263060000001</v>
      </c>
      <c r="AL524" s="43">
        <v>8.0737139999999992E-3</v>
      </c>
      <c r="AM524" s="230">
        <v>3.1086620219288836E-2</v>
      </c>
      <c r="AN524" s="43">
        <v>0.93190980000000001</v>
      </c>
    </row>
    <row r="525" spans="1:40" x14ac:dyDescent="0.25">
      <c r="A525" s="134">
        <v>515</v>
      </c>
      <c r="B525" s="134" t="s">
        <v>212</v>
      </c>
      <c r="C525" s="134" t="s">
        <v>210</v>
      </c>
      <c r="D525" s="134" t="s">
        <v>211</v>
      </c>
      <c r="E525" s="134">
        <v>159</v>
      </c>
      <c r="F525" s="134">
        <v>427</v>
      </c>
      <c r="G525" s="134">
        <v>182</v>
      </c>
      <c r="H525" s="134">
        <v>164</v>
      </c>
      <c r="I525" s="200">
        <v>3.5924495208500003E-2</v>
      </c>
      <c r="J525" s="134">
        <v>591</v>
      </c>
      <c r="K525" s="134">
        <v>16451.170616799998</v>
      </c>
      <c r="L525" s="42">
        <v>0.8822532944</v>
      </c>
      <c r="M525" s="42">
        <v>0.50773993807999995</v>
      </c>
      <c r="N525" s="134">
        <v>0</v>
      </c>
      <c r="O525" s="43" t="s">
        <v>664</v>
      </c>
      <c r="P525" s="43">
        <f t="shared" si="117"/>
        <v>15.613989524623021</v>
      </c>
      <c r="Q525" s="43">
        <f t="shared" si="118"/>
        <v>3.3075022000000003E-2</v>
      </c>
      <c r="R525" s="43">
        <f t="shared" si="119"/>
        <v>1.0538334999999999E-2</v>
      </c>
      <c r="S525" s="43">
        <f t="shared" si="120"/>
        <v>0.88225329399999997</v>
      </c>
      <c r="T525" s="43">
        <f t="shared" si="121"/>
        <v>4.5094422490000001</v>
      </c>
      <c r="U525" s="43">
        <f t="shared" si="122"/>
        <v>9.9456850479999996</v>
      </c>
      <c r="V525" s="43">
        <f t="shared" si="123"/>
        <v>3.3532929999999998E-3</v>
      </c>
      <c r="W525" s="230">
        <f t="shared" si="124"/>
        <v>6.6415739948674085E-2</v>
      </c>
      <c r="X525" s="43">
        <f t="shared" si="125"/>
        <v>0.88369546600000004</v>
      </c>
      <c r="Y525" s="43">
        <v>39.84141649</v>
      </c>
      <c r="Z525" s="43">
        <f t="shared" si="114"/>
        <v>0</v>
      </c>
      <c r="AA525" s="43">
        <f t="shared" si="115"/>
        <v>86244</v>
      </c>
      <c r="AB525" s="43">
        <f t="shared" si="116"/>
        <v>34108</v>
      </c>
      <c r="AC525" s="43">
        <f t="shared" si="126"/>
        <v>6.3645432270270294E-2</v>
      </c>
      <c r="AD525" s="43">
        <f t="shared" si="127"/>
        <v>0.82651807273333366</v>
      </c>
      <c r="AF525" s="43">
        <v>15.613989524623021</v>
      </c>
      <c r="AG525" s="43">
        <v>3.3075022000000003E-2</v>
      </c>
      <c r="AH525" s="43">
        <v>1.0538334999999999E-2</v>
      </c>
      <c r="AI525" s="43">
        <v>0.88225329399999997</v>
      </c>
      <c r="AJ525" s="43">
        <v>4.5094422490000001</v>
      </c>
      <c r="AK525" s="43">
        <v>9.9456850479999996</v>
      </c>
      <c r="AL525" s="43">
        <v>3.3532929999999998E-3</v>
      </c>
      <c r="AM525" s="230">
        <v>6.6415739948674085E-2</v>
      </c>
      <c r="AN525" s="43">
        <v>0.88369546600000004</v>
      </c>
    </row>
    <row r="526" spans="1:40" x14ac:dyDescent="0.25">
      <c r="A526" s="134">
        <v>516</v>
      </c>
      <c r="B526" s="134" t="s">
        <v>212</v>
      </c>
      <c r="C526" s="134" t="s">
        <v>210</v>
      </c>
      <c r="D526" s="134" t="s">
        <v>211</v>
      </c>
      <c r="E526" s="134">
        <v>0</v>
      </c>
      <c r="F526" s="134">
        <v>0</v>
      </c>
      <c r="G526" s="134">
        <v>175</v>
      </c>
      <c r="H526" s="134">
        <v>138</v>
      </c>
      <c r="I526" s="200">
        <v>2.8567466808699999E-2</v>
      </c>
      <c r="J526" s="134">
        <v>138</v>
      </c>
      <c r="K526" s="134">
        <v>4830.6698288600001</v>
      </c>
      <c r="L526" s="42">
        <v>0.90254010043400001</v>
      </c>
      <c r="M526" s="42">
        <v>1</v>
      </c>
      <c r="N526" s="134">
        <v>0</v>
      </c>
      <c r="O526" s="43" t="s">
        <v>666</v>
      </c>
      <c r="P526" s="43">
        <f t="shared" si="117"/>
        <v>17.160038148965356</v>
      </c>
      <c r="Q526" s="43">
        <f t="shared" si="118"/>
        <v>1.1115987000000001E-2</v>
      </c>
      <c r="R526" s="43">
        <f t="shared" si="119"/>
        <v>5.4604850000000002E-3</v>
      </c>
      <c r="S526" s="43">
        <f t="shared" si="120"/>
        <v>0.90254009999999996</v>
      </c>
      <c r="T526" s="43">
        <f t="shared" si="121"/>
        <v>6.0395256919999998</v>
      </c>
      <c r="U526" s="43">
        <f t="shared" si="122"/>
        <v>9.6560134570000002</v>
      </c>
      <c r="V526" s="43">
        <f t="shared" si="123"/>
        <v>3.528504E-3</v>
      </c>
      <c r="W526" s="230">
        <f t="shared" si="124"/>
        <v>8.8212592347557616E-4</v>
      </c>
      <c r="X526" s="43">
        <f t="shared" si="125"/>
        <v>0.91432351999999995</v>
      </c>
      <c r="Y526" s="43">
        <v>35.753424770000002</v>
      </c>
      <c r="Z526" s="43">
        <f t="shared" si="114"/>
        <v>0</v>
      </c>
      <c r="AA526" s="43">
        <f t="shared" si="115"/>
        <v>86244</v>
      </c>
      <c r="AB526" s="43">
        <f t="shared" si="116"/>
        <v>34108</v>
      </c>
      <c r="AC526" s="43">
        <f t="shared" si="126"/>
        <v>6.3645432270270294E-2</v>
      </c>
      <c r="AD526" s="43">
        <f t="shared" si="127"/>
        <v>0.82651807273333366</v>
      </c>
      <c r="AF526" s="43">
        <v>17.160038148965356</v>
      </c>
      <c r="AG526" s="43">
        <v>1.1115987000000001E-2</v>
      </c>
      <c r="AH526" s="43">
        <v>5.4604850000000002E-3</v>
      </c>
      <c r="AI526" s="43">
        <v>0.90254009999999996</v>
      </c>
      <c r="AJ526" s="43">
        <v>6.0395256919999998</v>
      </c>
      <c r="AK526" s="43">
        <v>9.6560134570000002</v>
      </c>
      <c r="AL526" s="43">
        <v>3.528504E-3</v>
      </c>
      <c r="AM526" s="230">
        <v>8.8212592347557616E-4</v>
      </c>
      <c r="AN526" s="43">
        <v>0.91432351999999995</v>
      </c>
    </row>
    <row r="527" spans="1:40" x14ac:dyDescent="0.25">
      <c r="A527" s="134">
        <v>517</v>
      </c>
      <c r="B527" s="134" t="s">
        <v>212</v>
      </c>
      <c r="C527" s="134" t="s">
        <v>210</v>
      </c>
      <c r="D527" s="134" t="s">
        <v>211</v>
      </c>
      <c r="E527" s="134">
        <v>454</v>
      </c>
      <c r="F527" s="134">
        <v>1093</v>
      </c>
      <c r="G527" s="134">
        <v>70</v>
      </c>
      <c r="H527" s="134">
        <v>161</v>
      </c>
      <c r="I527" s="200">
        <v>0.13984322442300001</v>
      </c>
      <c r="J527" s="134">
        <v>1254</v>
      </c>
      <c r="K527" s="134">
        <v>8967.1845394699994</v>
      </c>
      <c r="L527" s="42">
        <v>0.84960193123299999</v>
      </c>
      <c r="M527" s="42">
        <v>0.261788617886</v>
      </c>
      <c r="N527" s="134">
        <v>0</v>
      </c>
      <c r="O527" s="43" t="s">
        <v>666</v>
      </c>
      <c r="P527" s="43">
        <f t="shared" si="117"/>
        <v>12.484950281597884</v>
      </c>
      <c r="Q527" s="43">
        <f t="shared" si="118"/>
        <v>5.3394125000000001E-2</v>
      </c>
      <c r="R527" s="43">
        <f t="shared" si="119"/>
        <v>1.5112558999999999E-2</v>
      </c>
      <c r="S527" s="43">
        <f t="shared" si="120"/>
        <v>0.84960193100000003</v>
      </c>
      <c r="T527" s="43">
        <f t="shared" si="121"/>
        <v>3.1451502260000002</v>
      </c>
      <c r="U527" s="43">
        <f t="shared" si="122"/>
        <v>7.8568997700000001</v>
      </c>
      <c r="V527" s="43">
        <f t="shared" si="123"/>
        <v>7.3076800000000004E-3</v>
      </c>
      <c r="W527" s="230">
        <f t="shared" si="124"/>
        <v>0.10781590327977524</v>
      </c>
      <c r="X527" s="43">
        <f t="shared" si="125"/>
        <v>0.84723318299999995</v>
      </c>
      <c r="Y527" s="43">
        <v>227.16882340000001</v>
      </c>
      <c r="Z527" s="43">
        <f t="shared" si="114"/>
        <v>0</v>
      </c>
      <c r="AA527" s="43">
        <f t="shared" si="115"/>
        <v>86244</v>
      </c>
      <c r="AB527" s="43">
        <f t="shared" si="116"/>
        <v>34108</v>
      </c>
      <c r="AC527" s="43">
        <f t="shared" si="126"/>
        <v>6.3645432270270294E-2</v>
      </c>
      <c r="AD527" s="43">
        <f t="shared" si="127"/>
        <v>0.82651807273333366</v>
      </c>
      <c r="AF527" s="43">
        <v>12.484950281597884</v>
      </c>
      <c r="AG527" s="43">
        <v>5.3394125000000001E-2</v>
      </c>
      <c r="AH527" s="43">
        <v>1.5112558999999999E-2</v>
      </c>
      <c r="AI527" s="43">
        <v>0.84960193100000003</v>
      </c>
      <c r="AJ527" s="43">
        <v>3.1451502260000002</v>
      </c>
      <c r="AK527" s="43">
        <v>7.8568997700000001</v>
      </c>
      <c r="AL527" s="43">
        <v>7.3076800000000004E-3</v>
      </c>
      <c r="AM527" s="230">
        <v>0.10781590327977524</v>
      </c>
      <c r="AN527" s="43">
        <v>0.84723318299999995</v>
      </c>
    </row>
    <row r="528" spans="1:40" x14ac:dyDescent="0.25">
      <c r="A528" s="134">
        <v>518</v>
      </c>
      <c r="B528" s="134" t="s">
        <v>212</v>
      </c>
      <c r="C528" s="134" t="s">
        <v>210</v>
      </c>
      <c r="D528" s="134" t="s">
        <v>211</v>
      </c>
      <c r="E528" s="134">
        <v>631</v>
      </c>
      <c r="F528" s="134">
        <v>1519</v>
      </c>
      <c r="G528" s="134">
        <v>62</v>
      </c>
      <c r="H528" s="134">
        <v>157</v>
      </c>
      <c r="I528" s="200">
        <v>0.124082377738</v>
      </c>
      <c r="J528" s="134">
        <v>1676</v>
      </c>
      <c r="K528" s="134">
        <v>13507.155734399999</v>
      </c>
      <c r="L528" s="42">
        <v>0.837675492829</v>
      </c>
      <c r="M528" s="42">
        <v>0.19923857868</v>
      </c>
      <c r="N528" s="134">
        <v>0</v>
      </c>
      <c r="O528" s="43" t="s">
        <v>664</v>
      </c>
      <c r="P528" s="43">
        <f t="shared" si="117"/>
        <v>12.175934382320321</v>
      </c>
      <c r="Q528" s="43">
        <f t="shared" si="118"/>
        <v>5.6823752999999998E-2</v>
      </c>
      <c r="R528" s="43">
        <f t="shared" si="119"/>
        <v>1.5716879999999999E-2</v>
      </c>
      <c r="S528" s="43">
        <f t="shared" si="120"/>
        <v>0.83767549299999999</v>
      </c>
      <c r="T528" s="43">
        <f t="shared" si="121"/>
        <v>3.123869446</v>
      </c>
      <c r="U528" s="43">
        <f t="shared" si="122"/>
        <v>7.5580064</v>
      </c>
      <c r="V528" s="43">
        <f t="shared" si="123"/>
        <v>8.8033629999999998E-3</v>
      </c>
      <c r="W528" s="230">
        <f t="shared" si="124"/>
        <v>0.13009138138398779</v>
      </c>
      <c r="X528" s="43">
        <f t="shared" si="125"/>
        <v>0.82497427199999995</v>
      </c>
      <c r="Y528" s="43">
        <v>115.54582739999999</v>
      </c>
      <c r="Z528" s="43">
        <f t="shared" si="114"/>
        <v>0</v>
      </c>
      <c r="AA528" s="43">
        <f t="shared" si="115"/>
        <v>86244</v>
      </c>
      <c r="AB528" s="43">
        <f t="shared" si="116"/>
        <v>34108</v>
      </c>
      <c r="AC528" s="43">
        <f t="shared" si="126"/>
        <v>6.3645432270270294E-2</v>
      </c>
      <c r="AD528" s="43">
        <f t="shared" si="127"/>
        <v>0.82651807273333366</v>
      </c>
      <c r="AF528" s="43">
        <v>12.175934382320321</v>
      </c>
      <c r="AG528" s="43">
        <v>5.6823752999999998E-2</v>
      </c>
      <c r="AH528" s="43">
        <v>1.5716879999999999E-2</v>
      </c>
      <c r="AI528" s="43">
        <v>0.83767549299999999</v>
      </c>
      <c r="AJ528" s="43">
        <v>3.123869446</v>
      </c>
      <c r="AK528" s="43">
        <v>7.5580064</v>
      </c>
      <c r="AL528" s="43">
        <v>8.8033629999999998E-3</v>
      </c>
      <c r="AM528" s="230">
        <v>0.13009138138398779</v>
      </c>
      <c r="AN528" s="43">
        <v>0.82497427199999995</v>
      </c>
    </row>
    <row r="529" spans="1:40" x14ac:dyDescent="0.25">
      <c r="A529" s="134">
        <v>519</v>
      </c>
      <c r="B529" s="134" t="s">
        <v>212</v>
      </c>
      <c r="C529" s="134" t="s">
        <v>210</v>
      </c>
      <c r="D529" s="134" t="s">
        <v>211</v>
      </c>
      <c r="E529" s="134">
        <v>798</v>
      </c>
      <c r="F529" s="134">
        <v>1924</v>
      </c>
      <c r="G529" s="134">
        <v>88</v>
      </c>
      <c r="H529" s="134">
        <v>153</v>
      </c>
      <c r="I529" s="200">
        <v>0.17579653457800001</v>
      </c>
      <c r="J529" s="134">
        <v>2077</v>
      </c>
      <c r="K529" s="134">
        <v>11814.794899099999</v>
      </c>
      <c r="L529" s="42">
        <v>0.83687211920399995</v>
      </c>
      <c r="M529" s="42">
        <v>0.16088328075700001</v>
      </c>
      <c r="N529" s="134">
        <v>0</v>
      </c>
      <c r="O529" s="43" t="s">
        <v>664</v>
      </c>
      <c r="P529" s="43">
        <f t="shared" si="117"/>
        <v>11.92800643387883</v>
      </c>
      <c r="Q529" s="43">
        <f t="shared" si="118"/>
        <v>5.531647E-2</v>
      </c>
      <c r="R529" s="43">
        <f t="shared" si="119"/>
        <v>1.5568930999999999E-2</v>
      </c>
      <c r="S529" s="43">
        <f t="shared" si="120"/>
        <v>0.83687211900000003</v>
      </c>
      <c r="T529" s="43">
        <f t="shared" si="121"/>
        <v>3.006153334</v>
      </c>
      <c r="U529" s="43">
        <f t="shared" si="122"/>
        <v>7.3976455740000002</v>
      </c>
      <c r="V529" s="43">
        <f t="shared" si="123"/>
        <v>7.6137940000000001E-3</v>
      </c>
      <c r="W529" s="230">
        <f t="shared" si="124"/>
        <v>0.12952746957581768</v>
      </c>
      <c r="X529" s="43">
        <f t="shared" si="125"/>
        <v>0.82642203400000003</v>
      </c>
      <c r="Y529" s="43">
        <v>223.90057730000001</v>
      </c>
      <c r="Z529" s="43">
        <f t="shared" si="114"/>
        <v>0</v>
      </c>
      <c r="AA529" s="43">
        <f t="shared" si="115"/>
        <v>86244</v>
      </c>
      <c r="AB529" s="43">
        <f t="shared" si="116"/>
        <v>34108</v>
      </c>
      <c r="AC529" s="43">
        <f t="shared" si="126"/>
        <v>6.3645432270270294E-2</v>
      </c>
      <c r="AD529" s="43">
        <f t="shared" si="127"/>
        <v>0.82651807273333366</v>
      </c>
      <c r="AF529" s="43">
        <v>11.92800643387883</v>
      </c>
      <c r="AG529" s="43">
        <v>5.531647E-2</v>
      </c>
      <c r="AH529" s="43">
        <v>1.5568930999999999E-2</v>
      </c>
      <c r="AI529" s="43">
        <v>0.83687211900000003</v>
      </c>
      <c r="AJ529" s="43">
        <v>3.006153334</v>
      </c>
      <c r="AK529" s="43">
        <v>7.3976455740000002</v>
      </c>
      <c r="AL529" s="43">
        <v>7.6137940000000001E-3</v>
      </c>
      <c r="AM529" s="230">
        <v>0.12952746957581768</v>
      </c>
      <c r="AN529" s="43">
        <v>0.82642203400000003</v>
      </c>
    </row>
    <row r="530" spans="1:40" x14ac:dyDescent="0.25">
      <c r="A530" s="134">
        <v>520</v>
      </c>
      <c r="B530" s="134" t="s">
        <v>212</v>
      </c>
      <c r="C530" s="134" t="s">
        <v>210</v>
      </c>
      <c r="D530" s="134" t="s">
        <v>211</v>
      </c>
      <c r="E530" s="134">
        <v>765</v>
      </c>
      <c r="F530" s="134">
        <v>1843</v>
      </c>
      <c r="G530" s="134">
        <v>48</v>
      </c>
      <c r="H530" s="134">
        <v>101</v>
      </c>
      <c r="I530" s="200">
        <v>9.6887174221500005E-2</v>
      </c>
      <c r="J530" s="134">
        <v>1944</v>
      </c>
      <c r="K530" s="134">
        <v>20064.575271400001</v>
      </c>
      <c r="L530" s="42">
        <v>0.80091431042799999</v>
      </c>
      <c r="M530" s="42">
        <v>0.11662817552</v>
      </c>
      <c r="N530" s="134">
        <v>0</v>
      </c>
      <c r="O530" s="43" t="s">
        <v>664</v>
      </c>
      <c r="P530" s="43">
        <f t="shared" si="117"/>
        <v>11.503726581688099</v>
      </c>
      <c r="Q530" s="43">
        <f t="shared" si="118"/>
        <v>6.7844162E-2</v>
      </c>
      <c r="R530" s="43">
        <f t="shared" si="119"/>
        <v>1.5192302E-2</v>
      </c>
      <c r="S530" s="43">
        <f t="shared" si="120"/>
        <v>0.80091431000000002</v>
      </c>
      <c r="T530" s="43">
        <f t="shared" si="121"/>
        <v>2.7580718919999998</v>
      </c>
      <c r="U530" s="43">
        <f t="shared" si="122"/>
        <v>6.8040799830000003</v>
      </c>
      <c r="V530" s="43">
        <f t="shared" si="123"/>
        <v>8.4869200000000002E-3</v>
      </c>
      <c r="W530" s="230">
        <f t="shared" si="124"/>
        <v>0.16224926312892091</v>
      </c>
      <c r="X530" s="43">
        <f t="shared" si="125"/>
        <v>0.77257348599999998</v>
      </c>
      <c r="Y530" s="43">
        <v>156.15617739999999</v>
      </c>
      <c r="Z530" s="43">
        <f t="shared" si="114"/>
        <v>0</v>
      </c>
      <c r="AA530" s="43">
        <f t="shared" si="115"/>
        <v>86244</v>
      </c>
      <c r="AB530" s="43">
        <f t="shared" si="116"/>
        <v>34108</v>
      </c>
      <c r="AC530" s="43">
        <f t="shared" si="126"/>
        <v>6.3645432270270294E-2</v>
      </c>
      <c r="AD530" s="43">
        <f t="shared" si="127"/>
        <v>0.82651807273333366</v>
      </c>
      <c r="AF530" s="43">
        <v>11.503726581688099</v>
      </c>
      <c r="AG530" s="43">
        <v>6.7844162E-2</v>
      </c>
      <c r="AH530" s="43">
        <v>1.5192302E-2</v>
      </c>
      <c r="AI530" s="43">
        <v>0.80091431000000002</v>
      </c>
      <c r="AJ530" s="43">
        <v>2.7580718919999998</v>
      </c>
      <c r="AK530" s="43">
        <v>6.8040799830000003</v>
      </c>
      <c r="AL530" s="43">
        <v>8.4869200000000002E-3</v>
      </c>
      <c r="AM530" s="230">
        <v>0.16224926312892091</v>
      </c>
      <c r="AN530" s="43">
        <v>0.77257348599999998</v>
      </c>
    </row>
    <row r="531" spans="1:40" x14ac:dyDescent="0.25">
      <c r="A531" s="134">
        <v>521</v>
      </c>
      <c r="B531" s="134" t="s">
        <v>212</v>
      </c>
      <c r="C531" s="134" t="s">
        <v>210</v>
      </c>
      <c r="D531" s="134" t="s">
        <v>211</v>
      </c>
      <c r="E531" s="134">
        <v>529</v>
      </c>
      <c r="F531" s="134">
        <v>1269</v>
      </c>
      <c r="G531" s="134">
        <v>78</v>
      </c>
      <c r="H531" s="134">
        <v>127</v>
      </c>
      <c r="I531" s="200">
        <v>0.121296879432</v>
      </c>
      <c r="J531" s="134">
        <v>1396</v>
      </c>
      <c r="K531" s="134">
        <v>11508.952304</v>
      </c>
      <c r="L531" s="42">
        <v>0.83456296771000005</v>
      </c>
      <c r="M531" s="42">
        <v>0.193597560976</v>
      </c>
      <c r="N531" s="134">
        <v>0</v>
      </c>
      <c r="O531" s="43" t="s">
        <v>666</v>
      </c>
      <c r="P531" s="43">
        <f t="shared" si="117"/>
        <v>12.325708949009213</v>
      </c>
      <c r="Q531" s="43">
        <f t="shared" si="118"/>
        <v>6.3731126999999999E-2</v>
      </c>
      <c r="R531" s="43">
        <f t="shared" si="119"/>
        <v>1.5732031E-2</v>
      </c>
      <c r="S531" s="43">
        <f t="shared" si="120"/>
        <v>0.83456296799999996</v>
      </c>
      <c r="T531" s="43">
        <f t="shared" si="121"/>
        <v>3.0438061040000002</v>
      </c>
      <c r="U531" s="43">
        <f t="shared" si="122"/>
        <v>7.7690396460000004</v>
      </c>
      <c r="V531" s="43">
        <f t="shared" si="123"/>
        <v>7.1302900000000001E-3</v>
      </c>
      <c r="W531" s="230">
        <f t="shared" si="124"/>
        <v>0.13487359940735252</v>
      </c>
      <c r="X531" s="43">
        <f t="shared" si="125"/>
        <v>0.81941229100000001</v>
      </c>
      <c r="Y531" s="43">
        <v>101.8346847</v>
      </c>
      <c r="Z531" s="43">
        <f t="shared" si="114"/>
        <v>0</v>
      </c>
      <c r="AA531" s="43">
        <f t="shared" si="115"/>
        <v>86244</v>
      </c>
      <c r="AB531" s="43">
        <f t="shared" si="116"/>
        <v>34108</v>
      </c>
      <c r="AC531" s="43">
        <f t="shared" si="126"/>
        <v>6.3645432270270294E-2</v>
      </c>
      <c r="AD531" s="43">
        <f t="shared" si="127"/>
        <v>0.82651807273333366</v>
      </c>
      <c r="AF531" s="43">
        <v>12.325708949009213</v>
      </c>
      <c r="AG531" s="43">
        <v>6.3731126999999999E-2</v>
      </c>
      <c r="AH531" s="43">
        <v>1.5732031E-2</v>
      </c>
      <c r="AI531" s="43">
        <v>0.83456296799999996</v>
      </c>
      <c r="AJ531" s="43">
        <v>3.0438061040000002</v>
      </c>
      <c r="AK531" s="43">
        <v>7.7690396460000004</v>
      </c>
      <c r="AL531" s="43">
        <v>7.1302900000000001E-3</v>
      </c>
      <c r="AM531" s="230">
        <v>0.13487359940735252</v>
      </c>
      <c r="AN531" s="43">
        <v>0.81941229100000001</v>
      </c>
    </row>
    <row r="532" spans="1:40" x14ac:dyDescent="0.25">
      <c r="A532" s="134">
        <v>522</v>
      </c>
      <c r="B532" s="134" t="s">
        <v>212</v>
      </c>
      <c r="C532" s="134" t="s">
        <v>210</v>
      </c>
      <c r="D532" s="134" t="s">
        <v>211</v>
      </c>
      <c r="E532" s="134">
        <v>897</v>
      </c>
      <c r="F532" s="134">
        <v>2153</v>
      </c>
      <c r="G532" s="134">
        <v>117</v>
      </c>
      <c r="H532" s="134">
        <v>618</v>
      </c>
      <c r="I532" s="200">
        <v>0.18042709430600001</v>
      </c>
      <c r="J532" s="134">
        <v>2771</v>
      </c>
      <c r="K532" s="134">
        <v>15358.003800099999</v>
      </c>
      <c r="L532" s="42">
        <v>0.83234095773000005</v>
      </c>
      <c r="M532" s="42">
        <v>0.40792079207900001</v>
      </c>
      <c r="N532" s="134">
        <v>0</v>
      </c>
      <c r="O532" s="43" t="s">
        <v>664</v>
      </c>
      <c r="P532" s="43">
        <f t="shared" si="117"/>
        <v>12.274260607485044</v>
      </c>
      <c r="Q532" s="43">
        <f t="shared" si="118"/>
        <v>5.9804709999999997E-2</v>
      </c>
      <c r="R532" s="43">
        <f t="shared" si="119"/>
        <v>1.6050849999999998E-2</v>
      </c>
      <c r="S532" s="43">
        <f t="shared" si="120"/>
        <v>0.83234095799999996</v>
      </c>
      <c r="T532" s="43">
        <f t="shared" si="121"/>
        <v>2.9961308259999999</v>
      </c>
      <c r="U532" s="43">
        <f t="shared" si="122"/>
        <v>7.5817278979999996</v>
      </c>
      <c r="V532" s="43">
        <f t="shared" si="123"/>
        <v>1.1287379E-2</v>
      </c>
      <c r="W532" s="230">
        <f t="shared" si="124"/>
        <v>0.11900245721429495</v>
      </c>
      <c r="X532" s="43">
        <f t="shared" si="125"/>
        <v>0.82810995700000001</v>
      </c>
      <c r="Y532" s="43">
        <v>233.2013623</v>
      </c>
      <c r="Z532" s="43">
        <f t="shared" si="114"/>
        <v>0</v>
      </c>
      <c r="AA532" s="43">
        <f t="shared" si="115"/>
        <v>86244</v>
      </c>
      <c r="AB532" s="43">
        <f t="shared" si="116"/>
        <v>34108</v>
      </c>
      <c r="AC532" s="43">
        <f t="shared" si="126"/>
        <v>6.3645432270270294E-2</v>
      </c>
      <c r="AD532" s="43">
        <f t="shared" si="127"/>
        <v>0.82651807273333366</v>
      </c>
      <c r="AF532" s="43">
        <v>12.274260607485044</v>
      </c>
      <c r="AG532" s="43">
        <v>5.9804709999999997E-2</v>
      </c>
      <c r="AH532" s="43">
        <v>1.6050849999999998E-2</v>
      </c>
      <c r="AI532" s="43">
        <v>0.83234095799999996</v>
      </c>
      <c r="AJ532" s="43">
        <v>2.9961308259999999</v>
      </c>
      <c r="AK532" s="43">
        <v>7.5817278979999996</v>
      </c>
      <c r="AL532" s="43">
        <v>1.1287379E-2</v>
      </c>
      <c r="AM532" s="230">
        <v>0.11900245721429495</v>
      </c>
      <c r="AN532" s="43">
        <v>0.82810995700000001</v>
      </c>
    </row>
    <row r="533" spans="1:40" x14ac:dyDescent="0.25">
      <c r="A533" s="134">
        <v>523</v>
      </c>
      <c r="B533" s="134" t="s">
        <v>212</v>
      </c>
      <c r="C533" s="134" t="s">
        <v>210</v>
      </c>
      <c r="D533" s="134" t="s">
        <v>211</v>
      </c>
      <c r="E533" s="134">
        <v>543</v>
      </c>
      <c r="F533" s="134">
        <v>1303</v>
      </c>
      <c r="G533" s="134">
        <v>51</v>
      </c>
      <c r="H533" s="134">
        <v>601</v>
      </c>
      <c r="I533" s="200">
        <v>7.8755551757799996E-2</v>
      </c>
      <c r="J533" s="134">
        <v>1904</v>
      </c>
      <c r="K533" s="134">
        <v>24176.073400599998</v>
      </c>
      <c r="L533" s="42">
        <v>0.80338844033000001</v>
      </c>
      <c r="M533" s="42">
        <v>0.52534965035000003</v>
      </c>
      <c r="N533" s="134">
        <v>0</v>
      </c>
      <c r="O533" s="43" t="s">
        <v>664</v>
      </c>
      <c r="P533" s="43">
        <f t="shared" si="117"/>
        <v>12.368414227060768</v>
      </c>
      <c r="Q533" s="43">
        <f t="shared" si="118"/>
        <v>6.1533679000000001E-2</v>
      </c>
      <c r="R533" s="43">
        <f t="shared" si="119"/>
        <v>1.5534269999999999E-2</v>
      </c>
      <c r="S533" s="43">
        <f t="shared" si="120"/>
        <v>0.80338843999999998</v>
      </c>
      <c r="T533" s="43">
        <f t="shared" si="121"/>
        <v>2.689950466</v>
      </c>
      <c r="U533" s="43">
        <f t="shared" si="122"/>
        <v>6.9108355650000002</v>
      </c>
      <c r="V533" s="43">
        <f t="shared" si="123"/>
        <v>1.3481065E-2</v>
      </c>
      <c r="W533" s="230">
        <f t="shared" si="124"/>
        <v>0.13429380538596547</v>
      </c>
      <c r="X533" s="43">
        <f t="shared" si="125"/>
        <v>0.78488440999999998</v>
      </c>
      <c r="Y533" s="43">
        <v>182.8905384</v>
      </c>
      <c r="Z533" s="43">
        <f t="shared" si="114"/>
        <v>0</v>
      </c>
      <c r="AA533" s="43">
        <f t="shared" si="115"/>
        <v>86244</v>
      </c>
      <c r="AB533" s="43">
        <f t="shared" si="116"/>
        <v>34108</v>
      </c>
      <c r="AC533" s="43">
        <f t="shared" si="126"/>
        <v>6.3645432270270294E-2</v>
      </c>
      <c r="AD533" s="43">
        <f t="shared" si="127"/>
        <v>0.82651807273333366</v>
      </c>
      <c r="AF533" s="43">
        <v>12.368414227060768</v>
      </c>
      <c r="AG533" s="43">
        <v>6.1533679000000001E-2</v>
      </c>
      <c r="AH533" s="43">
        <v>1.5534269999999999E-2</v>
      </c>
      <c r="AI533" s="43">
        <v>0.80338843999999998</v>
      </c>
      <c r="AJ533" s="43">
        <v>2.689950466</v>
      </c>
      <c r="AK533" s="43">
        <v>6.9108355650000002</v>
      </c>
      <c r="AL533" s="43">
        <v>1.3481065E-2</v>
      </c>
      <c r="AM533" s="230">
        <v>0.13429380538596547</v>
      </c>
      <c r="AN533" s="43">
        <v>0.78488440999999998</v>
      </c>
    </row>
    <row r="534" spans="1:40" x14ac:dyDescent="0.25">
      <c r="A534" s="134">
        <v>524</v>
      </c>
      <c r="B534" s="134" t="s">
        <v>212</v>
      </c>
      <c r="C534" s="134" t="s">
        <v>210</v>
      </c>
      <c r="D534" s="134" t="s">
        <v>211</v>
      </c>
      <c r="E534" s="134">
        <v>308</v>
      </c>
      <c r="F534" s="134">
        <v>815</v>
      </c>
      <c r="G534" s="134">
        <v>57</v>
      </c>
      <c r="H534" s="134">
        <v>72</v>
      </c>
      <c r="I534" s="200">
        <v>7.9267244905199999E-2</v>
      </c>
      <c r="J534" s="134">
        <v>887</v>
      </c>
      <c r="K534" s="134">
        <v>11189.994064500001</v>
      </c>
      <c r="L534" s="42">
        <v>0.85727693535500005</v>
      </c>
      <c r="M534" s="42">
        <v>0.189473684211</v>
      </c>
      <c r="N534" s="134">
        <v>0</v>
      </c>
      <c r="O534" s="43" t="s">
        <v>666</v>
      </c>
      <c r="P534" s="43">
        <f t="shared" si="117"/>
        <v>11.545609031444245</v>
      </c>
      <c r="Q534" s="43">
        <f t="shared" si="118"/>
        <v>5.1939345999999997E-2</v>
      </c>
      <c r="R534" s="43">
        <f t="shared" si="119"/>
        <v>1.4263368E-2</v>
      </c>
      <c r="S534" s="43">
        <f t="shared" si="120"/>
        <v>0.85727693500000002</v>
      </c>
      <c r="T534" s="43">
        <f t="shared" si="121"/>
        <v>3.0241610739999998</v>
      </c>
      <c r="U534" s="43">
        <f t="shared" si="122"/>
        <v>7.4521138840000001</v>
      </c>
      <c r="V534" s="43">
        <f t="shared" si="123"/>
        <v>5.3389099999999997E-3</v>
      </c>
      <c r="W534" s="230">
        <f t="shared" si="124"/>
        <v>0.11689014638946982</v>
      </c>
      <c r="X534" s="43">
        <f t="shared" si="125"/>
        <v>0.83690490799999995</v>
      </c>
      <c r="Y534" s="43">
        <v>151.34182039999999</v>
      </c>
      <c r="Z534" s="43">
        <f t="shared" si="114"/>
        <v>0</v>
      </c>
      <c r="AA534" s="43">
        <f t="shared" si="115"/>
        <v>86244</v>
      </c>
      <c r="AB534" s="43">
        <f t="shared" si="116"/>
        <v>34108</v>
      </c>
      <c r="AC534" s="43">
        <f t="shared" si="126"/>
        <v>6.3645432270270294E-2</v>
      </c>
      <c r="AD534" s="43">
        <f t="shared" si="127"/>
        <v>0.82651807273333366</v>
      </c>
      <c r="AF534" s="43">
        <v>11.545609031444245</v>
      </c>
      <c r="AG534" s="43">
        <v>5.1939345999999997E-2</v>
      </c>
      <c r="AH534" s="43">
        <v>1.4263368E-2</v>
      </c>
      <c r="AI534" s="43">
        <v>0.85727693500000002</v>
      </c>
      <c r="AJ534" s="43">
        <v>3.0241610739999998</v>
      </c>
      <c r="AK534" s="43">
        <v>7.4521138840000001</v>
      </c>
      <c r="AL534" s="43">
        <v>5.3389099999999997E-3</v>
      </c>
      <c r="AM534" s="230">
        <v>0.11689014638946982</v>
      </c>
      <c r="AN534" s="43">
        <v>0.83690490799999995</v>
      </c>
    </row>
    <row r="535" spans="1:40" x14ac:dyDescent="0.25">
      <c r="A535" s="134">
        <v>525</v>
      </c>
      <c r="B535" s="134" t="s">
        <v>212</v>
      </c>
      <c r="C535" s="134" t="s">
        <v>210</v>
      </c>
      <c r="D535" s="134" t="s">
        <v>211</v>
      </c>
      <c r="E535" s="134">
        <v>811</v>
      </c>
      <c r="F535" s="134">
        <v>2147</v>
      </c>
      <c r="G535" s="134">
        <v>147</v>
      </c>
      <c r="H535" s="134">
        <v>273</v>
      </c>
      <c r="I535" s="200">
        <v>0.20464235793800001</v>
      </c>
      <c r="J535" s="134">
        <v>2420</v>
      </c>
      <c r="K535" s="134">
        <v>11825.5087773</v>
      </c>
      <c r="L535" s="42">
        <v>0.84371962414900004</v>
      </c>
      <c r="M535" s="42">
        <v>0.25184501845000001</v>
      </c>
      <c r="N535" s="134">
        <v>0</v>
      </c>
      <c r="O535" s="43" t="s">
        <v>664</v>
      </c>
      <c r="P535" s="43">
        <f t="shared" si="117"/>
        <v>11.341326024739148</v>
      </c>
      <c r="Q535" s="43">
        <f t="shared" si="118"/>
        <v>6.1471721E-2</v>
      </c>
      <c r="R535" s="43">
        <f t="shared" si="119"/>
        <v>1.4458904999999999E-2</v>
      </c>
      <c r="S535" s="43">
        <f t="shared" si="120"/>
        <v>0.843719624</v>
      </c>
      <c r="T535" s="43">
        <f t="shared" si="121"/>
        <v>2.892437106</v>
      </c>
      <c r="U535" s="43">
        <f t="shared" si="122"/>
        <v>7.1481674589999997</v>
      </c>
      <c r="V535" s="43">
        <f t="shared" si="123"/>
        <v>7.714187E-3</v>
      </c>
      <c r="W535" s="230">
        <f t="shared" si="124"/>
        <v>0.12909868926343862</v>
      </c>
      <c r="X535" s="43">
        <f t="shared" si="125"/>
        <v>0.83005156899999999</v>
      </c>
      <c r="Y535" s="43">
        <v>148.41120660000001</v>
      </c>
      <c r="Z535" s="43">
        <f t="shared" si="114"/>
        <v>0</v>
      </c>
      <c r="AA535" s="43">
        <f t="shared" si="115"/>
        <v>86244</v>
      </c>
      <c r="AB535" s="43">
        <f t="shared" si="116"/>
        <v>34108</v>
      </c>
      <c r="AC535" s="43">
        <f t="shared" si="126"/>
        <v>6.3645432270270294E-2</v>
      </c>
      <c r="AD535" s="43">
        <f t="shared" si="127"/>
        <v>0.82651807273333366</v>
      </c>
      <c r="AF535" s="43">
        <v>11.341326024739148</v>
      </c>
      <c r="AG535" s="43">
        <v>6.1471721E-2</v>
      </c>
      <c r="AH535" s="43">
        <v>1.4458904999999999E-2</v>
      </c>
      <c r="AI535" s="43">
        <v>0.843719624</v>
      </c>
      <c r="AJ535" s="43">
        <v>2.892437106</v>
      </c>
      <c r="AK535" s="43">
        <v>7.1481674589999997</v>
      </c>
      <c r="AL535" s="43">
        <v>7.714187E-3</v>
      </c>
      <c r="AM535" s="230">
        <v>0.12909868926343862</v>
      </c>
      <c r="AN535" s="43">
        <v>0.83005156899999999</v>
      </c>
    </row>
    <row r="536" spans="1:40" x14ac:dyDescent="0.25">
      <c r="A536" s="134">
        <v>526</v>
      </c>
      <c r="B536" s="134" t="s">
        <v>212</v>
      </c>
      <c r="C536" s="134" t="s">
        <v>210</v>
      </c>
      <c r="D536" s="134" t="s">
        <v>211</v>
      </c>
      <c r="E536" s="134">
        <v>289</v>
      </c>
      <c r="F536" s="134">
        <v>764</v>
      </c>
      <c r="G536" s="134">
        <v>80</v>
      </c>
      <c r="H536" s="134">
        <v>835</v>
      </c>
      <c r="I536" s="200">
        <v>0.110982992536</v>
      </c>
      <c r="J536" s="134">
        <v>1599</v>
      </c>
      <c r="K536" s="134">
        <v>14407.6129456</v>
      </c>
      <c r="L536" s="42">
        <v>0.83017130626799995</v>
      </c>
      <c r="M536" s="42">
        <v>0.74288256227799998</v>
      </c>
      <c r="N536" s="134">
        <v>0</v>
      </c>
      <c r="O536" s="43" t="s">
        <v>664</v>
      </c>
      <c r="P536" s="43">
        <f t="shared" si="117"/>
        <v>11.806209362720224</v>
      </c>
      <c r="Q536" s="43">
        <f t="shared" si="118"/>
        <v>5.1804731999999999E-2</v>
      </c>
      <c r="R536" s="43">
        <f t="shared" si="119"/>
        <v>1.3023839000000001E-2</v>
      </c>
      <c r="S536" s="43">
        <f t="shared" si="120"/>
        <v>0.830171306</v>
      </c>
      <c r="T536" s="43">
        <f t="shared" si="121"/>
        <v>2.56456331</v>
      </c>
      <c r="U536" s="43">
        <f t="shared" si="122"/>
        <v>6.5390686210000002</v>
      </c>
      <c r="V536" s="43">
        <f t="shared" si="123"/>
        <v>1.1671535E-2</v>
      </c>
      <c r="W536" s="230">
        <f t="shared" si="124"/>
        <v>0.10443827028567358</v>
      </c>
      <c r="X536" s="43">
        <f t="shared" si="125"/>
        <v>0.82694545399999997</v>
      </c>
      <c r="Y536" s="43">
        <v>123.2053191</v>
      </c>
      <c r="Z536" s="43">
        <f t="shared" si="114"/>
        <v>0</v>
      </c>
      <c r="AA536" s="43">
        <f t="shared" si="115"/>
        <v>86244</v>
      </c>
      <c r="AB536" s="43">
        <f t="shared" si="116"/>
        <v>34108</v>
      </c>
      <c r="AC536" s="43">
        <f t="shared" si="126"/>
        <v>6.3645432270270294E-2</v>
      </c>
      <c r="AD536" s="43">
        <f t="shared" si="127"/>
        <v>0.82651807273333366</v>
      </c>
      <c r="AF536" s="43">
        <v>11.806209362720224</v>
      </c>
      <c r="AG536" s="43">
        <v>5.1804731999999999E-2</v>
      </c>
      <c r="AH536" s="43">
        <v>1.3023839000000001E-2</v>
      </c>
      <c r="AI536" s="43">
        <v>0.830171306</v>
      </c>
      <c r="AJ536" s="43">
        <v>2.56456331</v>
      </c>
      <c r="AK536" s="43">
        <v>6.5390686210000002</v>
      </c>
      <c r="AL536" s="43">
        <v>1.1671535E-2</v>
      </c>
      <c r="AM536" s="230">
        <v>0.10443827028567358</v>
      </c>
      <c r="AN536" s="43">
        <v>0.82694545399999997</v>
      </c>
    </row>
    <row r="537" spans="1:40" x14ac:dyDescent="0.25">
      <c r="A537" s="134">
        <v>527</v>
      </c>
      <c r="B537" s="134" t="s">
        <v>212</v>
      </c>
      <c r="C537" s="134" t="s">
        <v>210</v>
      </c>
      <c r="D537" s="134" t="s">
        <v>211</v>
      </c>
      <c r="E537" s="134">
        <v>564</v>
      </c>
      <c r="F537" s="134">
        <v>1463</v>
      </c>
      <c r="G537" s="134">
        <v>94</v>
      </c>
      <c r="H537" s="134">
        <v>742</v>
      </c>
      <c r="I537" s="200">
        <v>9.7573089281000003E-2</v>
      </c>
      <c r="J537" s="134">
        <v>2205</v>
      </c>
      <c r="K537" s="134">
        <v>22598.4440612</v>
      </c>
      <c r="L537" s="42">
        <v>0.80880856371099996</v>
      </c>
      <c r="M537" s="42">
        <v>0.56814701378300003</v>
      </c>
      <c r="N537" s="134">
        <v>0</v>
      </c>
      <c r="O537" s="43" t="s">
        <v>664</v>
      </c>
      <c r="P537" s="43">
        <f t="shared" si="117"/>
        <v>12.135764993285683</v>
      </c>
      <c r="Q537" s="43">
        <f t="shared" si="118"/>
        <v>6.3289234E-2</v>
      </c>
      <c r="R537" s="43">
        <f t="shared" si="119"/>
        <v>1.6713723999999999E-2</v>
      </c>
      <c r="S537" s="43">
        <f t="shared" si="120"/>
        <v>0.80880856400000001</v>
      </c>
      <c r="T537" s="43">
        <f t="shared" si="121"/>
        <v>2.891883661</v>
      </c>
      <c r="U537" s="43">
        <f t="shared" si="122"/>
        <v>7.6570633880000001</v>
      </c>
      <c r="V537" s="43">
        <f t="shared" si="123"/>
        <v>1.4798486E-2</v>
      </c>
      <c r="W537" s="230">
        <f t="shared" si="124"/>
        <v>0.12393506012449522</v>
      </c>
      <c r="X537" s="43">
        <f t="shared" si="125"/>
        <v>0.79498947499999995</v>
      </c>
      <c r="Y537" s="43">
        <v>113.4895186</v>
      </c>
      <c r="Z537" s="43">
        <f t="shared" si="114"/>
        <v>0</v>
      </c>
      <c r="AA537" s="43">
        <f t="shared" si="115"/>
        <v>86244</v>
      </c>
      <c r="AB537" s="43">
        <f t="shared" si="116"/>
        <v>34108</v>
      </c>
      <c r="AC537" s="43">
        <f t="shared" si="126"/>
        <v>6.3645432270270294E-2</v>
      </c>
      <c r="AD537" s="43">
        <f t="shared" si="127"/>
        <v>0.82651807273333366</v>
      </c>
      <c r="AF537" s="43">
        <v>12.135764993285683</v>
      </c>
      <c r="AG537" s="43">
        <v>6.3289234E-2</v>
      </c>
      <c r="AH537" s="43">
        <v>1.6713723999999999E-2</v>
      </c>
      <c r="AI537" s="43">
        <v>0.80880856400000001</v>
      </c>
      <c r="AJ537" s="43">
        <v>2.891883661</v>
      </c>
      <c r="AK537" s="43">
        <v>7.6570633880000001</v>
      </c>
      <c r="AL537" s="43">
        <v>1.4798486E-2</v>
      </c>
      <c r="AM537" s="230">
        <v>0.12393506012449522</v>
      </c>
      <c r="AN537" s="43">
        <v>0.79498947499999995</v>
      </c>
    </row>
    <row r="538" spans="1:40" x14ac:dyDescent="0.25">
      <c r="A538" s="134">
        <v>528</v>
      </c>
      <c r="B538" s="134" t="s">
        <v>212</v>
      </c>
      <c r="C538" s="134" t="s">
        <v>210</v>
      </c>
      <c r="D538" s="134" t="s">
        <v>211</v>
      </c>
      <c r="E538" s="134">
        <v>115</v>
      </c>
      <c r="F538" s="134">
        <v>298</v>
      </c>
      <c r="G538" s="134">
        <v>111</v>
      </c>
      <c r="H538" s="134">
        <v>1004</v>
      </c>
      <c r="I538" s="200">
        <v>0.115773325166</v>
      </c>
      <c r="J538" s="134">
        <v>1302</v>
      </c>
      <c r="K538" s="134">
        <v>11246.113887899999</v>
      </c>
      <c r="L538" s="42">
        <v>0.85076044640500004</v>
      </c>
      <c r="M538" s="42">
        <v>0.89722966934799997</v>
      </c>
      <c r="N538" s="134">
        <v>0</v>
      </c>
      <c r="O538" s="43" t="s">
        <v>664</v>
      </c>
      <c r="P538" s="43">
        <f t="shared" si="117"/>
        <v>12.528092000920974</v>
      </c>
      <c r="Q538" s="43">
        <f t="shared" si="118"/>
        <v>4.7708278999999999E-2</v>
      </c>
      <c r="R538" s="43">
        <f t="shared" si="119"/>
        <v>1.4923436E-2</v>
      </c>
      <c r="S538" s="43">
        <f t="shared" si="120"/>
        <v>0.850760446</v>
      </c>
      <c r="T538" s="43">
        <f t="shared" si="121"/>
        <v>3.2538715850000002</v>
      </c>
      <c r="U538" s="43">
        <f t="shared" si="122"/>
        <v>8.3955006829999999</v>
      </c>
      <c r="V538" s="43">
        <f t="shared" si="123"/>
        <v>1.6269953E-2</v>
      </c>
      <c r="W538" s="230">
        <f t="shared" si="124"/>
        <v>6.9319340845693495E-2</v>
      </c>
      <c r="X538" s="43">
        <f t="shared" si="125"/>
        <v>0.85545055699999994</v>
      </c>
      <c r="Y538" s="43">
        <v>124.09328480000001</v>
      </c>
      <c r="Z538" s="43">
        <f t="shared" si="114"/>
        <v>0</v>
      </c>
      <c r="AA538" s="43">
        <f t="shared" si="115"/>
        <v>86244</v>
      </c>
      <c r="AB538" s="43">
        <f t="shared" si="116"/>
        <v>34108</v>
      </c>
      <c r="AC538" s="43">
        <f t="shared" si="126"/>
        <v>6.3645432270270294E-2</v>
      </c>
      <c r="AD538" s="43">
        <f t="shared" si="127"/>
        <v>0.82651807273333366</v>
      </c>
      <c r="AF538" s="43">
        <v>12.528092000920974</v>
      </c>
      <c r="AG538" s="43">
        <v>4.7708278999999999E-2</v>
      </c>
      <c r="AH538" s="43">
        <v>1.4923436E-2</v>
      </c>
      <c r="AI538" s="43">
        <v>0.850760446</v>
      </c>
      <c r="AJ538" s="43">
        <v>3.2538715850000002</v>
      </c>
      <c r="AK538" s="43">
        <v>8.3955006829999999</v>
      </c>
      <c r="AL538" s="43">
        <v>1.6269953E-2</v>
      </c>
      <c r="AM538" s="230">
        <v>6.9319340845693495E-2</v>
      </c>
      <c r="AN538" s="43">
        <v>0.85545055699999994</v>
      </c>
    </row>
    <row r="539" spans="1:40" x14ac:dyDescent="0.25">
      <c r="A539" s="134">
        <v>529</v>
      </c>
      <c r="B539" s="134" t="s">
        <v>212</v>
      </c>
      <c r="C539" s="134" t="s">
        <v>210</v>
      </c>
      <c r="D539" s="134" t="s">
        <v>211</v>
      </c>
      <c r="E539" s="134">
        <v>379</v>
      </c>
      <c r="F539" s="134">
        <v>985</v>
      </c>
      <c r="G539" s="134">
        <v>83</v>
      </c>
      <c r="H539" s="134">
        <v>551</v>
      </c>
      <c r="I539" s="200">
        <v>8.65170916703E-2</v>
      </c>
      <c r="J539" s="134">
        <v>1536</v>
      </c>
      <c r="K539" s="134">
        <v>17753.717448700001</v>
      </c>
      <c r="L539" s="42">
        <v>0.81957547169800005</v>
      </c>
      <c r="M539" s="42">
        <v>0.59247311828000004</v>
      </c>
      <c r="N539" s="134">
        <v>0</v>
      </c>
      <c r="O539" s="43" t="s">
        <v>664</v>
      </c>
      <c r="P539" s="43">
        <f t="shared" si="117"/>
        <v>11.45083631742115</v>
      </c>
      <c r="Q539" s="43">
        <f t="shared" si="118"/>
        <v>5.4399668999999998E-2</v>
      </c>
      <c r="R539" s="43">
        <f t="shared" si="119"/>
        <v>1.5786776999999998E-2</v>
      </c>
      <c r="S539" s="43">
        <f t="shared" si="120"/>
        <v>0.81957547200000003</v>
      </c>
      <c r="T539" s="43">
        <f t="shared" si="121"/>
        <v>2.7454298549999998</v>
      </c>
      <c r="U539" s="43">
        <f t="shared" si="122"/>
        <v>6.8358744229999999</v>
      </c>
      <c r="V539" s="43">
        <f t="shared" si="123"/>
        <v>1.3842925000000001E-2</v>
      </c>
      <c r="W539" s="230">
        <f t="shared" si="124"/>
        <v>0.11039571448806933</v>
      </c>
      <c r="X539" s="43">
        <f t="shared" si="125"/>
        <v>0.80869721999999999</v>
      </c>
      <c r="Y539" s="43">
        <v>168.60526719999999</v>
      </c>
      <c r="Z539" s="43">
        <f t="shared" si="114"/>
        <v>0</v>
      </c>
      <c r="AA539" s="43">
        <f t="shared" si="115"/>
        <v>86244</v>
      </c>
      <c r="AB539" s="43">
        <f t="shared" si="116"/>
        <v>34108</v>
      </c>
      <c r="AC539" s="43">
        <f t="shared" si="126"/>
        <v>6.3645432270270294E-2</v>
      </c>
      <c r="AD539" s="43">
        <f t="shared" si="127"/>
        <v>0.82651807273333366</v>
      </c>
      <c r="AF539" s="43">
        <v>11.45083631742115</v>
      </c>
      <c r="AG539" s="43">
        <v>5.4399668999999998E-2</v>
      </c>
      <c r="AH539" s="43">
        <v>1.5786776999999998E-2</v>
      </c>
      <c r="AI539" s="43">
        <v>0.81957547200000003</v>
      </c>
      <c r="AJ539" s="43">
        <v>2.7454298549999998</v>
      </c>
      <c r="AK539" s="43">
        <v>6.8358744229999999</v>
      </c>
      <c r="AL539" s="43">
        <v>1.3842925000000001E-2</v>
      </c>
      <c r="AM539" s="230">
        <v>0.11039571448806933</v>
      </c>
      <c r="AN539" s="43">
        <v>0.80869721999999999</v>
      </c>
    </row>
    <row r="540" spans="1:40" x14ac:dyDescent="0.25">
      <c r="A540" s="134">
        <v>530</v>
      </c>
      <c r="B540" s="134" t="s">
        <v>212</v>
      </c>
      <c r="C540" s="134" t="s">
        <v>210</v>
      </c>
      <c r="D540" s="134" t="s">
        <v>211</v>
      </c>
      <c r="E540" s="134">
        <v>577</v>
      </c>
      <c r="F540" s="134">
        <v>1497</v>
      </c>
      <c r="G540" s="134">
        <v>103</v>
      </c>
      <c r="H540" s="134">
        <v>1007</v>
      </c>
      <c r="I540" s="200">
        <v>0.10657625426800001</v>
      </c>
      <c r="J540" s="134">
        <v>2504</v>
      </c>
      <c r="K540" s="134">
        <v>23494.9146712</v>
      </c>
      <c r="L540" s="42">
        <v>0.81670916211</v>
      </c>
      <c r="M540" s="42">
        <v>0.63573232323200002</v>
      </c>
      <c r="N540" s="134">
        <v>0</v>
      </c>
      <c r="O540" s="43" t="s">
        <v>664</v>
      </c>
      <c r="P540" s="43">
        <f t="shared" si="117"/>
        <v>12.118528671300034</v>
      </c>
      <c r="Q540" s="43">
        <f t="shared" si="118"/>
        <v>5.8157387999999997E-2</v>
      </c>
      <c r="R540" s="43">
        <f t="shared" si="119"/>
        <v>1.6940282000000001E-2</v>
      </c>
      <c r="S540" s="43">
        <f t="shared" si="120"/>
        <v>0.81670916199999999</v>
      </c>
      <c r="T540" s="43">
        <f t="shared" si="121"/>
        <v>2.9035404869999999</v>
      </c>
      <c r="U540" s="43">
        <f t="shared" si="122"/>
        <v>7.4862524720000003</v>
      </c>
      <c r="V540" s="43">
        <f t="shared" si="123"/>
        <v>1.6439140000000001E-2</v>
      </c>
      <c r="W540" s="230">
        <f t="shared" si="124"/>
        <v>0.11878525300416906</v>
      </c>
      <c r="X540" s="43">
        <f t="shared" si="125"/>
        <v>0.80509278200000001</v>
      </c>
      <c r="Y540" s="43">
        <v>197.80512909999999</v>
      </c>
      <c r="Z540" s="43">
        <f t="shared" si="114"/>
        <v>0</v>
      </c>
      <c r="AA540" s="43">
        <f t="shared" si="115"/>
        <v>86244</v>
      </c>
      <c r="AB540" s="43">
        <f t="shared" si="116"/>
        <v>34108</v>
      </c>
      <c r="AC540" s="43">
        <f t="shared" si="126"/>
        <v>6.3645432270270294E-2</v>
      </c>
      <c r="AD540" s="43">
        <f t="shared" si="127"/>
        <v>0.82651807273333366</v>
      </c>
      <c r="AF540" s="43">
        <v>12.118528671300034</v>
      </c>
      <c r="AG540" s="43">
        <v>5.8157387999999997E-2</v>
      </c>
      <c r="AH540" s="43">
        <v>1.6940282000000001E-2</v>
      </c>
      <c r="AI540" s="43">
        <v>0.81670916199999999</v>
      </c>
      <c r="AJ540" s="43">
        <v>2.9035404869999999</v>
      </c>
      <c r="AK540" s="43">
        <v>7.4862524720000003</v>
      </c>
      <c r="AL540" s="43">
        <v>1.6439140000000001E-2</v>
      </c>
      <c r="AM540" s="230">
        <v>0.11878525300416906</v>
      </c>
      <c r="AN540" s="43">
        <v>0.80509278200000001</v>
      </c>
    </row>
    <row r="541" spans="1:40" x14ac:dyDescent="0.25">
      <c r="A541" s="134">
        <v>531</v>
      </c>
      <c r="B541" s="134" t="s">
        <v>201</v>
      </c>
      <c r="C541" s="134" t="s">
        <v>61</v>
      </c>
      <c r="D541" s="134" t="s">
        <v>197</v>
      </c>
      <c r="E541" s="134">
        <v>1309</v>
      </c>
      <c r="F541" s="134">
        <v>3836</v>
      </c>
      <c r="G541" s="134">
        <v>242</v>
      </c>
      <c r="H541" s="134">
        <v>1186</v>
      </c>
      <c r="I541" s="200">
        <v>0.35650625542300002</v>
      </c>
      <c r="J541" s="134">
        <v>5022</v>
      </c>
      <c r="K541" s="134">
        <v>14086.709345499999</v>
      </c>
      <c r="L541" s="42">
        <v>0.85824119913100005</v>
      </c>
      <c r="M541" s="42">
        <v>0.47535070140300001</v>
      </c>
      <c r="N541" s="134">
        <v>0</v>
      </c>
      <c r="O541" s="43" t="s">
        <v>664</v>
      </c>
      <c r="P541" s="43">
        <f t="shared" si="117"/>
        <v>13.155311012744651</v>
      </c>
      <c r="Q541" s="43">
        <f t="shared" si="118"/>
        <v>3.0986771E-2</v>
      </c>
      <c r="R541" s="43">
        <f t="shared" si="119"/>
        <v>1.6609394E-2</v>
      </c>
      <c r="S541" s="43">
        <f t="shared" si="120"/>
        <v>0.85824119899999995</v>
      </c>
      <c r="T541" s="43">
        <f t="shared" si="121"/>
        <v>3.1244043829999999</v>
      </c>
      <c r="U541" s="43">
        <f t="shared" si="122"/>
        <v>8.4576836570000005</v>
      </c>
      <c r="V541" s="43">
        <f t="shared" si="123"/>
        <v>8.2721889999999992E-3</v>
      </c>
      <c r="W541" s="230">
        <f t="shared" si="124"/>
        <v>6.1207100591715975E-2</v>
      </c>
      <c r="X541" s="43">
        <f t="shared" si="125"/>
        <v>0.88506903400000003</v>
      </c>
      <c r="Y541" s="43">
        <v>69.129064159999999</v>
      </c>
      <c r="Z541" s="43">
        <f t="shared" si="114"/>
        <v>0</v>
      </c>
      <c r="AA541" s="43">
        <f t="shared" si="115"/>
        <v>96880</v>
      </c>
      <c r="AB541" s="43">
        <f t="shared" si="116"/>
        <v>34598</v>
      </c>
      <c r="AC541" s="43">
        <f t="shared" si="126"/>
        <v>3.788298035593219E-2</v>
      </c>
      <c r="AD541" s="43">
        <f t="shared" si="127"/>
        <v>0.86369592135593187</v>
      </c>
      <c r="AF541" s="43">
        <v>13.155311012744651</v>
      </c>
      <c r="AG541" s="43">
        <v>3.0986771E-2</v>
      </c>
      <c r="AH541" s="43">
        <v>1.6609394E-2</v>
      </c>
      <c r="AI541" s="43">
        <v>0.85824119899999995</v>
      </c>
      <c r="AJ541" s="43">
        <v>3.1244043829999999</v>
      </c>
      <c r="AK541" s="43">
        <v>8.4576836570000005</v>
      </c>
      <c r="AL541" s="43">
        <v>8.2721889999999992E-3</v>
      </c>
      <c r="AM541" s="230">
        <v>6.1207100591715975E-2</v>
      </c>
      <c r="AN541" s="43">
        <v>0.88506903400000003</v>
      </c>
    </row>
    <row r="542" spans="1:40" x14ac:dyDescent="0.25">
      <c r="A542" s="134">
        <v>532</v>
      </c>
      <c r="B542" s="134" t="s">
        <v>201</v>
      </c>
      <c r="C542" s="134" t="s">
        <v>61</v>
      </c>
      <c r="D542" s="134" t="s">
        <v>197</v>
      </c>
      <c r="E542" s="134">
        <v>810</v>
      </c>
      <c r="F542" s="134">
        <v>2371</v>
      </c>
      <c r="G542" s="134">
        <v>143</v>
      </c>
      <c r="H542" s="134">
        <v>303</v>
      </c>
      <c r="I542" s="200">
        <v>0.20985521269999999</v>
      </c>
      <c r="J542" s="134">
        <v>2674</v>
      </c>
      <c r="K542" s="134">
        <v>12742.1185568</v>
      </c>
      <c r="L542" s="42">
        <v>0.86228917934299998</v>
      </c>
      <c r="M542" s="42">
        <v>0.27223719676500002</v>
      </c>
      <c r="N542" s="134">
        <v>0</v>
      </c>
      <c r="O542" s="43" t="s">
        <v>666</v>
      </c>
      <c r="P542" s="43">
        <f t="shared" si="117"/>
        <v>13.15055168468791</v>
      </c>
      <c r="Q542" s="43">
        <f t="shared" si="118"/>
        <v>3.5987762999999999E-2</v>
      </c>
      <c r="R542" s="43">
        <f t="shared" si="119"/>
        <v>1.6135801000000002E-2</v>
      </c>
      <c r="S542" s="43">
        <f t="shared" si="120"/>
        <v>0.86228917900000002</v>
      </c>
      <c r="T542" s="43">
        <f t="shared" si="121"/>
        <v>3.2118415269999998</v>
      </c>
      <c r="U542" s="43">
        <f t="shared" si="122"/>
        <v>8.7593354189999992</v>
      </c>
      <c r="V542" s="43">
        <f t="shared" si="123"/>
        <v>6.4227110000000002E-3</v>
      </c>
      <c r="W542" s="230">
        <f t="shared" si="124"/>
        <v>7.2761283899869938E-2</v>
      </c>
      <c r="X542" s="43">
        <f t="shared" si="125"/>
        <v>0.88345991400000001</v>
      </c>
      <c r="Y542" s="43">
        <v>99.926212199999995</v>
      </c>
      <c r="Z542" s="43">
        <f t="shared" si="114"/>
        <v>0</v>
      </c>
      <c r="AA542" s="43">
        <f t="shared" si="115"/>
        <v>96880</v>
      </c>
      <c r="AB542" s="43">
        <f t="shared" si="116"/>
        <v>34598</v>
      </c>
      <c r="AC542" s="43">
        <f t="shared" si="126"/>
        <v>3.788298035593219E-2</v>
      </c>
      <c r="AD542" s="43">
        <f t="shared" si="127"/>
        <v>0.86369592135593187</v>
      </c>
      <c r="AF542" s="43">
        <v>13.15055168468791</v>
      </c>
      <c r="AG542" s="43">
        <v>3.5987762999999999E-2</v>
      </c>
      <c r="AH542" s="43">
        <v>1.6135801000000002E-2</v>
      </c>
      <c r="AI542" s="43">
        <v>0.86228917900000002</v>
      </c>
      <c r="AJ542" s="43">
        <v>3.2118415269999998</v>
      </c>
      <c r="AK542" s="43">
        <v>8.7593354189999992</v>
      </c>
      <c r="AL542" s="43">
        <v>6.4227110000000002E-3</v>
      </c>
      <c r="AM542" s="230">
        <v>7.2761283899869938E-2</v>
      </c>
      <c r="AN542" s="43">
        <v>0.88345991400000001</v>
      </c>
    </row>
    <row r="543" spans="1:40" x14ac:dyDescent="0.25">
      <c r="A543" s="134">
        <v>533</v>
      </c>
      <c r="B543" s="134" t="s">
        <v>201</v>
      </c>
      <c r="C543" s="134" t="s">
        <v>61</v>
      </c>
      <c r="D543" s="134" t="s">
        <v>197</v>
      </c>
      <c r="E543" s="134">
        <v>994</v>
      </c>
      <c r="F543" s="134">
        <v>3170</v>
      </c>
      <c r="G543" s="134">
        <v>235</v>
      </c>
      <c r="H543" s="134">
        <v>328</v>
      </c>
      <c r="I543" s="200">
        <v>0.37134740369500002</v>
      </c>
      <c r="J543" s="134">
        <v>3498</v>
      </c>
      <c r="K543" s="134">
        <v>9419.7507918400006</v>
      </c>
      <c r="L543" s="42">
        <v>0.86539891911099998</v>
      </c>
      <c r="M543" s="42">
        <v>0.24810892587</v>
      </c>
      <c r="N543" s="134">
        <v>0</v>
      </c>
      <c r="O543" s="43" t="s">
        <v>666</v>
      </c>
      <c r="P543" s="43">
        <f t="shared" si="117"/>
        <v>12.672327170074832</v>
      </c>
      <c r="Q543" s="43">
        <f t="shared" si="118"/>
        <v>3.1466228999999998E-2</v>
      </c>
      <c r="R543" s="43">
        <f t="shared" si="119"/>
        <v>1.4715516E-2</v>
      </c>
      <c r="S543" s="43">
        <f t="shared" si="120"/>
        <v>0.86539891899999999</v>
      </c>
      <c r="T543" s="43">
        <f t="shared" si="121"/>
        <v>3.2174391660000001</v>
      </c>
      <c r="U543" s="43">
        <f t="shared" si="122"/>
        <v>8.3014774330000005</v>
      </c>
      <c r="V543" s="43">
        <f t="shared" si="123"/>
        <v>5.7592629999999997E-3</v>
      </c>
      <c r="W543" s="230">
        <f t="shared" si="124"/>
        <v>6.3482159997806001E-2</v>
      </c>
      <c r="X543" s="43">
        <f t="shared" si="125"/>
        <v>0.89962427700000003</v>
      </c>
      <c r="Y543" s="43">
        <v>123.7549229</v>
      </c>
      <c r="Z543" s="43">
        <f t="shared" si="114"/>
        <v>0</v>
      </c>
      <c r="AA543" s="43">
        <f t="shared" si="115"/>
        <v>96880</v>
      </c>
      <c r="AB543" s="43">
        <f t="shared" si="116"/>
        <v>34598</v>
      </c>
      <c r="AC543" s="43">
        <f t="shared" si="126"/>
        <v>3.788298035593219E-2</v>
      </c>
      <c r="AD543" s="43">
        <f t="shared" si="127"/>
        <v>0.86369592135593187</v>
      </c>
      <c r="AF543" s="43">
        <v>12.672327170074832</v>
      </c>
      <c r="AG543" s="43">
        <v>3.1466228999999998E-2</v>
      </c>
      <c r="AH543" s="43">
        <v>1.4715516E-2</v>
      </c>
      <c r="AI543" s="43">
        <v>0.86539891899999999</v>
      </c>
      <c r="AJ543" s="43">
        <v>3.2174391660000001</v>
      </c>
      <c r="AK543" s="43">
        <v>8.3014774330000005</v>
      </c>
      <c r="AL543" s="43">
        <v>5.7592629999999997E-3</v>
      </c>
      <c r="AM543" s="230">
        <v>6.3482159997806001E-2</v>
      </c>
      <c r="AN543" s="43">
        <v>0.89962427700000003</v>
      </c>
    </row>
    <row r="544" spans="1:40" x14ac:dyDescent="0.25">
      <c r="A544" s="134">
        <v>534</v>
      </c>
      <c r="B544" s="134" t="s">
        <v>201</v>
      </c>
      <c r="C544" s="134" t="s">
        <v>61</v>
      </c>
      <c r="D544" s="134" t="s">
        <v>197</v>
      </c>
      <c r="E544" s="134">
        <v>379</v>
      </c>
      <c r="F544" s="134">
        <v>1208</v>
      </c>
      <c r="G544" s="134">
        <v>69</v>
      </c>
      <c r="H544" s="134">
        <v>54</v>
      </c>
      <c r="I544" s="200">
        <v>0.10865895849899999</v>
      </c>
      <c r="J544" s="134">
        <v>1262</v>
      </c>
      <c r="K544" s="134">
        <v>11614.3207834</v>
      </c>
      <c r="L544" s="42">
        <v>0.87360513594900002</v>
      </c>
      <c r="M544" s="42">
        <v>0.124711316397</v>
      </c>
      <c r="N544" s="134">
        <v>0</v>
      </c>
      <c r="O544" s="43" t="s">
        <v>666</v>
      </c>
      <c r="P544" s="43">
        <f t="shared" si="117"/>
        <v>13.044175561874518</v>
      </c>
      <c r="Q544" s="43">
        <f t="shared" si="118"/>
        <v>3.3600197999999998E-2</v>
      </c>
      <c r="R544" s="43">
        <f t="shared" si="119"/>
        <v>1.4748758000000001E-2</v>
      </c>
      <c r="S544" s="43">
        <f t="shared" si="120"/>
        <v>0.873605136</v>
      </c>
      <c r="T544" s="43">
        <f t="shared" si="121"/>
        <v>3.308620135</v>
      </c>
      <c r="U544" s="43">
        <f t="shared" si="122"/>
        <v>8.7757825539999992</v>
      </c>
      <c r="V544" s="43">
        <f t="shared" si="123"/>
        <v>3.3820199999999999E-3</v>
      </c>
      <c r="W544" s="230">
        <f t="shared" si="124"/>
        <v>7.3537804646050434E-2</v>
      </c>
      <c r="X544" s="43">
        <f t="shared" si="125"/>
        <v>0.88568771300000004</v>
      </c>
      <c r="Y544" s="43">
        <v>131.88005889999999</v>
      </c>
      <c r="Z544" s="43">
        <f t="shared" si="114"/>
        <v>0</v>
      </c>
      <c r="AA544" s="43">
        <f t="shared" si="115"/>
        <v>96880</v>
      </c>
      <c r="AB544" s="43">
        <f t="shared" si="116"/>
        <v>34598</v>
      </c>
      <c r="AC544" s="43">
        <f t="shared" si="126"/>
        <v>3.788298035593219E-2</v>
      </c>
      <c r="AD544" s="43">
        <f t="shared" si="127"/>
        <v>0.86369592135593187</v>
      </c>
      <c r="AF544" s="43">
        <v>13.044175561874518</v>
      </c>
      <c r="AG544" s="43">
        <v>3.3600197999999998E-2</v>
      </c>
      <c r="AH544" s="43">
        <v>1.4748758000000001E-2</v>
      </c>
      <c r="AI544" s="43">
        <v>0.873605136</v>
      </c>
      <c r="AJ544" s="43">
        <v>3.308620135</v>
      </c>
      <c r="AK544" s="43">
        <v>8.7757825539999992</v>
      </c>
      <c r="AL544" s="43">
        <v>3.3820199999999999E-3</v>
      </c>
      <c r="AM544" s="230">
        <v>7.3537804646050434E-2</v>
      </c>
      <c r="AN544" s="43">
        <v>0.88568771300000004</v>
      </c>
    </row>
    <row r="545" spans="1:40" x14ac:dyDescent="0.25">
      <c r="A545" s="134">
        <v>535</v>
      </c>
      <c r="B545" s="134" t="s">
        <v>201</v>
      </c>
      <c r="C545" s="134" t="s">
        <v>61</v>
      </c>
      <c r="D545" s="134" t="s">
        <v>197</v>
      </c>
      <c r="E545" s="134">
        <v>1106</v>
      </c>
      <c r="F545" s="134">
        <v>3138</v>
      </c>
      <c r="G545" s="134">
        <v>1137</v>
      </c>
      <c r="H545" s="134">
        <v>486</v>
      </c>
      <c r="I545" s="200">
        <v>1.0611451031800001</v>
      </c>
      <c r="J545" s="134">
        <v>3624</v>
      </c>
      <c r="K545" s="134">
        <v>3415.1785548900002</v>
      </c>
      <c r="L545" s="42">
        <v>0.89380647345700004</v>
      </c>
      <c r="M545" s="42">
        <v>0.30527638191000001</v>
      </c>
      <c r="N545" s="134">
        <v>0</v>
      </c>
      <c r="O545" s="43" t="s">
        <v>665</v>
      </c>
      <c r="P545" s="43">
        <f t="shared" si="117"/>
        <v>14.116168967704303</v>
      </c>
      <c r="Q545" s="43">
        <f t="shared" si="118"/>
        <v>3.0352451999999999E-2</v>
      </c>
      <c r="R545" s="43">
        <f t="shared" si="119"/>
        <v>1.2008876E-2</v>
      </c>
      <c r="S545" s="43">
        <f t="shared" si="120"/>
        <v>0.89380647300000005</v>
      </c>
      <c r="T545" s="43">
        <f t="shared" si="121"/>
        <v>3.9362183919999998</v>
      </c>
      <c r="U545" s="43">
        <f t="shared" si="122"/>
        <v>10.21764834</v>
      </c>
      <c r="V545" s="43">
        <f t="shared" si="123"/>
        <v>3.9089870000000001E-3</v>
      </c>
      <c r="W545" s="230">
        <f t="shared" si="124"/>
        <v>5.3404472562013257E-2</v>
      </c>
      <c r="X545" s="43">
        <f t="shared" si="125"/>
        <v>0.92232577199999999</v>
      </c>
      <c r="Y545" s="43">
        <v>65.461550590000002</v>
      </c>
      <c r="Z545" s="43">
        <f t="shared" si="114"/>
        <v>0</v>
      </c>
      <c r="AA545" s="43">
        <f t="shared" si="115"/>
        <v>96880</v>
      </c>
      <c r="AB545" s="43">
        <f t="shared" si="116"/>
        <v>34598</v>
      </c>
      <c r="AC545" s="43">
        <f t="shared" si="126"/>
        <v>3.788298035593219E-2</v>
      </c>
      <c r="AD545" s="43">
        <f t="shared" si="127"/>
        <v>0.86369592135593187</v>
      </c>
      <c r="AF545" s="43">
        <v>14.116168967704303</v>
      </c>
      <c r="AG545" s="43">
        <v>3.0352451999999999E-2</v>
      </c>
      <c r="AH545" s="43">
        <v>1.2008876E-2</v>
      </c>
      <c r="AI545" s="43">
        <v>0.89380647300000005</v>
      </c>
      <c r="AJ545" s="43">
        <v>3.9362183919999998</v>
      </c>
      <c r="AK545" s="43">
        <v>10.21764834</v>
      </c>
      <c r="AL545" s="43">
        <v>3.9089870000000001E-3</v>
      </c>
      <c r="AM545" s="230">
        <v>5.3404472562013257E-2</v>
      </c>
      <c r="AN545" s="43">
        <v>0.92232577199999999</v>
      </c>
    </row>
    <row r="546" spans="1:40" x14ac:dyDescent="0.25">
      <c r="A546" s="134">
        <v>536</v>
      </c>
      <c r="B546" s="134" t="s">
        <v>201</v>
      </c>
      <c r="C546" s="134" t="s">
        <v>61</v>
      </c>
      <c r="D546" s="134" t="s">
        <v>197</v>
      </c>
      <c r="E546" s="134">
        <v>1131</v>
      </c>
      <c r="F546" s="134">
        <v>3210</v>
      </c>
      <c r="G546" s="134">
        <v>753</v>
      </c>
      <c r="H546" s="134">
        <v>7667</v>
      </c>
      <c r="I546" s="200">
        <v>0.70191777978000003</v>
      </c>
      <c r="J546" s="134">
        <v>10877</v>
      </c>
      <c r="K546" s="134">
        <v>15496.116943200001</v>
      </c>
      <c r="L546" s="42">
        <v>0.86815220665500004</v>
      </c>
      <c r="M546" s="42">
        <v>0.87144805637599998</v>
      </c>
      <c r="N546" s="134">
        <v>0</v>
      </c>
      <c r="O546" s="43" t="s">
        <v>664</v>
      </c>
      <c r="P546" s="43">
        <f t="shared" si="117"/>
        <v>14.793349258934684</v>
      </c>
      <c r="Q546" s="43">
        <f t="shared" si="118"/>
        <v>3.3524308000000003E-2</v>
      </c>
      <c r="R546" s="43">
        <f t="shared" si="119"/>
        <v>1.0406472999999999E-2</v>
      </c>
      <c r="S546" s="43">
        <f t="shared" si="120"/>
        <v>0.86815220699999995</v>
      </c>
      <c r="T546" s="43">
        <f t="shared" si="121"/>
        <v>3.8496785340000002</v>
      </c>
      <c r="U546" s="43">
        <f t="shared" si="122"/>
        <v>8.8116434839999993</v>
      </c>
      <c r="V546" s="43">
        <f t="shared" si="123"/>
        <v>8.2305209999999993E-3</v>
      </c>
      <c r="W546" s="230">
        <f t="shared" si="124"/>
        <v>5.2662964993493905E-2</v>
      </c>
      <c r="X546" s="43">
        <f t="shared" si="125"/>
        <v>0.89893772699999996</v>
      </c>
      <c r="Y546" s="43">
        <v>74.508415400000004</v>
      </c>
      <c r="Z546" s="43">
        <f t="shared" si="114"/>
        <v>0</v>
      </c>
      <c r="AA546" s="43">
        <f t="shared" si="115"/>
        <v>96880</v>
      </c>
      <c r="AB546" s="43">
        <f t="shared" si="116"/>
        <v>34598</v>
      </c>
      <c r="AC546" s="43">
        <f t="shared" si="126"/>
        <v>3.788298035593219E-2</v>
      </c>
      <c r="AD546" s="43">
        <f t="shared" si="127"/>
        <v>0.86369592135593187</v>
      </c>
      <c r="AF546" s="43">
        <v>14.793349258934684</v>
      </c>
      <c r="AG546" s="43">
        <v>3.3524308000000003E-2</v>
      </c>
      <c r="AH546" s="43">
        <v>1.0406472999999999E-2</v>
      </c>
      <c r="AI546" s="43">
        <v>0.86815220699999995</v>
      </c>
      <c r="AJ546" s="43">
        <v>3.8496785340000002</v>
      </c>
      <c r="AK546" s="43">
        <v>8.8116434839999993</v>
      </c>
      <c r="AL546" s="43">
        <v>8.2305209999999993E-3</v>
      </c>
      <c r="AM546" s="230">
        <v>5.2662964993493905E-2</v>
      </c>
      <c r="AN546" s="43">
        <v>0.89893772699999996</v>
      </c>
    </row>
    <row r="547" spans="1:40" x14ac:dyDescent="0.25">
      <c r="A547" s="134">
        <v>537</v>
      </c>
      <c r="B547" s="134" t="s">
        <v>201</v>
      </c>
      <c r="C547" s="134" t="s">
        <v>61</v>
      </c>
      <c r="D547" s="134" t="s">
        <v>197</v>
      </c>
      <c r="E547" s="134">
        <v>0</v>
      </c>
      <c r="F547" s="134">
        <v>0</v>
      </c>
      <c r="G547" s="134">
        <v>312</v>
      </c>
      <c r="H547" s="134">
        <v>3700</v>
      </c>
      <c r="I547" s="200">
        <v>0.30733548084000001</v>
      </c>
      <c r="J547" s="134">
        <v>3700</v>
      </c>
      <c r="K547" s="134">
        <v>12038.9614303</v>
      </c>
      <c r="L547" s="42">
        <v>0.90441239181400002</v>
      </c>
      <c r="M547" s="42">
        <v>1</v>
      </c>
      <c r="N547" s="134">
        <v>0</v>
      </c>
      <c r="O547" s="43" t="s">
        <v>666</v>
      </c>
      <c r="P547" s="43">
        <f t="shared" si="117"/>
        <v>14.672941896554327</v>
      </c>
      <c r="Q547" s="43">
        <f t="shared" si="118"/>
        <v>2.5364259E-2</v>
      </c>
      <c r="R547" s="43">
        <f t="shared" si="119"/>
        <v>9.2211959999999992E-3</v>
      </c>
      <c r="S547" s="43">
        <f t="shared" si="120"/>
        <v>0.90441239200000001</v>
      </c>
      <c r="T547" s="43">
        <f t="shared" si="121"/>
        <v>3.844717626</v>
      </c>
      <c r="U547" s="43">
        <f t="shared" si="122"/>
        <v>8.5986271670000001</v>
      </c>
      <c r="V547" s="43">
        <f t="shared" si="123"/>
        <v>9.1384420000000001E-3</v>
      </c>
      <c r="W547" s="230">
        <f t="shared" si="124"/>
        <v>3.540162872478253E-2</v>
      </c>
      <c r="X547" s="43">
        <f t="shared" si="125"/>
        <v>0.940079585</v>
      </c>
      <c r="Y547" s="43">
        <v>33.960183049999998</v>
      </c>
      <c r="Z547" s="43">
        <f t="shared" si="114"/>
        <v>0</v>
      </c>
      <c r="AA547" s="43">
        <f t="shared" si="115"/>
        <v>96880</v>
      </c>
      <c r="AB547" s="43">
        <f t="shared" si="116"/>
        <v>34598</v>
      </c>
      <c r="AC547" s="43">
        <f t="shared" si="126"/>
        <v>3.788298035593219E-2</v>
      </c>
      <c r="AD547" s="43">
        <f t="shared" si="127"/>
        <v>0.86369592135593187</v>
      </c>
      <c r="AF547" s="43">
        <v>14.672941896554327</v>
      </c>
      <c r="AG547" s="43">
        <v>2.5364259E-2</v>
      </c>
      <c r="AH547" s="43">
        <v>9.2211959999999992E-3</v>
      </c>
      <c r="AI547" s="43">
        <v>0.90441239200000001</v>
      </c>
      <c r="AJ547" s="43">
        <v>3.844717626</v>
      </c>
      <c r="AK547" s="43">
        <v>8.5986271670000001</v>
      </c>
      <c r="AL547" s="43">
        <v>9.1384420000000001E-3</v>
      </c>
      <c r="AM547" s="230">
        <v>3.540162872478253E-2</v>
      </c>
      <c r="AN547" s="43">
        <v>0.940079585</v>
      </c>
    </row>
    <row r="548" spans="1:40" x14ac:dyDescent="0.25">
      <c r="A548" s="134">
        <v>538</v>
      </c>
      <c r="B548" s="134" t="s">
        <v>201</v>
      </c>
      <c r="C548" s="134" t="s">
        <v>61</v>
      </c>
      <c r="D548" s="134" t="s">
        <v>197</v>
      </c>
      <c r="E548" s="134">
        <v>0</v>
      </c>
      <c r="F548" s="134">
        <v>0</v>
      </c>
      <c r="G548" s="134">
        <v>85</v>
      </c>
      <c r="H548" s="134">
        <v>637</v>
      </c>
      <c r="I548" s="200">
        <v>0.13830672733499999</v>
      </c>
      <c r="J548" s="134">
        <v>637</v>
      </c>
      <c r="K548" s="134">
        <v>4605.7051039799999</v>
      </c>
      <c r="L548" s="42">
        <v>0.90241962865699998</v>
      </c>
      <c r="M548" s="42">
        <v>1</v>
      </c>
      <c r="N548" s="134">
        <v>0</v>
      </c>
      <c r="O548" s="43" t="s">
        <v>666</v>
      </c>
      <c r="P548" s="43">
        <f t="shared" si="117"/>
        <v>14.523554958955092</v>
      </c>
      <c r="Q548" s="43">
        <f t="shared" si="118"/>
        <v>3.8876677999999998E-2</v>
      </c>
      <c r="R548" s="43">
        <f t="shared" si="119"/>
        <v>8.3632659999999994E-3</v>
      </c>
      <c r="S548" s="43">
        <f t="shared" si="120"/>
        <v>0.90241962899999995</v>
      </c>
      <c r="T548" s="43">
        <f t="shared" si="121"/>
        <v>4.3047210299999996</v>
      </c>
      <c r="U548" s="43">
        <f t="shared" si="122"/>
        <v>9.2202130530000002</v>
      </c>
      <c r="V548" s="43">
        <f t="shared" si="123"/>
        <v>6.8379979999999996E-3</v>
      </c>
      <c r="W548" s="230">
        <f t="shared" si="124"/>
        <v>3.167340298431582E-2</v>
      </c>
      <c r="X548" s="43">
        <f t="shared" si="125"/>
        <v>0.92661226799999996</v>
      </c>
      <c r="Y548" s="43">
        <v>18.9653809</v>
      </c>
      <c r="Z548" s="43">
        <f t="shared" si="114"/>
        <v>0</v>
      </c>
      <c r="AA548" s="43">
        <f t="shared" si="115"/>
        <v>96880</v>
      </c>
      <c r="AB548" s="43">
        <f t="shared" si="116"/>
        <v>34598</v>
      </c>
      <c r="AC548" s="43">
        <f t="shared" si="126"/>
        <v>3.788298035593219E-2</v>
      </c>
      <c r="AD548" s="43">
        <f t="shared" si="127"/>
        <v>0.86369592135593187</v>
      </c>
      <c r="AF548" s="43">
        <v>14.523554958955092</v>
      </c>
      <c r="AG548" s="43">
        <v>3.8876677999999998E-2</v>
      </c>
      <c r="AH548" s="43">
        <v>8.3632659999999994E-3</v>
      </c>
      <c r="AI548" s="43">
        <v>0.90241962899999995</v>
      </c>
      <c r="AJ548" s="43">
        <v>4.3047210299999996</v>
      </c>
      <c r="AK548" s="43">
        <v>9.2202130530000002</v>
      </c>
      <c r="AL548" s="43">
        <v>6.8379979999999996E-3</v>
      </c>
      <c r="AM548" s="230">
        <v>3.167340298431582E-2</v>
      </c>
      <c r="AN548" s="43">
        <v>0.92661226799999996</v>
      </c>
    </row>
    <row r="549" spans="1:40" x14ac:dyDescent="0.25">
      <c r="A549" s="134">
        <v>539</v>
      </c>
      <c r="B549" s="134" t="s">
        <v>201</v>
      </c>
      <c r="C549" s="134" t="s">
        <v>61</v>
      </c>
      <c r="D549" s="134" t="s">
        <v>197</v>
      </c>
      <c r="E549" s="134">
        <v>26</v>
      </c>
      <c r="F549" s="134">
        <v>83</v>
      </c>
      <c r="G549" s="134">
        <v>74</v>
      </c>
      <c r="H549" s="134">
        <v>323</v>
      </c>
      <c r="I549" s="200">
        <v>0.11922207269600001</v>
      </c>
      <c r="J549" s="134">
        <v>406</v>
      </c>
      <c r="K549" s="134">
        <v>3405.4096764000001</v>
      </c>
      <c r="L549" s="42">
        <v>0.91477475447400003</v>
      </c>
      <c r="M549" s="42">
        <v>0.92550143266499996</v>
      </c>
      <c r="N549" s="134">
        <v>0</v>
      </c>
      <c r="O549" s="43" t="s">
        <v>666</v>
      </c>
      <c r="P549" s="43">
        <f t="shared" si="117"/>
        <v>14.424851784658093</v>
      </c>
      <c r="Q549" s="43">
        <f t="shared" si="118"/>
        <v>2.0759394E-2</v>
      </c>
      <c r="R549" s="43">
        <f t="shared" si="119"/>
        <v>9.9900479999999996E-3</v>
      </c>
      <c r="S549" s="43">
        <f t="shared" si="120"/>
        <v>0.91477475399999997</v>
      </c>
      <c r="T549" s="43">
        <f t="shared" si="121"/>
        <v>3.854579792</v>
      </c>
      <c r="U549" s="43">
        <f t="shared" si="122"/>
        <v>8.5652577099999991</v>
      </c>
      <c r="V549" s="43">
        <f t="shared" si="123"/>
        <v>6.258764E-3</v>
      </c>
      <c r="W549" s="230">
        <f t="shared" si="124"/>
        <v>2.5582270255480693E-2</v>
      </c>
      <c r="X549" s="43">
        <f t="shared" si="125"/>
        <v>0.92373200200000005</v>
      </c>
      <c r="Y549" s="43">
        <v>22.73785475</v>
      </c>
      <c r="Z549" s="43">
        <f t="shared" si="114"/>
        <v>0</v>
      </c>
      <c r="AA549" s="43">
        <f t="shared" si="115"/>
        <v>96880</v>
      </c>
      <c r="AB549" s="43">
        <f t="shared" si="116"/>
        <v>34598</v>
      </c>
      <c r="AC549" s="43">
        <f t="shared" si="126"/>
        <v>3.788298035593219E-2</v>
      </c>
      <c r="AD549" s="43">
        <f t="shared" si="127"/>
        <v>0.86369592135593187</v>
      </c>
      <c r="AF549" s="43">
        <v>14.424851784658093</v>
      </c>
      <c r="AG549" s="43">
        <v>2.0759394E-2</v>
      </c>
      <c r="AH549" s="43">
        <v>9.9900479999999996E-3</v>
      </c>
      <c r="AI549" s="43">
        <v>0.91477475399999997</v>
      </c>
      <c r="AJ549" s="43">
        <v>3.854579792</v>
      </c>
      <c r="AK549" s="43">
        <v>8.5652577099999991</v>
      </c>
      <c r="AL549" s="43">
        <v>6.258764E-3</v>
      </c>
      <c r="AM549" s="230">
        <v>2.5582270255480693E-2</v>
      </c>
      <c r="AN549" s="43">
        <v>0.92373200200000005</v>
      </c>
    </row>
    <row r="550" spans="1:40" x14ac:dyDescent="0.25">
      <c r="A550" s="134">
        <v>540</v>
      </c>
      <c r="B550" s="134" t="s">
        <v>201</v>
      </c>
      <c r="C550" s="134" t="s">
        <v>61</v>
      </c>
      <c r="D550" s="134" t="s">
        <v>197</v>
      </c>
      <c r="E550" s="134">
        <v>525</v>
      </c>
      <c r="F550" s="134">
        <v>1675</v>
      </c>
      <c r="G550" s="134">
        <v>116</v>
      </c>
      <c r="H550" s="134">
        <v>187</v>
      </c>
      <c r="I550" s="200">
        <v>0.18761771037800001</v>
      </c>
      <c r="J550" s="134">
        <v>1862</v>
      </c>
      <c r="K550" s="134">
        <v>9924.4362179</v>
      </c>
      <c r="L550" s="42">
        <v>0.86332491885999996</v>
      </c>
      <c r="M550" s="42">
        <v>0.26264044943800002</v>
      </c>
      <c r="N550" s="134">
        <v>0</v>
      </c>
      <c r="O550" s="43" t="s">
        <v>666</v>
      </c>
      <c r="P550" s="43">
        <f t="shared" si="117"/>
        <v>13.039239631668272</v>
      </c>
      <c r="Q550" s="43">
        <f t="shared" si="118"/>
        <v>3.2539044000000003E-2</v>
      </c>
      <c r="R550" s="43">
        <f t="shared" si="119"/>
        <v>1.4677552999999999E-2</v>
      </c>
      <c r="S550" s="43">
        <f t="shared" si="120"/>
        <v>0.86332491899999997</v>
      </c>
      <c r="T550" s="43">
        <f t="shared" si="121"/>
        <v>3.0865819060000002</v>
      </c>
      <c r="U550" s="43">
        <f t="shared" si="122"/>
        <v>8.4455231820000005</v>
      </c>
      <c r="V550" s="43">
        <f t="shared" si="123"/>
        <v>5.3610740000000004E-3</v>
      </c>
      <c r="W550" s="230">
        <f t="shared" si="124"/>
        <v>6.3113919856091272E-2</v>
      </c>
      <c r="X550" s="43">
        <f t="shared" si="125"/>
        <v>0.89191460199999995</v>
      </c>
      <c r="Y550" s="43">
        <v>124.3231851</v>
      </c>
      <c r="Z550" s="43">
        <f t="shared" si="114"/>
        <v>0</v>
      </c>
      <c r="AA550" s="43">
        <f t="shared" si="115"/>
        <v>96880</v>
      </c>
      <c r="AB550" s="43">
        <f t="shared" si="116"/>
        <v>34598</v>
      </c>
      <c r="AC550" s="43">
        <f t="shared" si="126"/>
        <v>3.788298035593219E-2</v>
      </c>
      <c r="AD550" s="43">
        <f t="shared" si="127"/>
        <v>0.86369592135593187</v>
      </c>
      <c r="AF550" s="43">
        <v>13.039239631668272</v>
      </c>
      <c r="AG550" s="43">
        <v>3.2539044000000003E-2</v>
      </c>
      <c r="AH550" s="43">
        <v>1.4677552999999999E-2</v>
      </c>
      <c r="AI550" s="43">
        <v>0.86332491899999997</v>
      </c>
      <c r="AJ550" s="43">
        <v>3.0865819060000002</v>
      </c>
      <c r="AK550" s="43">
        <v>8.4455231820000005</v>
      </c>
      <c r="AL550" s="43">
        <v>5.3610740000000004E-3</v>
      </c>
      <c r="AM550" s="230">
        <v>6.3113919856091272E-2</v>
      </c>
      <c r="AN550" s="43">
        <v>0.89191460199999995</v>
      </c>
    </row>
    <row r="551" spans="1:40" x14ac:dyDescent="0.25">
      <c r="A551" s="134">
        <v>541</v>
      </c>
      <c r="B551" s="134" t="s">
        <v>201</v>
      </c>
      <c r="C551" s="134" t="s">
        <v>61</v>
      </c>
      <c r="D551" s="134" t="s">
        <v>197</v>
      </c>
      <c r="E551" s="134">
        <v>1620</v>
      </c>
      <c r="F551" s="134">
        <v>5174</v>
      </c>
      <c r="G551" s="134">
        <v>337</v>
      </c>
      <c r="H551" s="134">
        <v>1567</v>
      </c>
      <c r="I551" s="200">
        <v>0.53036460621000003</v>
      </c>
      <c r="J551" s="134">
        <v>6741</v>
      </c>
      <c r="K551" s="134">
        <v>12710.1241694</v>
      </c>
      <c r="L551" s="42">
        <v>0.86849234449199997</v>
      </c>
      <c r="M551" s="42">
        <v>0.49168497019099999</v>
      </c>
      <c r="N551" s="134">
        <v>0</v>
      </c>
      <c r="O551" s="43" t="s">
        <v>666</v>
      </c>
      <c r="P551" s="43">
        <f t="shared" si="117"/>
        <v>13.595058870583282</v>
      </c>
      <c r="Q551" s="43">
        <f t="shared" si="118"/>
        <v>3.2516188000000001E-2</v>
      </c>
      <c r="R551" s="43">
        <f t="shared" si="119"/>
        <v>1.4171842E-2</v>
      </c>
      <c r="S551" s="43">
        <f t="shared" si="120"/>
        <v>0.86849234399999997</v>
      </c>
      <c r="T551" s="43">
        <f t="shared" si="121"/>
        <v>3.4066924420000002</v>
      </c>
      <c r="U551" s="43">
        <f t="shared" si="122"/>
        <v>8.6398255969999997</v>
      </c>
      <c r="V551" s="43">
        <f t="shared" si="123"/>
        <v>7.6662550000000003E-3</v>
      </c>
      <c r="W551" s="230">
        <f t="shared" si="124"/>
        <v>6.2080357778357728E-2</v>
      </c>
      <c r="X551" s="43">
        <f t="shared" si="125"/>
        <v>0.89464459399999996</v>
      </c>
      <c r="Y551" s="43">
        <v>118.5794856</v>
      </c>
      <c r="Z551" s="43">
        <f t="shared" si="114"/>
        <v>0</v>
      </c>
      <c r="AA551" s="43">
        <f t="shared" si="115"/>
        <v>96880</v>
      </c>
      <c r="AB551" s="43">
        <f t="shared" si="116"/>
        <v>34598</v>
      </c>
      <c r="AC551" s="43">
        <f t="shared" si="126"/>
        <v>3.788298035593219E-2</v>
      </c>
      <c r="AD551" s="43">
        <f t="shared" si="127"/>
        <v>0.86369592135593187</v>
      </c>
      <c r="AF551" s="43">
        <v>13.595058870583282</v>
      </c>
      <c r="AG551" s="43">
        <v>3.2516188000000001E-2</v>
      </c>
      <c r="AH551" s="43">
        <v>1.4171842E-2</v>
      </c>
      <c r="AI551" s="43">
        <v>0.86849234399999997</v>
      </c>
      <c r="AJ551" s="43">
        <v>3.4066924420000002</v>
      </c>
      <c r="AK551" s="43">
        <v>8.6398255969999997</v>
      </c>
      <c r="AL551" s="43">
        <v>7.6662550000000003E-3</v>
      </c>
      <c r="AM551" s="230">
        <v>6.2080357778357728E-2</v>
      </c>
      <c r="AN551" s="43">
        <v>0.89464459399999996</v>
      </c>
    </row>
    <row r="552" spans="1:40" x14ac:dyDescent="0.25">
      <c r="A552" s="134">
        <v>542</v>
      </c>
      <c r="B552" s="134" t="s">
        <v>201</v>
      </c>
      <c r="C552" s="134" t="s">
        <v>61</v>
      </c>
      <c r="D552" s="134" t="s">
        <v>197</v>
      </c>
      <c r="E552" s="134">
        <v>0</v>
      </c>
      <c r="F552" s="134">
        <v>0</v>
      </c>
      <c r="G552" s="134">
        <v>143</v>
      </c>
      <c r="H552" s="134">
        <v>1205</v>
      </c>
      <c r="I552" s="200">
        <v>0.25584840884400001</v>
      </c>
      <c r="J552" s="134">
        <v>1205</v>
      </c>
      <c r="K552" s="134">
        <v>4709.82018393</v>
      </c>
      <c r="L552" s="42">
        <v>0.88982766767800003</v>
      </c>
      <c r="M552" s="42">
        <v>1</v>
      </c>
      <c r="N552" s="134">
        <v>0</v>
      </c>
      <c r="O552" s="43" t="s">
        <v>666</v>
      </c>
      <c r="P552" s="43">
        <f t="shared" si="117"/>
        <v>13.665311541493569</v>
      </c>
      <c r="Q552" s="43">
        <f t="shared" si="118"/>
        <v>3.2495568000000002E-2</v>
      </c>
      <c r="R552" s="43">
        <f t="shared" si="119"/>
        <v>9.8827559999999995E-3</v>
      </c>
      <c r="S552" s="43">
        <f t="shared" si="120"/>
        <v>0.88982766800000002</v>
      </c>
      <c r="T552" s="43">
        <f t="shared" si="121"/>
        <v>3.385215606</v>
      </c>
      <c r="U552" s="43">
        <f t="shared" si="122"/>
        <v>7.9804072259999996</v>
      </c>
      <c r="V552" s="43">
        <f t="shared" si="123"/>
        <v>9.8618760000000003E-3</v>
      </c>
      <c r="W552" s="230">
        <f t="shared" si="124"/>
        <v>3.1045587919559154E-2</v>
      </c>
      <c r="X552" s="43">
        <f t="shared" si="125"/>
        <v>0.92189222100000001</v>
      </c>
      <c r="Y552" s="43">
        <v>40.301186100000002</v>
      </c>
      <c r="Z552" s="43">
        <f t="shared" si="114"/>
        <v>0</v>
      </c>
      <c r="AA552" s="43">
        <f t="shared" si="115"/>
        <v>96880</v>
      </c>
      <c r="AB552" s="43">
        <f t="shared" si="116"/>
        <v>34598</v>
      </c>
      <c r="AC552" s="43">
        <f t="shared" si="126"/>
        <v>3.788298035593219E-2</v>
      </c>
      <c r="AD552" s="43">
        <f t="shared" si="127"/>
        <v>0.86369592135593187</v>
      </c>
      <c r="AF552" s="43">
        <v>13.665311541493569</v>
      </c>
      <c r="AG552" s="43">
        <v>3.2495568000000002E-2</v>
      </c>
      <c r="AH552" s="43">
        <v>9.8827559999999995E-3</v>
      </c>
      <c r="AI552" s="43">
        <v>0.88982766800000002</v>
      </c>
      <c r="AJ552" s="43">
        <v>3.385215606</v>
      </c>
      <c r="AK552" s="43">
        <v>7.9804072259999996</v>
      </c>
      <c r="AL552" s="43">
        <v>9.8618760000000003E-3</v>
      </c>
      <c r="AM552" s="230">
        <v>3.1045587919559154E-2</v>
      </c>
      <c r="AN552" s="43">
        <v>0.92189222100000001</v>
      </c>
    </row>
    <row r="553" spans="1:40" x14ac:dyDescent="0.25">
      <c r="A553" s="134">
        <v>543</v>
      </c>
      <c r="B553" s="134" t="s">
        <v>201</v>
      </c>
      <c r="C553" s="134" t="s">
        <v>61</v>
      </c>
      <c r="D553" s="134" t="s">
        <v>197</v>
      </c>
      <c r="E553" s="134">
        <v>452</v>
      </c>
      <c r="F553" s="134">
        <v>1152</v>
      </c>
      <c r="G553" s="134">
        <v>246</v>
      </c>
      <c r="H553" s="134">
        <v>2844</v>
      </c>
      <c r="I553" s="200">
        <v>0.43819500826300001</v>
      </c>
      <c r="J553" s="134">
        <v>3996</v>
      </c>
      <c r="K553" s="134">
        <v>9119.2275691100003</v>
      </c>
      <c r="L553" s="42">
        <v>0.88462891312000003</v>
      </c>
      <c r="M553" s="42">
        <v>0.86286407766999995</v>
      </c>
      <c r="N553" s="134">
        <v>0</v>
      </c>
      <c r="O553" s="43" t="s">
        <v>666</v>
      </c>
      <c r="P553" s="43">
        <f t="shared" si="117"/>
        <v>13.114519536110548</v>
      </c>
      <c r="Q553" s="43">
        <f t="shared" si="118"/>
        <v>2.5632842999999999E-2</v>
      </c>
      <c r="R553" s="43">
        <f t="shared" si="119"/>
        <v>1.1601633E-2</v>
      </c>
      <c r="S553" s="43">
        <f t="shared" si="120"/>
        <v>0.88462891300000002</v>
      </c>
      <c r="T553" s="43">
        <f t="shared" si="121"/>
        <v>3.2333533889999999</v>
      </c>
      <c r="U553" s="43">
        <f t="shared" si="122"/>
        <v>8.0446405769999991</v>
      </c>
      <c r="V553" s="43">
        <f t="shared" si="123"/>
        <v>9.5972569999999997E-3</v>
      </c>
      <c r="W553" s="230">
        <f t="shared" si="124"/>
        <v>4.4804938121446161E-2</v>
      </c>
      <c r="X553" s="43">
        <f t="shared" si="125"/>
        <v>0.90842126099999998</v>
      </c>
      <c r="Y553" s="43">
        <v>38.907161700000003</v>
      </c>
      <c r="Z553" s="43">
        <f t="shared" si="114"/>
        <v>0</v>
      </c>
      <c r="AA553" s="43">
        <f t="shared" si="115"/>
        <v>96880</v>
      </c>
      <c r="AB553" s="43">
        <f t="shared" si="116"/>
        <v>34598</v>
      </c>
      <c r="AC553" s="43">
        <f t="shared" si="126"/>
        <v>3.788298035593219E-2</v>
      </c>
      <c r="AD553" s="43">
        <f t="shared" si="127"/>
        <v>0.86369592135593187</v>
      </c>
      <c r="AF553" s="43">
        <v>13.114519536110548</v>
      </c>
      <c r="AG553" s="43">
        <v>2.5632842999999999E-2</v>
      </c>
      <c r="AH553" s="43">
        <v>1.1601633E-2</v>
      </c>
      <c r="AI553" s="43">
        <v>0.88462891300000002</v>
      </c>
      <c r="AJ553" s="43">
        <v>3.2333533889999999</v>
      </c>
      <c r="AK553" s="43">
        <v>8.0446405769999991</v>
      </c>
      <c r="AL553" s="43">
        <v>9.5972569999999997E-3</v>
      </c>
      <c r="AM553" s="230">
        <v>4.4804938121446161E-2</v>
      </c>
      <c r="AN553" s="43">
        <v>0.90842126099999998</v>
      </c>
    </row>
    <row r="554" spans="1:40" x14ac:dyDescent="0.25">
      <c r="A554" s="134">
        <v>544</v>
      </c>
      <c r="B554" s="134" t="s">
        <v>201</v>
      </c>
      <c r="C554" s="134" t="s">
        <v>61</v>
      </c>
      <c r="D554" s="134" t="s">
        <v>197</v>
      </c>
      <c r="E554" s="134">
        <v>1045</v>
      </c>
      <c r="F554" s="134">
        <v>2664</v>
      </c>
      <c r="G554" s="134">
        <v>192</v>
      </c>
      <c r="H554" s="134">
        <v>534</v>
      </c>
      <c r="I554" s="200">
        <v>0.21964432046400001</v>
      </c>
      <c r="J554" s="134">
        <v>3198</v>
      </c>
      <c r="K554" s="134">
        <v>14559.902997900001</v>
      </c>
      <c r="L554" s="42">
        <v>0.86945655952500001</v>
      </c>
      <c r="M554" s="42">
        <v>0.33818872704199998</v>
      </c>
      <c r="N554" s="134">
        <v>1</v>
      </c>
      <c r="O554" s="43" t="s">
        <v>664</v>
      </c>
      <c r="P554" s="43">
        <f t="shared" si="117"/>
        <v>12.840265517455272</v>
      </c>
      <c r="Q554" s="43">
        <f t="shared" si="118"/>
        <v>3.2795432999999999E-2</v>
      </c>
      <c r="R554" s="43">
        <f t="shared" si="119"/>
        <v>1.3553147999999999E-2</v>
      </c>
      <c r="S554" s="43">
        <f t="shared" si="120"/>
        <v>0.86945656000000004</v>
      </c>
      <c r="T554" s="43">
        <f t="shared" si="121"/>
        <v>3.1276090829999998</v>
      </c>
      <c r="U554" s="43">
        <f t="shared" si="122"/>
        <v>8.2512184810000004</v>
      </c>
      <c r="V554" s="43">
        <f t="shared" si="123"/>
        <v>7.45716E-3</v>
      </c>
      <c r="W554" s="230">
        <f t="shared" si="124"/>
        <v>6.3764697839759368E-2</v>
      </c>
      <c r="X554" s="43">
        <f t="shared" si="125"/>
        <v>0.89547443299999996</v>
      </c>
      <c r="Y554" s="43">
        <v>95.133120770000005</v>
      </c>
      <c r="Z554" s="43">
        <f t="shared" si="114"/>
        <v>0</v>
      </c>
      <c r="AA554" s="43">
        <f t="shared" si="115"/>
        <v>96880</v>
      </c>
      <c r="AB554" s="43">
        <f t="shared" si="116"/>
        <v>34598</v>
      </c>
      <c r="AC554" s="43">
        <f t="shared" si="126"/>
        <v>3.788298035593219E-2</v>
      </c>
      <c r="AD554" s="43">
        <f t="shared" si="127"/>
        <v>0.86369592135593187</v>
      </c>
      <c r="AF554" s="43">
        <v>12.840265517455272</v>
      </c>
      <c r="AG554" s="43">
        <v>3.2795432999999999E-2</v>
      </c>
      <c r="AH554" s="43">
        <v>1.3553147999999999E-2</v>
      </c>
      <c r="AI554" s="43">
        <v>0.86945656000000004</v>
      </c>
      <c r="AJ554" s="43">
        <v>3.1276090829999998</v>
      </c>
      <c r="AK554" s="43">
        <v>8.2512184810000004</v>
      </c>
      <c r="AL554" s="43">
        <v>7.45716E-3</v>
      </c>
      <c r="AM554" s="230">
        <v>6.3764697839759368E-2</v>
      </c>
      <c r="AN554" s="43">
        <v>0.89547443299999996</v>
      </c>
    </row>
    <row r="555" spans="1:40" x14ac:dyDescent="0.25">
      <c r="A555" s="134">
        <v>545</v>
      </c>
      <c r="B555" s="134" t="s">
        <v>201</v>
      </c>
      <c r="C555" s="134" t="s">
        <v>61</v>
      </c>
      <c r="D555" s="134" t="s">
        <v>197</v>
      </c>
      <c r="E555" s="134">
        <v>670</v>
      </c>
      <c r="F555" s="134">
        <v>1707</v>
      </c>
      <c r="G555" s="134">
        <v>120</v>
      </c>
      <c r="H555" s="134">
        <v>534</v>
      </c>
      <c r="I555" s="200">
        <v>0.213241302593</v>
      </c>
      <c r="J555" s="134">
        <v>2241</v>
      </c>
      <c r="K555" s="134">
        <v>10509.2211159</v>
      </c>
      <c r="L555" s="42">
        <v>0.85314400389199996</v>
      </c>
      <c r="M555" s="42">
        <v>0.44352159468399999</v>
      </c>
      <c r="N555" s="134">
        <v>0</v>
      </c>
      <c r="O555" s="43" t="s">
        <v>664</v>
      </c>
      <c r="P555" s="43">
        <f t="shared" si="117"/>
        <v>12.728960852385539</v>
      </c>
      <c r="Q555" s="43">
        <f t="shared" si="118"/>
        <v>3.5123247000000003E-2</v>
      </c>
      <c r="R555" s="43">
        <f t="shared" si="119"/>
        <v>1.3392930000000001E-2</v>
      </c>
      <c r="S555" s="43">
        <f t="shared" si="120"/>
        <v>0.85314400400000001</v>
      </c>
      <c r="T555" s="43">
        <f t="shared" si="121"/>
        <v>3.0065181139999999</v>
      </c>
      <c r="U555" s="43">
        <f t="shared" si="122"/>
        <v>7.9111208370000003</v>
      </c>
      <c r="V555" s="43">
        <f t="shared" si="123"/>
        <v>8.1385710000000007E-3</v>
      </c>
      <c r="W555" s="230">
        <f t="shared" si="124"/>
        <v>6.3906845682081881E-2</v>
      </c>
      <c r="X555" s="43">
        <f t="shared" si="125"/>
        <v>0.87855958899999997</v>
      </c>
      <c r="Y555" s="43">
        <v>102.7795402</v>
      </c>
      <c r="Z555" s="43">
        <f t="shared" si="114"/>
        <v>0</v>
      </c>
      <c r="AA555" s="43">
        <f t="shared" si="115"/>
        <v>96880</v>
      </c>
      <c r="AB555" s="43">
        <f t="shared" si="116"/>
        <v>34598</v>
      </c>
      <c r="AC555" s="43">
        <f t="shared" si="126"/>
        <v>3.788298035593219E-2</v>
      </c>
      <c r="AD555" s="43">
        <f t="shared" si="127"/>
        <v>0.86369592135593187</v>
      </c>
      <c r="AF555" s="43">
        <v>12.728960852385539</v>
      </c>
      <c r="AG555" s="43">
        <v>3.5123247000000003E-2</v>
      </c>
      <c r="AH555" s="43">
        <v>1.3392930000000001E-2</v>
      </c>
      <c r="AI555" s="43">
        <v>0.85314400400000001</v>
      </c>
      <c r="AJ555" s="43">
        <v>3.0065181139999999</v>
      </c>
      <c r="AK555" s="43">
        <v>7.9111208370000003</v>
      </c>
      <c r="AL555" s="43">
        <v>8.1385710000000007E-3</v>
      </c>
      <c r="AM555" s="230">
        <v>6.3906845682081881E-2</v>
      </c>
      <c r="AN555" s="43">
        <v>0.87855958899999997</v>
      </c>
    </row>
    <row r="556" spans="1:40" x14ac:dyDescent="0.25">
      <c r="A556" s="134">
        <v>546</v>
      </c>
      <c r="B556" s="134" t="s">
        <v>201</v>
      </c>
      <c r="C556" s="134" t="s">
        <v>61</v>
      </c>
      <c r="D556" s="134" t="s">
        <v>197</v>
      </c>
      <c r="E556" s="134">
        <v>1142</v>
      </c>
      <c r="F556" s="134">
        <v>3434</v>
      </c>
      <c r="G556" s="134">
        <v>128</v>
      </c>
      <c r="H556" s="134">
        <v>522</v>
      </c>
      <c r="I556" s="200">
        <v>0.177589260538</v>
      </c>
      <c r="J556" s="134">
        <v>3956</v>
      </c>
      <c r="K556" s="134">
        <v>22276.121810600001</v>
      </c>
      <c r="L556" s="42">
        <v>0.80046847187500003</v>
      </c>
      <c r="M556" s="42">
        <v>0.31370192307700001</v>
      </c>
      <c r="N556" s="134">
        <v>1</v>
      </c>
      <c r="O556" s="43" t="s">
        <v>664</v>
      </c>
      <c r="P556" s="43">
        <f t="shared" si="117"/>
        <v>12.71645106584752</v>
      </c>
      <c r="Q556" s="43">
        <f t="shared" si="118"/>
        <v>6.9032310999999999E-2</v>
      </c>
      <c r="R556" s="43">
        <f t="shared" si="119"/>
        <v>1.7965030999999999E-2</v>
      </c>
      <c r="S556" s="43">
        <f t="shared" si="120"/>
        <v>0.80046847200000004</v>
      </c>
      <c r="T556" s="43">
        <f t="shared" si="121"/>
        <v>3.0267920830000001</v>
      </c>
      <c r="U556" s="43">
        <f t="shared" si="122"/>
        <v>7.908527672</v>
      </c>
      <c r="V556" s="43">
        <f t="shared" si="123"/>
        <v>1.4288934999999999E-2</v>
      </c>
      <c r="W556" s="230">
        <f t="shared" si="124"/>
        <v>0.1352940156415281</v>
      </c>
      <c r="X556" s="43">
        <f t="shared" si="125"/>
        <v>0.78448679499999996</v>
      </c>
      <c r="Y556" s="43">
        <v>85.070215669999996</v>
      </c>
      <c r="Z556" s="43">
        <f t="shared" si="114"/>
        <v>0</v>
      </c>
      <c r="AA556" s="43">
        <f t="shared" si="115"/>
        <v>96880</v>
      </c>
      <c r="AB556" s="43">
        <f t="shared" si="116"/>
        <v>34598</v>
      </c>
      <c r="AC556" s="43">
        <f t="shared" si="126"/>
        <v>3.788298035593219E-2</v>
      </c>
      <c r="AD556" s="43">
        <f t="shared" si="127"/>
        <v>0.86369592135593187</v>
      </c>
      <c r="AF556" s="43">
        <v>12.71645106584752</v>
      </c>
      <c r="AG556" s="43">
        <v>6.9032310999999999E-2</v>
      </c>
      <c r="AH556" s="43">
        <v>1.7965030999999999E-2</v>
      </c>
      <c r="AI556" s="43">
        <v>0.80046847200000004</v>
      </c>
      <c r="AJ556" s="43">
        <v>3.0267920830000001</v>
      </c>
      <c r="AK556" s="43">
        <v>7.908527672</v>
      </c>
      <c r="AL556" s="43">
        <v>1.4288934999999999E-2</v>
      </c>
      <c r="AM556" s="230">
        <v>0.1352940156415281</v>
      </c>
      <c r="AN556" s="43">
        <v>0.78448679499999996</v>
      </c>
    </row>
    <row r="557" spans="1:40" x14ac:dyDescent="0.25">
      <c r="A557" s="134">
        <v>547</v>
      </c>
      <c r="B557" s="134" t="s">
        <v>201</v>
      </c>
      <c r="C557" s="134" t="s">
        <v>61</v>
      </c>
      <c r="D557" s="134" t="s">
        <v>197</v>
      </c>
      <c r="E557" s="134">
        <v>105</v>
      </c>
      <c r="F557" s="134">
        <v>315</v>
      </c>
      <c r="G557" s="134">
        <v>60</v>
      </c>
      <c r="H557" s="134">
        <v>197</v>
      </c>
      <c r="I557" s="200">
        <v>4.1456249801400002E-2</v>
      </c>
      <c r="J557" s="134">
        <v>512</v>
      </c>
      <c r="K557" s="134">
        <v>12350.369424500001</v>
      </c>
      <c r="L557" s="42">
        <v>0.80110036265700002</v>
      </c>
      <c r="M557" s="42">
        <v>0.65231788079499997</v>
      </c>
      <c r="N557" s="134">
        <v>1</v>
      </c>
      <c r="O557" s="43" t="s">
        <v>664</v>
      </c>
      <c r="P557" s="43">
        <f t="shared" si="117"/>
        <v>12.68352204045509</v>
      </c>
      <c r="Q557" s="43">
        <f t="shared" si="118"/>
        <v>4.9425449000000003E-2</v>
      </c>
      <c r="R557" s="43">
        <f t="shared" si="119"/>
        <v>1.3209307999999999E-2</v>
      </c>
      <c r="S557" s="43">
        <f t="shared" si="120"/>
        <v>0.80110036299999998</v>
      </c>
      <c r="T557" s="43">
        <f t="shared" si="121"/>
        <v>2.5352333229999999</v>
      </c>
      <c r="U557" s="43">
        <f t="shared" si="122"/>
        <v>6.5929510369999997</v>
      </c>
      <c r="V557" s="43">
        <f t="shared" si="123"/>
        <v>8.5793589999999999E-3</v>
      </c>
      <c r="W557" s="230">
        <f t="shared" si="124"/>
        <v>9.0335604340146355E-2</v>
      </c>
      <c r="X557" s="43">
        <f t="shared" si="125"/>
        <v>0.77752544400000001</v>
      </c>
      <c r="Y557" s="43">
        <v>118.3394182</v>
      </c>
      <c r="Z557" s="43">
        <f t="shared" si="114"/>
        <v>0</v>
      </c>
      <c r="AA557" s="43">
        <f t="shared" si="115"/>
        <v>96880</v>
      </c>
      <c r="AB557" s="43">
        <f t="shared" si="116"/>
        <v>34598</v>
      </c>
      <c r="AC557" s="43">
        <f t="shared" si="126"/>
        <v>3.788298035593219E-2</v>
      </c>
      <c r="AD557" s="43">
        <f t="shared" si="127"/>
        <v>0.86369592135593187</v>
      </c>
      <c r="AF557" s="43">
        <v>12.68352204045509</v>
      </c>
      <c r="AG557" s="43">
        <v>4.9425449000000003E-2</v>
      </c>
      <c r="AH557" s="43">
        <v>1.3209307999999999E-2</v>
      </c>
      <c r="AI557" s="43">
        <v>0.80110036299999998</v>
      </c>
      <c r="AJ557" s="43">
        <v>2.5352333229999999</v>
      </c>
      <c r="AK557" s="43">
        <v>6.5929510369999997</v>
      </c>
      <c r="AL557" s="43">
        <v>8.5793589999999999E-3</v>
      </c>
      <c r="AM557" s="230">
        <v>9.0335604340146355E-2</v>
      </c>
      <c r="AN557" s="43">
        <v>0.77752544400000001</v>
      </c>
    </row>
    <row r="558" spans="1:40" x14ac:dyDescent="0.25">
      <c r="A558" s="134">
        <v>548</v>
      </c>
      <c r="B558" s="134" t="s">
        <v>201</v>
      </c>
      <c r="C558" s="134" t="s">
        <v>61</v>
      </c>
      <c r="D558" s="134" t="s">
        <v>197</v>
      </c>
      <c r="E558" s="134">
        <v>1400</v>
      </c>
      <c r="F558" s="134">
        <v>4209</v>
      </c>
      <c r="G558" s="134">
        <v>70</v>
      </c>
      <c r="H558" s="134">
        <v>1434</v>
      </c>
      <c r="I558" s="200">
        <v>0.15693065627300001</v>
      </c>
      <c r="J558" s="134">
        <v>5643</v>
      </c>
      <c r="K558" s="134">
        <v>35958.557327399998</v>
      </c>
      <c r="L558" s="42">
        <v>0.78727188027200001</v>
      </c>
      <c r="M558" s="42">
        <v>0.50599858856699997</v>
      </c>
      <c r="N558" s="134">
        <v>1</v>
      </c>
      <c r="O558" s="43" t="s">
        <v>627</v>
      </c>
      <c r="P558" s="43">
        <f t="shared" si="117"/>
        <v>13.516787771132893</v>
      </c>
      <c r="Q558" s="43">
        <f t="shared" si="118"/>
        <v>7.1631517000000006E-2</v>
      </c>
      <c r="R558" s="43">
        <f t="shared" si="119"/>
        <v>1.7240989000000002E-2</v>
      </c>
      <c r="S558" s="43">
        <f t="shared" si="120"/>
        <v>0.78727188000000003</v>
      </c>
      <c r="T558" s="43">
        <f t="shared" si="121"/>
        <v>3.0767616900000001</v>
      </c>
      <c r="U558" s="43">
        <f t="shared" si="122"/>
        <v>7.4744948329999996</v>
      </c>
      <c r="V558" s="43">
        <f t="shared" si="123"/>
        <v>2.1406675E-2</v>
      </c>
      <c r="W558" s="230">
        <f t="shared" si="124"/>
        <v>0.16549221594988631</v>
      </c>
      <c r="X558" s="43">
        <f t="shared" si="125"/>
        <v>0.74186447499999997</v>
      </c>
      <c r="Y558" s="43">
        <v>118.063996</v>
      </c>
      <c r="Z558" s="43">
        <f t="shared" si="114"/>
        <v>0</v>
      </c>
      <c r="AA558" s="43">
        <f t="shared" si="115"/>
        <v>96880</v>
      </c>
      <c r="AB558" s="43">
        <f t="shared" si="116"/>
        <v>34598</v>
      </c>
      <c r="AC558" s="43">
        <f t="shared" si="126"/>
        <v>3.788298035593219E-2</v>
      </c>
      <c r="AD558" s="43">
        <f t="shared" si="127"/>
        <v>0.86369592135593187</v>
      </c>
      <c r="AF558" s="43">
        <v>13.516787771132893</v>
      </c>
      <c r="AG558" s="43">
        <v>7.1631517000000006E-2</v>
      </c>
      <c r="AH558" s="43">
        <v>1.7240989000000002E-2</v>
      </c>
      <c r="AI558" s="43">
        <v>0.78727188000000003</v>
      </c>
      <c r="AJ558" s="43">
        <v>3.0767616900000001</v>
      </c>
      <c r="AK558" s="43">
        <v>7.4744948329999996</v>
      </c>
      <c r="AL558" s="43">
        <v>2.1406675E-2</v>
      </c>
      <c r="AM558" s="230">
        <v>0.16549221594988631</v>
      </c>
      <c r="AN558" s="43">
        <v>0.74186447499999997</v>
      </c>
    </row>
    <row r="559" spans="1:40" x14ac:dyDescent="0.25">
      <c r="A559" s="134">
        <v>549</v>
      </c>
      <c r="B559" s="134" t="s">
        <v>201</v>
      </c>
      <c r="C559" s="134" t="s">
        <v>61</v>
      </c>
      <c r="D559" s="134" t="s">
        <v>197</v>
      </c>
      <c r="E559" s="134">
        <v>1057</v>
      </c>
      <c r="F559" s="134">
        <v>2482</v>
      </c>
      <c r="G559" s="134">
        <v>131</v>
      </c>
      <c r="H559" s="134">
        <v>1501</v>
      </c>
      <c r="I559" s="200">
        <v>0.20828612580399999</v>
      </c>
      <c r="J559" s="134">
        <v>3983</v>
      </c>
      <c r="K559" s="134">
        <v>19122.733137499999</v>
      </c>
      <c r="L559" s="42">
        <v>0.83001689803800005</v>
      </c>
      <c r="M559" s="42">
        <v>0.58678655199399998</v>
      </c>
      <c r="N559" s="134">
        <v>0</v>
      </c>
      <c r="O559" s="43" t="s">
        <v>664</v>
      </c>
      <c r="P559" s="43">
        <f t="shared" si="117"/>
        <v>12.815238570636769</v>
      </c>
      <c r="Q559" s="43">
        <f t="shared" si="118"/>
        <v>5.0668759000000001E-2</v>
      </c>
      <c r="R559" s="43">
        <f t="shared" si="119"/>
        <v>2.4345597E-2</v>
      </c>
      <c r="S559" s="43">
        <f t="shared" si="120"/>
        <v>0.830016898</v>
      </c>
      <c r="T559" s="43">
        <f t="shared" si="121"/>
        <v>3.0272310739999999</v>
      </c>
      <c r="U559" s="43">
        <f t="shared" si="122"/>
        <v>8.1036649650000001</v>
      </c>
      <c r="V559" s="43">
        <f t="shared" si="123"/>
        <v>1.1655494000000001E-2</v>
      </c>
      <c r="W559" s="230">
        <f t="shared" si="124"/>
        <v>8.6201702191760182E-2</v>
      </c>
      <c r="X559" s="43">
        <f t="shared" si="125"/>
        <v>0.86083546700000002</v>
      </c>
      <c r="Y559" s="43">
        <v>108.9616274</v>
      </c>
      <c r="Z559" s="43">
        <f t="shared" si="114"/>
        <v>0</v>
      </c>
      <c r="AA559" s="43">
        <f t="shared" si="115"/>
        <v>96880</v>
      </c>
      <c r="AB559" s="43">
        <f t="shared" si="116"/>
        <v>34598</v>
      </c>
      <c r="AC559" s="43">
        <f t="shared" si="126"/>
        <v>3.788298035593219E-2</v>
      </c>
      <c r="AD559" s="43">
        <f t="shared" si="127"/>
        <v>0.86369592135593187</v>
      </c>
      <c r="AF559" s="43">
        <v>12.815238570636769</v>
      </c>
      <c r="AG559" s="43">
        <v>5.0668759000000001E-2</v>
      </c>
      <c r="AH559" s="43">
        <v>2.4345597E-2</v>
      </c>
      <c r="AI559" s="43">
        <v>0.830016898</v>
      </c>
      <c r="AJ559" s="43">
        <v>3.0272310739999999</v>
      </c>
      <c r="AK559" s="43">
        <v>8.1036649650000001</v>
      </c>
      <c r="AL559" s="43">
        <v>1.1655494000000001E-2</v>
      </c>
      <c r="AM559" s="230">
        <v>8.6201702191760182E-2</v>
      </c>
      <c r="AN559" s="43">
        <v>0.86083546700000002</v>
      </c>
    </row>
    <row r="560" spans="1:40" x14ac:dyDescent="0.25">
      <c r="A560" s="134">
        <v>550</v>
      </c>
      <c r="B560" s="134" t="s">
        <v>201</v>
      </c>
      <c r="C560" s="134" t="s">
        <v>61</v>
      </c>
      <c r="D560" s="134" t="s">
        <v>197</v>
      </c>
      <c r="E560" s="134">
        <v>366</v>
      </c>
      <c r="F560" s="134">
        <v>858</v>
      </c>
      <c r="G560" s="134">
        <v>47</v>
      </c>
      <c r="H560" s="134">
        <v>194</v>
      </c>
      <c r="I560" s="200">
        <v>7.3891708700599995E-2</v>
      </c>
      <c r="J560" s="134">
        <v>1052</v>
      </c>
      <c r="K560" s="134">
        <v>14237.050658300001</v>
      </c>
      <c r="L560" s="42">
        <v>0.77409200103599995</v>
      </c>
      <c r="M560" s="42">
        <v>0.34642857142900002</v>
      </c>
      <c r="N560" s="134">
        <v>0</v>
      </c>
      <c r="O560" s="43" t="s">
        <v>664</v>
      </c>
      <c r="P560" s="43">
        <f t="shared" si="117"/>
        <v>12.556548398724532</v>
      </c>
      <c r="Q560" s="43">
        <f t="shared" si="118"/>
        <v>6.1954687000000001E-2</v>
      </c>
      <c r="R560" s="43">
        <f t="shared" si="119"/>
        <v>4.8724292000000002E-2</v>
      </c>
      <c r="S560" s="43">
        <f t="shared" si="120"/>
        <v>0.77409200099999997</v>
      </c>
      <c r="T560" s="43">
        <f t="shared" si="121"/>
        <v>2.7064346229999998</v>
      </c>
      <c r="U560" s="43">
        <f t="shared" si="122"/>
        <v>7.5508886259999999</v>
      </c>
      <c r="V560" s="43">
        <f t="shared" si="123"/>
        <v>8.931128E-3</v>
      </c>
      <c r="W560" s="230">
        <f t="shared" si="124"/>
        <v>0.1015356529209622</v>
      </c>
      <c r="X560" s="43">
        <f t="shared" si="125"/>
        <v>0.825690865</v>
      </c>
      <c r="Y560" s="43">
        <v>37.552999700000001</v>
      </c>
      <c r="Z560" s="43">
        <f t="shared" si="114"/>
        <v>0</v>
      </c>
      <c r="AA560" s="43">
        <f t="shared" si="115"/>
        <v>96880</v>
      </c>
      <c r="AB560" s="43">
        <f t="shared" si="116"/>
        <v>34598</v>
      </c>
      <c r="AC560" s="43">
        <f t="shared" si="126"/>
        <v>3.788298035593219E-2</v>
      </c>
      <c r="AD560" s="43">
        <f t="shared" si="127"/>
        <v>0.86369592135593187</v>
      </c>
      <c r="AF560" s="43">
        <v>12.556548398724532</v>
      </c>
      <c r="AG560" s="43">
        <v>6.1954687000000001E-2</v>
      </c>
      <c r="AH560" s="43">
        <v>4.8724292000000002E-2</v>
      </c>
      <c r="AI560" s="43">
        <v>0.77409200099999997</v>
      </c>
      <c r="AJ560" s="43">
        <v>2.7064346229999998</v>
      </c>
      <c r="AK560" s="43">
        <v>7.5508886259999999</v>
      </c>
      <c r="AL560" s="43">
        <v>8.931128E-3</v>
      </c>
      <c r="AM560" s="230">
        <v>0.1015356529209622</v>
      </c>
      <c r="AN560" s="43">
        <v>0.825690865</v>
      </c>
    </row>
    <row r="561" spans="1:40" x14ac:dyDescent="0.25">
      <c r="A561" s="134">
        <v>551</v>
      </c>
      <c r="B561" s="134" t="s">
        <v>201</v>
      </c>
      <c r="C561" s="134" t="s">
        <v>61</v>
      </c>
      <c r="D561" s="134" t="s">
        <v>197</v>
      </c>
      <c r="E561" s="134">
        <v>483</v>
      </c>
      <c r="F561" s="134">
        <v>1133</v>
      </c>
      <c r="G561" s="134">
        <v>42</v>
      </c>
      <c r="H561" s="134">
        <v>398</v>
      </c>
      <c r="I561" s="200">
        <v>6.7086529593000002E-2</v>
      </c>
      <c r="J561" s="134">
        <v>1531</v>
      </c>
      <c r="K561" s="134">
        <v>22821.272903599998</v>
      </c>
      <c r="L561" s="42">
        <v>0.78640798086599994</v>
      </c>
      <c r="M561" s="42">
        <v>0.45175936435899999</v>
      </c>
      <c r="N561" s="134">
        <v>0</v>
      </c>
      <c r="O561" s="43" t="s">
        <v>664</v>
      </c>
      <c r="P561" s="43">
        <f t="shared" si="117"/>
        <v>12.555106095474667</v>
      </c>
      <c r="Q561" s="43">
        <f t="shared" si="118"/>
        <v>6.4350453000000002E-2</v>
      </c>
      <c r="R561" s="43">
        <f t="shared" si="119"/>
        <v>3.8727340999999998E-2</v>
      </c>
      <c r="S561" s="43">
        <f t="shared" si="120"/>
        <v>0.78640798099999998</v>
      </c>
      <c r="T561" s="43">
        <f t="shared" si="121"/>
        <v>2.834875416</v>
      </c>
      <c r="U561" s="43">
        <f t="shared" si="122"/>
        <v>7.7339284289999997</v>
      </c>
      <c r="V561" s="43">
        <f t="shared" si="123"/>
        <v>1.1679121000000001E-2</v>
      </c>
      <c r="W561" s="230">
        <f t="shared" si="124"/>
        <v>0.11069017210723874</v>
      </c>
      <c r="X561" s="43">
        <f t="shared" si="125"/>
        <v>0.818793506</v>
      </c>
      <c r="Y561" s="43">
        <v>51.810211819999999</v>
      </c>
      <c r="Z561" s="43">
        <f t="shared" si="114"/>
        <v>0</v>
      </c>
      <c r="AA561" s="43">
        <f t="shared" si="115"/>
        <v>96880</v>
      </c>
      <c r="AB561" s="43">
        <f t="shared" si="116"/>
        <v>34598</v>
      </c>
      <c r="AC561" s="43">
        <f t="shared" si="126"/>
        <v>3.788298035593219E-2</v>
      </c>
      <c r="AD561" s="43">
        <f t="shared" si="127"/>
        <v>0.86369592135593187</v>
      </c>
      <c r="AF561" s="43">
        <v>12.555106095474667</v>
      </c>
      <c r="AG561" s="43">
        <v>6.4350453000000002E-2</v>
      </c>
      <c r="AH561" s="43">
        <v>3.8727340999999998E-2</v>
      </c>
      <c r="AI561" s="43">
        <v>0.78640798099999998</v>
      </c>
      <c r="AJ561" s="43">
        <v>2.834875416</v>
      </c>
      <c r="AK561" s="43">
        <v>7.7339284289999997</v>
      </c>
      <c r="AL561" s="43">
        <v>1.1679121000000001E-2</v>
      </c>
      <c r="AM561" s="230">
        <v>0.11069017210723874</v>
      </c>
      <c r="AN561" s="43">
        <v>0.818793506</v>
      </c>
    </row>
    <row r="562" spans="1:40" x14ac:dyDescent="0.25">
      <c r="A562" s="134">
        <v>552</v>
      </c>
      <c r="B562" s="134" t="s">
        <v>201</v>
      </c>
      <c r="C562" s="134" t="s">
        <v>61</v>
      </c>
      <c r="D562" s="134" t="s">
        <v>197</v>
      </c>
      <c r="E562" s="134">
        <v>1298</v>
      </c>
      <c r="F562" s="134">
        <v>3047</v>
      </c>
      <c r="G562" s="134">
        <v>89</v>
      </c>
      <c r="H562" s="134">
        <v>914</v>
      </c>
      <c r="I562" s="200">
        <v>0.14085556342</v>
      </c>
      <c r="J562" s="134">
        <v>3961</v>
      </c>
      <c r="K562" s="134">
        <v>28121.004977199998</v>
      </c>
      <c r="L562" s="42">
        <v>0.80339655531300003</v>
      </c>
      <c r="M562" s="42">
        <v>0.41320072332699997</v>
      </c>
      <c r="N562" s="134">
        <v>0</v>
      </c>
      <c r="O562" s="43" t="s">
        <v>664</v>
      </c>
      <c r="P562" s="43">
        <f t="shared" si="117"/>
        <v>12.838115119374484</v>
      </c>
      <c r="Q562" s="43">
        <f t="shared" si="118"/>
        <v>6.4857164999999994E-2</v>
      </c>
      <c r="R562" s="43">
        <f t="shared" si="119"/>
        <v>2.5525549000000002E-2</v>
      </c>
      <c r="S562" s="43">
        <f t="shared" si="120"/>
        <v>0.80339655499999996</v>
      </c>
      <c r="T562" s="43">
        <f t="shared" si="121"/>
        <v>2.9752611459999998</v>
      </c>
      <c r="U562" s="43">
        <f t="shared" si="122"/>
        <v>7.7971275410000001</v>
      </c>
      <c r="V562" s="43">
        <f t="shared" si="123"/>
        <v>1.3348818E-2</v>
      </c>
      <c r="W562" s="230">
        <f t="shared" si="124"/>
        <v>0.11303233329014827</v>
      </c>
      <c r="X562" s="43">
        <f t="shared" si="125"/>
        <v>0.818506968</v>
      </c>
      <c r="Y562" s="43">
        <v>122.3103054</v>
      </c>
      <c r="Z562" s="43">
        <f t="shared" si="114"/>
        <v>0</v>
      </c>
      <c r="AA562" s="43">
        <f t="shared" si="115"/>
        <v>96880</v>
      </c>
      <c r="AB562" s="43">
        <f t="shared" si="116"/>
        <v>34598</v>
      </c>
      <c r="AC562" s="43">
        <f t="shared" si="126"/>
        <v>3.788298035593219E-2</v>
      </c>
      <c r="AD562" s="43">
        <f t="shared" si="127"/>
        <v>0.86369592135593187</v>
      </c>
      <c r="AF562" s="43">
        <v>12.838115119374484</v>
      </c>
      <c r="AG562" s="43">
        <v>6.4857164999999994E-2</v>
      </c>
      <c r="AH562" s="43">
        <v>2.5525549000000002E-2</v>
      </c>
      <c r="AI562" s="43">
        <v>0.80339655499999996</v>
      </c>
      <c r="AJ562" s="43">
        <v>2.9752611459999998</v>
      </c>
      <c r="AK562" s="43">
        <v>7.7971275410000001</v>
      </c>
      <c r="AL562" s="43">
        <v>1.3348818E-2</v>
      </c>
      <c r="AM562" s="230">
        <v>0.11303233329014827</v>
      </c>
      <c r="AN562" s="43">
        <v>0.818506968</v>
      </c>
    </row>
    <row r="563" spans="1:40" x14ac:dyDescent="0.25">
      <c r="A563" s="134">
        <v>553</v>
      </c>
      <c r="B563" s="134" t="s">
        <v>201</v>
      </c>
      <c r="C563" s="134" t="s">
        <v>61</v>
      </c>
      <c r="D563" s="134" t="s">
        <v>197</v>
      </c>
      <c r="E563" s="134">
        <v>98</v>
      </c>
      <c r="F563" s="134">
        <v>229</v>
      </c>
      <c r="G563" s="134">
        <v>57</v>
      </c>
      <c r="H563" s="134">
        <v>382</v>
      </c>
      <c r="I563" s="200">
        <v>9.0105270756399999E-2</v>
      </c>
      <c r="J563" s="134">
        <v>611</v>
      </c>
      <c r="K563" s="134">
        <v>6780.9573720899998</v>
      </c>
      <c r="L563" s="42">
        <v>0.77773320398800005</v>
      </c>
      <c r="M563" s="42">
        <v>0.79583333333299999</v>
      </c>
      <c r="N563" s="134">
        <v>0</v>
      </c>
      <c r="O563" s="43" t="s">
        <v>664</v>
      </c>
      <c r="P563" s="43">
        <f t="shared" si="117"/>
        <v>12.67556929789497</v>
      </c>
      <c r="Q563" s="43">
        <f t="shared" si="118"/>
        <v>4.9226483000000001E-2</v>
      </c>
      <c r="R563" s="43">
        <f t="shared" si="119"/>
        <v>6.8453184E-2</v>
      </c>
      <c r="S563" s="43">
        <f t="shared" si="120"/>
        <v>0.77773320400000001</v>
      </c>
      <c r="T563" s="43">
        <f t="shared" si="121"/>
        <v>2.716140706</v>
      </c>
      <c r="U563" s="43">
        <f t="shared" si="122"/>
        <v>7.5163001090000003</v>
      </c>
      <c r="V563" s="43">
        <f t="shared" si="123"/>
        <v>8.3858519999999992E-3</v>
      </c>
      <c r="W563" s="230">
        <f t="shared" si="124"/>
        <v>5.798070739549839E-2</v>
      </c>
      <c r="X563" s="43">
        <f t="shared" si="125"/>
        <v>0.86142765300000002</v>
      </c>
      <c r="Y563" s="43">
        <v>45.71360851</v>
      </c>
      <c r="Z563" s="43">
        <f t="shared" si="114"/>
        <v>0</v>
      </c>
      <c r="AA563" s="43">
        <f t="shared" si="115"/>
        <v>96880</v>
      </c>
      <c r="AB563" s="43">
        <f t="shared" si="116"/>
        <v>34598</v>
      </c>
      <c r="AC563" s="43">
        <f t="shared" si="126"/>
        <v>3.788298035593219E-2</v>
      </c>
      <c r="AD563" s="43">
        <f t="shared" si="127"/>
        <v>0.86369592135593187</v>
      </c>
      <c r="AF563" s="43">
        <v>12.67556929789497</v>
      </c>
      <c r="AG563" s="43">
        <v>4.9226483000000001E-2</v>
      </c>
      <c r="AH563" s="43">
        <v>6.8453184E-2</v>
      </c>
      <c r="AI563" s="43">
        <v>0.77773320400000001</v>
      </c>
      <c r="AJ563" s="43">
        <v>2.716140706</v>
      </c>
      <c r="AK563" s="43">
        <v>7.5163001090000003</v>
      </c>
      <c r="AL563" s="43">
        <v>8.3858519999999992E-3</v>
      </c>
      <c r="AM563" s="230">
        <v>5.798070739549839E-2</v>
      </c>
      <c r="AN563" s="43">
        <v>0.86142765300000002</v>
      </c>
    </row>
    <row r="564" spans="1:40" x14ac:dyDescent="0.25">
      <c r="A564" s="134">
        <v>554</v>
      </c>
      <c r="B564" s="134" t="s">
        <v>201</v>
      </c>
      <c r="C564" s="134" t="s">
        <v>61</v>
      </c>
      <c r="D564" s="134" t="s">
        <v>197</v>
      </c>
      <c r="E564" s="134">
        <v>3</v>
      </c>
      <c r="F564" s="134">
        <v>7</v>
      </c>
      <c r="G564" s="134">
        <v>67</v>
      </c>
      <c r="H564" s="134">
        <v>232</v>
      </c>
      <c r="I564" s="200">
        <v>0.10616664803</v>
      </c>
      <c r="J564" s="134">
        <v>239</v>
      </c>
      <c r="K564" s="134">
        <v>2251.1777892099999</v>
      </c>
      <c r="L564" s="42">
        <v>0.70869700492900001</v>
      </c>
      <c r="M564" s="42">
        <v>0.98723404255299996</v>
      </c>
      <c r="N564" s="134">
        <v>0</v>
      </c>
      <c r="O564" s="43" t="s">
        <v>664</v>
      </c>
      <c r="P564" s="43">
        <f t="shared" si="117"/>
        <v>13.114070872748883</v>
      </c>
      <c r="Q564" s="43">
        <f t="shared" si="118"/>
        <v>4.2985572999999999E-2</v>
      </c>
      <c r="R564" s="43">
        <f t="shared" si="119"/>
        <v>0.13799597199999999</v>
      </c>
      <c r="S564" s="43">
        <f t="shared" si="120"/>
        <v>0.70869700499999999</v>
      </c>
      <c r="T564" s="43">
        <f t="shared" si="121"/>
        <v>2.7111520630000001</v>
      </c>
      <c r="U564" s="43">
        <f t="shared" si="122"/>
        <v>7.5818396840000002</v>
      </c>
      <c r="V564" s="43">
        <f t="shared" si="123"/>
        <v>7.5067019999999996E-3</v>
      </c>
      <c r="W564" s="230">
        <f t="shared" si="124"/>
        <v>1.6675603217158178E-2</v>
      </c>
      <c r="X564" s="43">
        <f t="shared" si="125"/>
        <v>0.89426273499999998</v>
      </c>
      <c r="Y564" s="43">
        <v>45.737591780000002</v>
      </c>
      <c r="Z564" s="43">
        <f t="shared" si="114"/>
        <v>0</v>
      </c>
      <c r="AA564" s="43">
        <f t="shared" si="115"/>
        <v>96880</v>
      </c>
      <c r="AB564" s="43">
        <f t="shared" si="116"/>
        <v>34598</v>
      </c>
      <c r="AC564" s="43">
        <f t="shared" si="126"/>
        <v>3.788298035593219E-2</v>
      </c>
      <c r="AD564" s="43">
        <f t="shared" si="127"/>
        <v>0.86369592135593187</v>
      </c>
      <c r="AF564" s="43">
        <v>13.114070872748883</v>
      </c>
      <c r="AG564" s="43">
        <v>4.2985572999999999E-2</v>
      </c>
      <c r="AH564" s="43">
        <v>0.13799597199999999</v>
      </c>
      <c r="AI564" s="43">
        <v>0.70869700499999999</v>
      </c>
      <c r="AJ564" s="43">
        <v>2.7111520630000001</v>
      </c>
      <c r="AK564" s="43">
        <v>7.5818396840000002</v>
      </c>
      <c r="AL564" s="43">
        <v>7.5067019999999996E-3</v>
      </c>
      <c r="AM564" s="230">
        <v>1.6675603217158178E-2</v>
      </c>
      <c r="AN564" s="43">
        <v>0.89426273499999998</v>
      </c>
    </row>
    <row r="565" spans="1:40" x14ac:dyDescent="0.25">
      <c r="A565" s="134">
        <v>555</v>
      </c>
      <c r="B565" s="134" t="s">
        <v>201</v>
      </c>
      <c r="C565" s="134" t="s">
        <v>61</v>
      </c>
      <c r="D565" s="134" t="s">
        <v>197</v>
      </c>
      <c r="E565" s="134">
        <v>246</v>
      </c>
      <c r="F565" s="134">
        <v>672</v>
      </c>
      <c r="G565" s="134">
        <v>75</v>
      </c>
      <c r="H565" s="134">
        <v>53</v>
      </c>
      <c r="I565" s="200">
        <v>0.118623551119</v>
      </c>
      <c r="J565" s="134">
        <v>725</v>
      </c>
      <c r="K565" s="134">
        <v>6111.7711715900004</v>
      </c>
      <c r="L565" s="42">
        <v>0.85003207488900001</v>
      </c>
      <c r="M565" s="42">
        <v>0.177257525084</v>
      </c>
      <c r="N565" s="134">
        <v>0</v>
      </c>
      <c r="O565" s="43" t="s">
        <v>666</v>
      </c>
      <c r="P565" s="43">
        <f t="shared" si="117"/>
        <v>12.385053849867326</v>
      </c>
      <c r="Q565" s="43">
        <f t="shared" si="118"/>
        <v>4.4041594000000003E-2</v>
      </c>
      <c r="R565" s="43">
        <f t="shared" si="119"/>
        <v>1.3186343E-2</v>
      </c>
      <c r="S565" s="43">
        <f t="shared" si="120"/>
        <v>0.850032075</v>
      </c>
      <c r="T565" s="43">
        <f t="shared" si="121"/>
        <v>3.1466948389999998</v>
      </c>
      <c r="U565" s="43">
        <f t="shared" si="122"/>
        <v>7.8687105119999998</v>
      </c>
      <c r="V565" s="43">
        <f t="shared" si="123"/>
        <v>2.9617929999999999E-3</v>
      </c>
      <c r="W565" s="230">
        <f t="shared" si="124"/>
        <v>7.7763517293579498E-2</v>
      </c>
      <c r="X565" s="43">
        <f t="shared" si="125"/>
        <v>0.85608977500000005</v>
      </c>
      <c r="Y565" s="43">
        <v>120.60064300000001</v>
      </c>
      <c r="Z565" s="43">
        <f t="shared" si="114"/>
        <v>0</v>
      </c>
      <c r="AA565" s="43">
        <f t="shared" si="115"/>
        <v>96880</v>
      </c>
      <c r="AB565" s="43">
        <f t="shared" si="116"/>
        <v>34598</v>
      </c>
      <c r="AC565" s="43">
        <f t="shared" si="126"/>
        <v>3.788298035593219E-2</v>
      </c>
      <c r="AD565" s="43">
        <f t="shared" si="127"/>
        <v>0.86369592135593187</v>
      </c>
      <c r="AF565" s="43">
        <v>12.385053849867326</v>
      </c>
      <c r="AG565" s="43">
        <v>4.4041594000000003E-2</v>
      </c>
      <c r="AH565" s="43">
        <v>1.3186343E-2</v>
      </c>
      <c r="AI565" s="43">
        <v>0.850032075</v>
      </c>
      <c r="AJ565" s="43">
        <v>3.1466948389999998</v>
      </c>
      <c r="AK565" s="43">
        <v>7.8687105119999998</v>
      </c>
      <c r="AL565" s="43">
        <v>2.9617929999999999E-3</v>
      </c>
      <c r="AM565" s="230">
        <v>7.7763517293579498E-2</v>
      </c>
      <c r="AN565" s="43">
        <v>0.85608977500000005</v>
      </c>
    </row>
    <row r="566" spans="1:40" x14ac:dyDescent="0.25">
      <c r="A566" s="134">
        <v>556</v>
      </c>
      <c r="B566" s="134" t="s">
        <v>201</v>
      </c>
      <c r="C566" s="134" t="s">
        <v>61</v>
      </c>
      <c r="D566" s="134" t="s">
        <v>197</v>
      </c>
      <c r="E566" s="134">
        <v>267</v>
      </c>
      <c r="F566" s="134">
        <v>729</v>
      </c>
      <c r="G566" s="134">
        <v>43</v>
      </c>
      <c r="H566" s="134">
        <v>76</v>
      </c>
      <c r="I566" s="200">
        <v>6.7685848932200005E-2</v>
      </c>
      <c r="J566" s="134">
        <v>805</v>
      </c>
      <c r="K566" s="134">
        <v>11893.1802245</v>
      </c>
      <c r="L566" s="42">
        <v>0.87358361282399999</v>
      </c>
      <c r="M566" s="42">
        <v>0.221574344023</v>
      </c>
      <c r="N566" s="134">
        <v>0</v>
      </c>
      <c r="O566" s="43" t="s">
        <v>666</v>
      </c>
      <c r="P566" s="43">
        <f t="shared" si="117"/>
        <v>12.747198234758656</v>
      </c>
      <c r="Q566" s="43">
        <f t="shared" si="118"/>
        <v>4.0975152000000001E-2</v>
      </c>
      <c r="R566" s="43">
        <f t="shared" si="119"/>
        <v>1.3689639E-2</v>
      </c>
      <c r="S566" s="43">
        <f t="shared" si="120"/>
        <v>0.87358361299999998</v>
      </c>
      <c r="T566" s="43">
        <f t="shared" si="121"/>
        <v>3.5049947420000001</v>
      </c>
      <c r="U566" s="43">
        <f t="shared" si="122"/>
        <v>8.6053308249999994</v>
      </c>
      <c r="V566" s="43">
        <f t="shared" si="123"/>
        <v>4.5717860000000004E-3</v>
      </c>
      <c r="W566" s="230">
        <f t="shared" si="124"/>
        <v>7.3602907769195813E-2</v>
      </c>
      <c r="X566" s="43">
        <f t="shared" si="125"/>
        <v>0.87426169899999995</v>
      </c>
      <c r="Y566" s="43">
        <v>126.1551858</v>
      </c>
      <c r="Z566" s="43">
        <f t="shared" si="114"/>
        <v>0</v>
      </c>
      <c r="AA566" s="43">
        <f t="shared" si="115"/>
        <v>96880</v>
      </c>
      <c r="AB566" s="43">
        <f t="shared" si="116"/>
        <v>34598</v>
      </c>
      <c r="AC566" s="43">
        <f t="shared" si="126"/>
        <v>3.788298035593219E-2</v>
      </c>
      <c r="AD566" s="43">
        <f t="shared" si="127"/>
        <v>0.86369592135593187</v>
      </c>
      <c r="AF566" s="43">
        <v>12.747198234758656</v>
      </c>
      <c r="AG566" s="43">
        <v>4.0975152000000001E-2</v>
      </c>
      <c r="AH566" s="43">
        <v>1.3689639E-2</v>
      </c>
      <c r="AI566" s="43">
        <v>0.87358361299999998</v>
      </c>
      <c r="AJ566" s="43">
        <v>3.5049947420000001</v>
      </c>
      <c r="AK566" s="43">
        <v>8.6053308249999994</v>
      </c>
      <c r="AL566" s="43">
        <v>4.5717860000000004E-3</v>
      </c>
      <c r="AM566" s="230">
        <v>7.3602907769195813E-2</v>
      </c>
      <c r="AN566" s="43">
        <v>0.87426169899999995</v>
      </c>
    </row>
    <row r="567" spans="1:40" x14ac:dyDescent="0.25">
      <c r="A567" s="134">
        <v>557</v>
      </c>
      <c r="B567" s="134" t="s">
        <v>201</v>
      </c>
      <c r="C567" s="134" t="s">
        <v>61</v>
      </c>
      <c r="D567" s="134" t="s">
        <v>197</v>
      </c>
      <c r="E567" s="134">
        <v>337</v>
      </c>
      <c r="F567" s="134">
        <v>922</v>
      </c>
      <c r="G567" s="134">
        <v>80</v>
      </c>
      <c r="H567" s="134">
        <v>82</v>
      </c>
      <c r="I567" s="200">
        <v>0.126124235143</v>
      </c>
      <c r="J567" s="134">
        <v>1004</v>
      </c>
      <c r="K567" s="134">
        <v>7960.40506301</v>
      </c>
      <c r="L567" s="42">
        <v>0.87893678674099995</v>
      </c>
      <c r="M567" s="42">
        <v>0.195704057279</v>
      </c>
      <c r="N567" s="134">
        <v>0</v>
      </c>
      <c r="O567" s="43" t="s">
        <v>666</v>
      </c>
      <c r="P567" s="43">
        <f t="shared" si="117"/>
        <v>12.97245315743023</v>
      </c>
      <c r="Q567" s="43">
        <f t="shared" si="118"/>
        <v>3.7998236999999997E-2</v>
      </c>
      <c r="R567" s="43">
        <f t="shared" si="119"/>
        <v>1.3428425000000001E-2</v>
      </c>
      <c r="S567" s="43">
        <f t="shared" si="120"/>
        <v>0.878936787</v>
      </c>
      <c r="T567" s="43">
        <f t="shared" si="121"/>
        <v>3.5416666669999999</v>
      </c>
      <c r="U567" s="43">
        <f t="shared" si="122"/>
        <v>8.9072192290000007</v>
      </c>
      <c r="V567" s="43">
        <f t="shared" si="123"/>
        <v>3.5309899999999999E-3</v>
      </c>
      <c r="W567" s="230">
        <f t="shared" si="124"/>
        <v>6.8242273016171931E-2</v>
      </c>
      <c r="X567" s="43">
        <f t="shared" si="125"/>
        <v>0.88827946599999996</v>
      </c>
      <c r="Y567" s="43">
        <v>121.051372</v>
      </c>
      <c r="Z567" s="43">
        <f t="shared" si="114"/>
        <v>0</v>
      </c>
      <c r="AA567" s="43">
        <f t="shared" si="115"/>
        <v>96880</v>
      </c>
      <c r="AB567" s="43">
        <f t="shared" si="116"/>
        <v>34598</v>
      </c>
      <c r="AC567" s="43">
        <f t="shared" si="126"/>
        <v>3.788298035593219E-2</v>
      </c>
      <c r="AD567" s="43">
        <f t="shared" si="127"/>
        <v>0.86369592135593187</v>
      </c>
      <c r="AF567" s="43">
        <v>12.97245315743023</v>
      </c>
      <c r="AG567" s="43">
        <v>3.7998236999999997E-2</v>
      </c>
      <c r="AH567" s="43">
        <v>1.3428425000000001E-2</v>
      </c>
      <c r="AI567" s="43">
        <v>0.878936787</v>
      </c>
      <c r="AJ567" s="43">
        <v>3.5416666669999999</v>
      </c>
      <c r="AK567" s="43">
        <v>8.9072192290000007</v>
      </c>
      <c r="AL567" s="43">
        <v>3.5309899999999999E-3</v>
      </c>
      <c r="AM567" s="230">
        <v>6.8242273016171931E-2</v>
      </c>
      <c r="AN567" s="43">
        <v>0.88827946599999996</v>
      </c>
    </row>
    <row r="568" spans="1:40" x14ac:dyDescent="0.25">
      <c r="A568" s="134">
        <v>558</v>
      </c>
      <c r="B568" s="134" t="s">
        <v>201</v>
      </c>
      <c r="C568" s="134" t="s">
        <v>61</v>
      </c>
      <c r="D568" s="134" t="s">
        <v>197</v>
      </c>
      <c r="E568" s="134">
        <v>230</v>
      </c>
      <c r="F568" s="134">
        <v>629</v>
      </c>
      <c r="G568" s="134">
        <v>53</v>
      </c>
      <c r="H568" s="134">
        <v>106</v>
      </c>
      <c r="I568" s="200">
        <v>8.4361897656399995E-2</v>
      </c>
      <c r="J568" s="134">
        <v>735</v>
      </c>
      <c r="K568" s="134">
        <v>8712.4640438200004</v>
      </c>
      <c r="L568" s="42">
        <v>0.88429914321799996</v>
      </c>
      <c r="M568" s="42">
        <v>0.31547619047600001</v>
      </c>
      <c r="N568" s="134">
        <v>0</v>
      </c>
      <c r="O568" s="43" t="s">
        <v>664</v>
      </c>
      <c r="P568" s="43">
        <f t="shared" si="117"/>
        <v>12.852121143396861</v>
      </c>
      <c r="Q568" s="43">
        <f t="shared" si="118"/>
        <v>3.4051375000000002E-2</v>
      </c>
      <c r="R568" s="43">
        <f t="shared" si="119"/>
        <v>1.3460345E-2</v>
      </c>
      <c r="S568" s="43">
        <f t="shared" si="120"/>
        <v>0.88429914300000001</v>
      </c>
      <c r="T568" s="43">
        <f t="shared" si="121"/>
        <v>3.5602216389999999</v>
      </c>
      <c r="U568" s="43">
        <f t="shared" si="122"/>
        <v>8.9002735469999994</v>
      </c>
      <c r="V568" s="43">
        <f t="shared" si="123"/>
        <v>4.7965689999999997E-3</v>
      </c>
      <c r="W568" s="230">
        <f t="shared" si="124"/>
        <v>5.5894136899723494E-2</v>
      </c>
      <c r="X568" s="43">
        <f t="shared" si="125"/>
        <v>0.89272614400000005</v>
      </c>
      <c r="Y568" s="43">
        <v>153.40561919999999</v>
      </c>
      <c r="Z568" s="43">
        <f t="shared" si="114"/>
        <v>0</v>
      </c>
      <c r="AA568" s="43">
        <f t="shared" si="115"/>
        <v>96880</v>
      </c>
      <c r="AB568" s="43">
        <f t="shared" si="116"/>
        <v>34598</v>
      </c>
      <c r="AC568" s="43">
        <f t="shared" si="126"/>
        <v>3.788298035593219E-2</v>
      </c>
      <c r="AD568" s="43">
        <f t="shared" si="127"/>
        <v>0.86369592135593187</v>
      </c>
      <c r="AF568" s="43">
        <v>12.852121143396861</v>
      </c>
      <c r="AG568" s="43">
        <v>3.4051375000000002E-2</v>
      </c>
      <c r="AH568" s="43">
        <v>1.3460345E-2</v>
      </c>
      <c r="AI568" s="43">
        <v>0.88429914300000001</v>
      </c>
      <c r="AJ568" s="43">
        <v>3.5602216389999999</v>
      </c>
      <c r="AK568" s="43">
        <v>8.9002735469999994</v>
      </c>
      <c r="AL568" s="43">
        <v>4.7965689999999997E-3</v>
      </c>
      <c r="AM568" s="230">
        <v>5.5894136899723494E-2</v>
      </c>
      <c r="AN568" s="43">
        <v>0.89272614400000005</v>
      </c>
    </row>
    <row r="569" spans="1:40" x14ac:dyDescent="0.25">
      <c r="A569" s="134">
        <v>559</v>
      </c>
      <c r="B569" s="134" t="s">
        <v>201</v>
      </c>
      <c r="C569" s="134" t="s">
        <v>61</v>
      </c>
      <c r="D569" s="134" t="s">
        <v>197</v>
      </c>
      <c r="E569" s="134">
        <v>345</v>
      </c>
      <c r="F569" s="134">
        <v>943</v>
      </c>
      <c r="G569" s="134">
        <v>62</v>
      </c>
      <c r="H569" s="134">
        <v>302</v>
      </c>
      <c r="I569" s="200">
        <v>9.8883675043300007E-2</v>
      </c>
      <c r="J569" s="134">
        <v>1245</v>
      </c>
      <c r="K569" s="134">
        <v>12590.551468199999</v>
      </c>
      <c r="L569" s="42">
        <v>0.84397096829999996</v>
      </c>
      <c r="M569" s="42">
        <v>0.46676970633699999</v>
      </c>
      <c r="N569" s="134">
        <v>0</v>
      </c>
      <c r="O569" s="43" t="s">
        <v>664</v>
      </c>
      <c r="P569" s="43">
        <f t="shared" si="117"/>
        <v>12.81761796468702</v>
      </c>
      <c r="Q569" s="43">
        <f t="shared" si="118"/>
        <v>4.5103822000000002E-2</v>
      </c>
      <c r="R569" s="43">
        <f t="shared" si="119"/>
        <v>1.3104457E-2</v>
      </c>
      <c r="S569" s="43">
        <f t="shared" si="120"/>
        <v>0.84397096800000004</v>
      </c>
      <c r="T569" s="43">
        <f t="shared" si="121"/>
        <v>3.0901624710000002</v>
      </c>
      <c r="U569" s="43">
        <f t="shared" si="122"/>
        <v>8.1454728440000004</v>
      </c>
      <c r="V569" s="43">
        <f t="shared" si="123"/>
        <v>7.1305329999999997E-3</v>
      </c>
      <c r="W569" s="230">
        <f t="shared" si="124"/>
        <v>7.6851297580900729E-2</v>
      </c>
      <c r="X569" s="43">
        <f t="shared" si="125"/>
        <v>0.85649142599999994</v>
      </c>
      <c r="Y569" s="43">
        <v>134.45167699999999</v>
      </c>
      <c r="Z569" s="43">
        <f t="shared" si="114"/>
        <v>0</v>
      </c>
      <c r="AA569" s="43">
        <f t="shared" si="115"/>
        <v>96880</v>
      </c>
      <c r="AB569" s="43">
        <f t="shared" si="116"/>
        <v>34598</v>
      </c>
      <c r="AC569" s="43">
        <f t="shared" si="126"/>
        <v>3.788298035593219E-2</v>
      </c>
      <c r="AD569" s="43">
        <f t="shared" si="127"/>
        <v>0.86369592135593187</v>
      </c>
      <c r="AF569" s="43">
        <v>12.81761796468702</v>
      </c>
      <c r="AG569" s="43">
        <v>4.5103822000000002E-2</v>
      </c>
      <c r="AH569" s="43">
        <v>1.3104457E-2</v>
      </c>
      <c r="AI569" s="43">
        <v>0.84397096800000004</v>
      </c>
      <c r="AJ569" s="43">
        <v>3.0901624710000002</v>
      </c>
      <c r="AK569" s="43">
        <v>8.1454728440000004</v>
      </c>
      <c r="AL569" s="43">
        <v>7.1305329999999997E-3</v>
      </c>
      <c r="AM569" s="230">
        <v>7.6851297580900729E-2</v>
      </c>
      <c r="AN569" s="43">
        <v>0.85649142599999994</v>
      </c>
    </row>
    <row r="570" spans="1:40" x14ac:dyDescent="0.25">
      <c r="A570" s="134">
        <v>560</v>
      </c>
      <c r="B570" s="134" t="s">
        <v>201</v>
      </c>
      <c r="C570" s="134" t="s">
        <v>61</v>
      </c>
      <c r="D570" s="134" t="s">
        <v>197</v>
      </c>
      <c r="E570" s="134">
        <v>1451</v>
      </c>
      <c r="F570" s="134">
        <v>3821</v>
      </c>
      <c r="G570" s="134">
        <v>472</v>
      </c>
      <c r="H570" s="134">
        <v>978</v>
      </c>
      <c r="I570" s="200">
        <v>0.85807842600799999</v>
      </c>
      <c r="J570" s="134">
        <v>4799</v>
      </c>
      <c r="K570" s="134">
        <v>5592.7288864800003</v>
      </c>
      <c r="L570" s="42">
        <v>0.91005581715999995</v>
      </c>
      <c r="M570" s="42">
        <v>0.40263482914799997</v>
      </c>
      <c r="N570" s="134">
        <v>0</v>
      </c>
      <c r="O570" s="43" t="s">
        <v>666</v>
      </c>
      <c r="P570" s="43">
        <f t="shared" si="117"/>
        <v>13.707192401429152</v>
      </c>
      <c r="Q570" s="43">
        <f t="shared" si="118"/>
        <v>2.5808162999999999E-2</v>
      </c>
      <c r="R570" s="43">
        <f t="shared" si="119"/>
        <v>1.2020608E-2</v>
      </c>
      <c r="S570" s="43">
        <f t="shared" si="120"/>
        <v>0.91005581700000004</v>
      </c>
      <c r="T570" s="43">
        <f t="shared" si="121"/>
        <v>4.0222925490000003</v>
      </c>
      <c r="U570" s="43">
        <f t="shared" si="122"/>
        <v>10.04546491</v>
      </c>
      <c r="V570" s="43">
        <f t="shared" si="123"/>
        <v>5.0141099999999996E-3</v>
      </c>
      <c r="W570" s="230">
        <f t="shared" si="124"/>
        <v>5.3713988198542166E-2</v>
      </c>
      <c r="X570" s="43">
        <f t="shared" si="125"/>
        <v>0.92376967499999996</v>
      </c>
      <c r="Y570" s="43">
        <v>58.510580939999997</v>
      </c>
      <c r="Z570" s="43">
        <f t="shared" si="114"/>
        <v>0</v>
      </c>
      <c r="AA570" s="43">
        <f t="shared" si="115"/>
        <v>96880</v>
      </c>
      <c r="AB570" s="43">
        <f t="shared" si="116"/>
        <v>34598</v>
      </c>
      <c r="AC570" s="43">
        <f t="shared" si="126"/>
        <v>3.788298035593219E-2</v>
      </c>
      <c r="AD570" s="43">
        <f t="shared" si="127"/>
        <v>0.86369592135593187</v>
      </c>
      <c r="AF570" s="43">
        <v>13.707192401429152</v>
      </c>
      <c r="AG570" s="43">
        <v>2.5808162999999999E-2</v>
      </c>
      <c r="AH570" s="43">
        <v>1.2020608E-2</v>
      </c>
      <c r="AI570" s="43">
        <v>0.91005581700000004</v>
      </c>
      <c r="AJ570" s="43">
        <v>4.0222925490000003</v>
      </c>
      <c r="AK570" s="43">
        <v>10.04546491</v>
      </c>
      <c r="AL570" s="43">
        <v>5.0141099999999996E-3</v>
      </c>
      <c r="AM570" s="230">
        <v>5.3713988198542166E-2</v>
      </c>
      <c r="AN570" s="43">
        <v>0.92376967499999996</v>
      </c>
    </row>
    <row r="571" spans="1:40" x14ac:dyDescent="0.25">
      <c r="A571" s="134">
        <v>561</v>
      </c>
      <c r="B571" s="134" t="s">
        <v>201</v>
      </c>
      <c r="C571" s="134" t="s">
        <v>61</v>
      </c>
      <c r="D571" s="134" t="s">
        <v>197</v>
      </c>
      <c r="E571" s="134">
        <v>285</v>
      </c>
      <c r="F571" s="134">
        <v>702</v>
      </c>
      <c r="G571" s="134">
        <v>58</v>
      </c>
      <c r="H571" s="134">
        <v>215</v>
      </c>
      <c r="I571" s="200">
        <v>8.9209191333700005E-2</v>
      </c>
      <c r="J571" s="134">
        <v>917</v>
      </c>
      <c r="K571" s="134">
        <v>10279.2098694</v>
      </c>
      <c r="L571" s="42">
        <v>0.85475972725500005</v>
      </c>
      <c r="M571" s="42">
        <v>0.43</v>
      </c>
      <c r="N571" s="134">
        <v>0</v>
      </c>
      <c r="O571" s="43" t="s">
        <v>664</v>
      </c>
      <c r="P571" s="43">
        <f t="shared" si="117"/>
        <v>12.548606091824567</v>
      </c>
      <c r="Q571" s="43">
        <f t="shared" si="118"/>
        <v>3.7681897999999998E-2</v>
      </c>
      <c r="R571" s="43">
        <f t="shared" si="119"/>
        <v>1.3509915000000001E-2</v>
      </c>
      <c r="S571" s="43">
        <f t="shared" si="120"/>
        <v>0.85475972700000002</v>
      </c>
      <c r="T571" s="43">
        <f t="shared" si="121"/>
        <v>3.1214331689999999</v>
      </c>
      <c r="U571" s="43">
        <f t="shared" si="122"/>
        <v>7.9412561269999999</v>
      </c>
      <c r="V571" s="43">
        <f t="shared" si="123"/>
        <v>5.9400770000000002E-3</v>
      </c>
      <c r="W571" s="230">
        <f t="shared" si="124"/>
        <v>6.4859224177720692E-2</v>
      </c>
      <c r="X571" s="43">
        <f t="shared" si="125"/>
        <v>0.87104412899999994</v>
      </c>
      <c r="Y571" s="43">
        <v>123.10075999999999</v>
      </c>
      <c r="Z571" s="43">
        <f t="shared" si="114"/>
        <v>0</v>
      </c>
      <c r="AA571" s="43">
        <f t="shared" si="115"/>
        <v>96880</v>
      </c>
      <c r="AB571" s="43">
        <f t="shared" si="116"/>
        <v>34598</v>
      </c>
      <c r="AC571" s="43">
        <f t="shared" si="126"/>
        <v>3.788298035593219E-2</v>
      </c>
      <c r="AD571" s="43">
        <f t="shared" si="127"/>
        <v>0.86369592135593187</v>
      </c>
      <c r="AF571" s="43">
        <v>12.548606091824567</v>
      </c>
      <c r="AG571" s="43">
        <v>3.7681897999999998E-2</v>
      </c>
      <c r="AH571" s="43">
        <v>1.3509915000000001E-2</v>
      </c>
      <c r="AI571" s="43">
        <v>0.85475972700000002</v>
      </c>
      <c r="AJ571" s="43">
        <v>3.1214331689999999</v>
      </c>
      <c r="AK571" s="43">
        <v>7.9412561269999999</v>
      </c>
      <c r="AL571" s="43">
        <v>5.9400770000000002E-3</v>
      </c>
      <c r="AM571" s="230">
        <v>6.4859224177720692E-2</v>
      </c>
      <c r="AN571" s="43">
        <v>0.87104412899999994</v>
      </c>
    </row>
    <row r="572" spans="1:40" x14ac:dyDescent="0.25">
      <c r="A572" s="134">
        <v>562</v>
      </c>
      <c r="B572" s="134" t="s">
        <v>201</v>
      </c>
      <c r="C572" s="134" t="s">
        <v>61</v>
      </c>
      <c r="D572" s="134" t="s">
        <v>197</v>
      </c>
      <c r="E572" s="134">
        <v>241</v>
      </c>
      <c r="F572" s="134">
        <v>594</v>
      </c>
      <c r="G572" s="134">
        <v>53</v>
      </c>
      <c r="H572" s="134">
        <v>113</v>
      </c>
      <c r="I572" s="200">
        <v>8.26132513737E-2</v>
      </c>
      <c r="J572" s="134">
        <v>707</v>
      </c>
      <c r="K572" s="134">
        <v>8557.9490970700008</v>
      </c>
      <c r="L572" s="42">
        <v>0.85115280368900004</v>
      </c>
      <c r="M572" s="42">
        <v>0.31920903954800001</v>
      </c>
      <c r="N572" s="134">
        <v>0</v>
      </c>
      <c r="O572" s="43" t="s">
        <v>664</v>
      </c>
      <c r="P572" s="43">
        <f t="shared" si="117"/>
        <v>12.414145915921861</v>
      </c>
      <c r="Q572" s="43">
        <f t="shared" si="118"/>
        <v>3.9550847E-2</v>
      </c>
      <c r="R572" s="43">
        <f t="shared" si="119"/>
        <v>1.3207082E-2</v>
      </c>
      <c r="S572" s="43">
        <f t="shared" si="120"/>
        <v>0.85115280400000004</v>
      </c>
      <c r="T572" s="43">
        <f t="shared" si="121"/>
        <v>3.0604205480000002</v>
      </c>
      <c r="U572" s="43">
        <f t="shared" si="122"/>
        <v>7.6316264479999996</v>
      </c>
      <c r="V572" s="43">
        <f t="shared" si="123"/>
        <v>4.8733450000000003E-3</v>
      </c>
      <c r="W572" s="230">
        <f t="shared" si="124"/>
        <v>6.7835922026477632E-2</v>
      </c>
      <c r="X572" s="43">
        <f t="shared" si="125"/>
        <v>0.86466694499999996</v>
      </c>
      <c r="Y572" s="43">
        <v>146.71586719999999</v>
      </c>
      <c r="Z572" s="43">
        <f t="shared" si="114"/>
        <v>0</v>
      </c>
      <c r="AA572" s="43">
        <f t="shared" si="115"/>
        <v>96880</v>
      </c>
      <c r="AB572" s="43">
        <f t="shared" si="116"/>
        <v>34598</v>
      </c>
      <c r="AC572" s="43">
        <f t="shared" si="126"/>
        <v>3.788298035593219E-2</v>
      </c>
      <c r="AD572" s="43">
        <f t="shared" si="127"/>
        <v>0.86369592135593187</v>
      </c>
      <c r="AF572" s="43">
        <v>12.414145915921861</v>
      </c>
      <c r="AG572" s="43">
        <v>3.9550847E-2</v>
      </c>
      <c r="AH572" s="43">
        <v>1.3207082E-2</v>
      </c>
      <c r="AI572" s="43">
        <v>0.85115280400000004</v>
      </c>
      <c r="AJ572" s="43">
        <v>3.0604205480000002</v>
      </c>
      <c r="AK572" s="43">
        <v>7.6316264479999996</v>
      </c>
      <c r="AL572" s="43">
        <v>4.8733450000000003E-3</v>
      </c>
      <c r="AM572" s="230">
        <v>6.7835922026477632E-2</v>
      </c>
      <c r="AN572" s="43">
        <v>0.86466694499999996</v>
      </c>
    </row>
    <row r="573" spans="1:40" x14ac:dyDescent="0.25">
      <c r="A573" s="134">
        <v>563</v>
      </c>
      <c r="B573" s="134" t="s">
        <v>201</v>
      </c>
      <c r="C573" s="134" t="s">
        <v>61</v>
      </c>
      <c r="D573" s="134" t="s">
        <v>197</v>
      </c>
      <c r="E573" s="134">
        <v>514</v>
      </c>
      <c r="F573" s="134">
        <v>1264</v>
      </c>
      <c r="G573" s="134">
        <v>91</v>
      </c>
      <c r="H573" s="134">
        <v>135</v>
      </c>
      <c r="I573" s="200">
        <v>0.140988945659</v>
      </c>
      <c r="J573" s="134">
        <v>1399</v>
      </c>
      <c r="K573" s="134">
        <v>9922.76375611</v>
      </c>
      <c r="L573" s="42">
        <v>0.86403541020200003</v>
      </c>
      <c r="M573" s="42">
        <v>0.208012326656</v>
      </c>
      <c r="N573" s="134">
        <v>0</v>
      </c>
      <c r="O573" s="43" t="s">
        <v>666</v>
      </c>
      <c r="P573" s="43">
        <f t="shared" si="117"/>
        <v>12.686508335538736</v>
      </c>
      <c r="Q573" s="43">
        <f t="shared" si="118"/>
        <v>3.8579179999999998E-2</v>
      </c>
      <c r="R573" s="43">
        <f t="shared" si="119"/>
        <v>1.3561902000000001E-2</v>
      </c>
      <c r="S573" s="43">
        <f t="shared" si="120"/>
        <v>0.86403540999999995</v>
      </c>
      <c r="T573" s="43">
        <f t="shared" si="121"/>
        <v>3.2271681779999999</v>
      </c>
      <c r="U573" s="43">
        <f t="shared" si="122"/>
        <v>8.0669162029999999</v>
      </c>
      <c r="V573" s="43">
        <f t="shared" si="123"/>
        <v>4.4906260000000002E-3</v>
      </c>
      <c r="W573" s="230">
        <f t="shared" si="124"/>
        <v>7.817177735794216E-2</v>
      </c>
      <c r="X573" s="43">
        <f t="shared" si="125"/>
        <v>0.87856416199999998</v>
      </c>
      <c r="Y573" s="43">
        <v>93.052260919999995</v>
      </c>
      <c r="Z573" s="43">
        <f t="shared" si="114"/>
        <v>0</v>
      </c>
      <c r="AA573" s="43">
        <f t="shared" si="115"/>
        <v>96880</v>
      </c>
      <c r="AB573" s="43">
        <f t="shared" si="116"/>
        <v>34598</v>
      </c>
      <c r="AC573" s="43">
        <f t="shared" si="126"/>
        <v>3.788298035593219E-2</v>
      </c>
      <c r="AD573" s="43">
        <f t="shared" si="127"/>
        <v>0.86369592135593187</v>
      </c>
      <c r="AF573" s="43">
        <v>12.686508335538736</v>
      </c>
      <c r="AG573" s="43">
        <v>3.8579179999999998E-2</v>
      </c>
      <c r="AH573" s="43">
        <v>1.3561902000000001E-2</v>
      </c>
      <c r="AI573" s="43">
        <v>0.86403540999999995</v>
      </c>
      <c r="AJ573" s="43">
        <v>3.2271681779999999</v>
      </c>
      <c r="AK573" s="43">
        <v>8.0669162029999999</v>
      </c>
      <c r="AL573" s="43">
        <v>4.4906260000000002E-3</v>
      </c>
      <c r="AM573" s="230">
        <v>7.817177735794216E-2</v>
      </c>
      <c r="AN573" s="43">
        <v>0.87856416199999998</v>
      </c>
    </row>
    <row r="574" spans="1:40" x14ac:dyDescent="0.25">
      <c r="A574" s="134">
        <v>564</v>
      </c>
      <c r="B574" s="134" t="s">
        <v>201</v>
      </c>
      <c r="C574" s="134" t="s">
        <v>61</v>
      </c>
      <c r="D574" s="134" t="s">
        <v>197</v>
      </c>
      <c r="E574" s="134">
        <v>386</v>
      </c>
      <c r="F574" s="134">
        <v>1019</v>
      </c>
      <c r="G574" s="134">
        <v>67</v>
      </c>
      <c r="H574" s="134">
        <v>177</v>
      </c>
      <c r="I574" s="200">
        <v>0.10629305826</v>
      </c>
      <c r="J574" s="134">
        <v>1196</v>
      </c>
      <c r="K574" s="134">
        <v>11251.910704100001</v>
      </c>
      <c r="L574" s="42">
        <v>0.86863521978900005</v>
      </c>
      <c r="M574" s="42">
        <v>0.31438721136800002</v>
      </c>
      <c r="N574" s="134">
        <v>0</v>
      </c>
      <c r="O574" s="43" t="s">
        <v>666</v>
      </c>
      <c r="P574" s="43">
        <f t="shared" si="117"/>
        <v>13.368402623623439</v>
      </c>
      <c r="Q574" s="43">
        <f t="shared" si="118"/>
        <v>4.4859096000000001E-2</v>
      </c>
      <c r="R574" s="43">
        <f t="shared" si="119"/>
        <v>1.3769162999999999E-2</v>
      </c>
      <c r="S574" s="43">
        <f t="shared" si="120"/>
        <v>0.86863522000000004</v>
      </c>
      <c r="T574" s="43">
        <f t="shared" si="121"/>
        <v>3.6340750370000001</v>
      </c>
      <c r="U574" s="43">
        <f t="shared" si="122"/>
        <v>9.1559814040000003</v>
      </c>
      <c r="V574" s="43">
        <f t="shared" si="123"/>
        <v>5.8159969999999998E-3</v>
      </c>
      <c r="W574" s="230">
        <f t="shared" si="124"/>
        <v>7.8100533665676014E-2</v>
      </c>
      <c r="X574" s="43">
        <f t="shared" si="125"/>
        <v>0.88080401399999997</v>
      </c>
      <c r="Y574" s="43">
        <v>139.62508260000001</v>
      </c>
      <c r="Z574" s="43">
        <f t="shared" si="114"/>
        <v>0</v>
      </c>
      <c r="AA574" s="43">
        <f t="shared" si="115"/>
        <v>96880</v>
      </c>
      <c r="AB574" s="43">
        <f t="shared" si="116"/>
        <v>34598</v>
      </c>
      <c r="AC574" s="43">
        <f t="shared" si="126"/>
        <v>3.788298035593219E-2</v>
      </c>
      <c r="AD574" s="43">
        <f t="shared" si="127"/>
        <v>0.86369592135593187</v>
      </c>
      <c r="AF574" s="43">
        <v>13.368402623623439</v>
      </c>
      <c r="AG574" s="43">
        <v>4.4859096000000001E-2</v>
      </c>
      <c r="AH574" s="43">
        <v>1.3769162999999999E-2</v>
      </c>
      <c r="AI574" s="43">
        <v>0.86863522000000004</v>
      </c>
      <c r="AJ574" s="43">
        <v>3.6340750370000001</v>
      </c>
      <c r="AK574" s="43">
        <v>9.1559814040000003</v>
      </c>
      <c r="AL574" s="43">
        <v>5.8159969999999998E-3</v>
      </c>
      <c r="AM574" s="230">
        <v>7.8100533665676014E-2</v>
      </c>
      <c r="AN574" s="43">
        <v>0.88080401399999997</v>
      </c>
    </row>
    <row r="575" spans="1:40" x14ac:dyDescent="0.25">
      <c r="A575" s="134">
        <v>565</v>
      </c>
      <c r="B575" s="134" t="s">
        <v>201</v>
      </c>
      <c r="C575" s="134" t="s">
        <v>61</v>
      </c>
      <c r="D575" s="134" t="s">
        <v>197</v>
      </c>
      <c r="E575" s="134">
        <v>270</v>
      </c>
      <c r="F575" s="134">
        <v>712</v>
      </c>
      <c r="G575" s="134">
        <v>50</v>
      </c>
      <c r="H575" s="134">
        <v>145</v>
      </c>
      <c r="I575" s="200">
        <v>7.9518895122299996E-2</v>
      </c>
      <c r="J575" s="134">
        <v>857</v>
      </c>
      <c r="K575" s="134">
        <v>10777.3127215</v>
      </c>
      <c r="L575" s="42">
        <v>0.854180328883</v>
      </c>
      <c r="M575" s="42">
        <v>0.34939759036099999</v>
      </c>
      <c r="N575" s="134">
        <v>0</v>
      </c>
      <c r="O575" s="43" t="s">
        <v>666</v>
      </c>
      <c r="P575" s="43">
        <f t="shared" si="117"/>
        <v>12.873247039626845</v>
      </c>
      <c r="Q575" s="43">
        <f t="shared" si="118"/>
        <v>4.3677847999999998E-2</v>
      </c>
      <c r="R575" s="43">
        <f t="shared" si="119"/>
        <v>1.4025167E-2</v>
      </c>
      <c r="S575" s="43">
        <f t="shared" si="120"/>
        <v>0.85418032899999996</v>
      </c>
      <c r="T575" s="43">
        <f t="shared" si="121"/>
        <v>3.285243017</v>
      </c>
      <c r="U575" s="43">
        <f t="shared" si="122"/>
        <v>8.3468845910000002</v>
      </c>
      <c r="V575" s="43">
        <f t="shared" si="123"/>
        <v>6.2044659999999996E-3</v>
      </c>
      <c r="W575" s="230">
        <f t="shared" si="124"/>
        <v>7.6831614674535739E-2</v>
      </c>
      <c r="X575" s="43">
        <f t="shared" si="125"/>
        <v>0.865944614</v>
      </c>
      <c r="Y575" s="43">
        <v>139.88954469999999</v>
      </c>
      <c r="Z575" s="43">
        <f t="shared" si="114"/>
        <v>0</v>
      </c>
      <c r="AA575" s="43">
        <f t="shared" si="115"/>
        <v>96880</v>
      </c>
      <c r="AB575" s="43">
        <f t="shared" si="116"/>
        <v>34598</v>
      </c>
      <c r="AC575" s="43">
        <f t="shared" si="126"/>
        <v>3.788298035593219E-2</v>
      </c>
      <c r="AD575" s="43">
        <f t="shared" si="127"/>
        <v>0.86369592135593187</v>
      </c>
      <c r="AF575" s="43">
        <v>12.873247039626845</v>
      </c>
      <c r="AG575" s="43">
        <v>4.3677847999999998E-2</v>
      </c>
      <c r="AH575" s="43">
        <v>1.4025167E-2</v>
      </c>
      <c r="AI575" s="43">
        <v>0.85418032899999996</v>
      </c>
      <c r="AJ575" s="43">
        <v>3.285243017</v>
      </c>
      <c r="AK575" s="43">
        <v>8.3468845910000002</v>
      </c>
      <c r="AL575" s="43">
        <v>6.2044659999999996E-3</v>
      </c>
      <c r="AM575" s="230">
        <v>7.6831614674535739E-2</v>
      </c>
      <c r="AN575" s="43">
        <v>0.865944614</v>
      </c>
    </row>
    <row r="576" spans="1:40" x14ac:dyDescent="0.25">
      <c r="A576" s="134">
        <v>566</v>
      </c>
      <c r="B576" s="134" t="s">
        <v>201</v>
      </c>
      <c r="C576" s="134" t="s">
        <v>61</v>
      </c>
      <c r="D576" s="134" t="s">
        <v>197</v>
      </c>
      <c r="E576" s="134">
        <v>357</v>
      </c>
      <c r="F576" s="134">
        <v>942</v>
      </c>
      <c r="G576" s="134">
        <v>66</v>
      </c>
      <c r="H576" s="134">
        <v>210</v>
      </c>
      <c r="I576" s="200">
        <v>0.10563991522799999</v>
      </c>
      <c r="J576" s="134">
        <v>1152</v>
      </c>
      <c r="K576" s="134">
        <v>10904.9689932</v>
      </c>
      <c r="L576" s="42">
        <v>0.86645883669699997</v>
      </c>
      <c r="M576" s="42">
        <v>0.37037037036999998</v>
      </c>
      <c r="N576" s="134">
        <v>0</v>
      </c>
      <c r="O576" s="43" t="s">
        <v>666</v>
      </c>
      <c r="P576" s="43">
        <f t="shared" si="117"/>
        <v>13.255099895410654</v>
      </c>
      <c r="Q576" s="43">
        <f t="shared" si="118"/>
        <v>4.6334235000000001E-2</v>
      </c>
      <c r="R576" s="43">
        <f t="shared" si="119"/>
        <v>1.4064549000000001E-2</v>
      </c>
      <c r="S576" s="43">
        <f t="shared" si="120"/>
        <v>0.86645883700000004</v>
      </c>
      <c r="T576" s="43">
        <f t="shared" si="121"/>
        <v>3.5947645760000002</v>
      </c>
      <c r="U576" s="43">
        <f t="shared" si="122"/>
        <v>9.0449839890000003</v>
      </c>
      <c r="V576" s="43">
        <f t="shared" si="123"/>
        <v>5.8493659999999999E-3</v>
      </c>
      <c r="W576" s="230">
        <f t="shared" si="124"/>
        <v>8.6032266413596764E-2</v>
      </c>
      <c r="X576" s="43">
        <f t="shared" si="125"/>
        <v>0.87222845299999996</v>
      </c>
      <c r="Y576" s="43">
        <v>144.0166801</v>
      </c>
      <c r="Z576" s="43">
        <f t="shared" si="114"/>
        <v>0</v>
      </c>
      <c r="AA576" s="43">
        <f t="shared" si="115"/>
        <v>96880</v>
      </c>
      <c r="AB576" s="43">
        <f t="shared" si="116"/>
        <v>34598</v>
      </c>
      <c r="AC576" s="43">
        <f t="shared" si="126"/>
        <v>3.788298035593219E-2</v>
      </c>
      <c r="AD576" s="43">
        <f t="shared" si="127"/>
        <v>0.86369592135593187</v>
      </c>
      <c r="AF576" s="43">
        <v>13.255099895410654</v>
      </c>
      <c r="AG576" s="43">
        <v>4.6334235000000001E-2</v>
      </c>
      <c r="AH576" s="43">
        <v>1.4064549000000001E-2</v>
      </c>
      <c r="AI576" s="43">
        <v>0.86645883700000004</v>
      </c>
      <c r="AJ576" s="43">
        <v>3.5947645760000002</v>
      </c>
      <c r="AK576" s="43">
        <v>9.0449839890000003</v>
      </c>
      <c r="AL576" s="43">
        <v>5.8493659999999999E-3</v>
      </c>
      <c r="AM576" s="230">
        <v>8.6032266413596764E-2</v>
      </c>
      <c r="AN576" s="43">
        <v>0.87222845299999996</v>
      </c>
    </row>
    <row r="577" spans="1:40" x14ac:dyDescent="0.25">
      <c r="A577" s="134">
        <v>567</v>
      </c>
      <c r="B577" s="134" t="s">
        <v>201</v>
      </c>
      <c r="C577" s="134" t="s">
        <v>61</v>
      </c>
      <c r="D577" s="134" t="s">
        <v>197</v>
      </c>
      <c r="E577" s="134">
        <v>437</v>
      </c>
      <c r="F577" s="134">
        <v>1154</v>
      </c>
      <c r="G577" s="134">
        <v>77</v>
      </c>
      <c r="H577" s="134">
        <v>175</v>
      </c>
      <c r="I577" s="200">
        <v>0.122203863344</v>
      </c>
      <c r="J577" s="134">
        <v>1329</v>
      </c>
      <c r="K577" s="134">
        <v>10875.2699271</v>
      </c>
      <c r="L577" s="42">
        <v>0.84359696376100002</v>
      </c>
      <c r="M577" s="42">
        <v>0.28594771241799999</v>
      </c>
      <c r="N577" s="134">
        <v>0</v>
      </c>
      <c r="O577" s="43" t="s">
        <v>666</v>
      </c>
      <c r="P577" s="43">
        <f t="shared" si="117"/>
        <v>12.528940911053082</v>
      </c>
      <c r="Q577" s="43">
        <f t="shared" si="118"/>
        <v>4.8188051000000003E-2</v>
      </c>
      <c r="R577" s="43">
        <f t="shared" si="119"/>
        <v>1.4626182999999999E-2</v>
      </c>
      <c r="S577" s="43">
        <f t="shared" si="120"/>
        <v>0.84359696399999995</v>
      </c>
      <c r="T577" s="43">
        <f t="shared" si="121"/>
        <v>3.1383393700000002</v>
      </c>
      <c r="U577" s="43">
        <f t="shared" si="122"/>
        <v>8.0376647230000007</v>
      </c>
      <c r="V577" s="43">
        <f t="shared" si="123"/>
        <v>6.2449009999999998E-3</v>
      </c>
      <c r="W577" s="230">
        <f t="shared" si="124"/>
        <v>9.0246977675591492E-2</v>
      </c>
      <c r="X577" s="43">
        <f t="shared" si="125"/>
        <v>0.85731662099999995</v>
      </c>
      <c r="Y577" s="43">
        <v>145.96371429999999</v>
      </c>
      <c r="Z577" s="43">
        <f t="shared" si="114"/>
        <v>0</v>
      </c>
      <c r="AA577" s="43">
        <f t="shared" si="115"/>
        <v>96880</v>
      </c>
      <c r="AB577" s="43">
        <f t="shared" si="116"/>
        <v>34598</v>
      </c>
      <c r="AC577" s="43">
        <f t="shared" si="126"/>
        <v>3.788298035593219E-2</v>
      </c>
      <c r="AD577" s="43">
        <f t="shared" si="127"/>
        <v>0.86369592135593187</v>
      </c>
      <c r="AF577" s="43">
        <v>12.528940911053082</v>
      </c>
      <c r="AG577" s="43">
        <v>4.8188051000000003E-2</v>
      </c>
      <c r="AH577" s="43">
        <v>1.4626182999999999E-2</v>
      </c>
      <c r="AI577" s="43">
        <v>0.84359696399999995</v>
      </c>
      <c r="AJ577" s="43">
        <v>3.1383393700000002</v>
      </c>
      <c r="AK577" s="43">
        <v>8.0376647230000007</v>
      </c>
      <c r="AL577" s="43">
        <v>6.2449009999999998E-3</v>
      </c>
      <c r="AM577" s="230">
        <v>9.0246977675591492E-2</v>
      </c>
      <c r="AN577" s="43">
        <v>0.85731662099999995</v>
      </c>
    </row>
    <row r="578" spans="1:40" x14ac:dyDescent="0.25">
      <c r="A578" s="134">
        <v>568</v>
      </c>
      <c r="B578" s="134" t="s">
        <v>201</v>
      </c>
      <c r="C578" s="134" t="s">
        <v>61</v>
      </c>
      <c r="D578" s="134" t="s">
        <v>197</v>
      </c>
      <c r="E578" s="134">
        <v>337</v>
      </c>
      <c r="F578" s="134">
        <v>826</v>
      </c>
      <c r="G578" s="134">
        <v>76</v>
      </c>
      <c r="H578" s="134">
        <v>259</v>
      </c>
      <c r="I578" s="200">
        <v>0.120994331508</v>
      </c>
      <c r="J578" s="134">
        <v>1085</v>
      </c>
      <c r="K578" s="134">
        <v>8967.3622431599997</v>
      </c>
      <c r="L578" s="42">
        <v>0.84061490313099996</v>
      </c>
      <c r="M578" s="42">
        <v>0.43456375838900002</v>
      </c>
      <c r="N578" s="134">
        <v>0</v>
      </c>
      <c r="O578" s="43" t="s">
        <v>666</v>
      </c>
      <c r="P578" s="43">
        <f t="shared" si="117"/>
        <v>12.890872126773056</v>
      </c>
      <c r="Q578" s="43">
        <f t="shared" si="118"/>
        <v>4.8286598E-2</v>
      </c>
      <c r="R578" s="43">
        <f t="shared" si="119"/>
        <v>1.3459113999999999E-2</v>
      </c>
      <c r="S578" s="43">
        <f t="shared" si="120"/>
        <v>0.84061490299999997</v>
      </c>
      <c r="T578" s="43">
        <f t="shared" si="121"/>
        <v>3.04824363</v>
      </c>
      <c r="U578" s="43">
        <f t="shared" si="122"/>
        <v>7.6174022900000002</v>
      </c>
      <c r="V578" s="43">
        <f t="shared" si="123"/>
        <v>7.3779600000000002E-3</v>
      </c>
      <c r="W578" s="230">
        <f t="shared" si="124"/>
        <v>9.3791058855237003E-2</v>
      </c>
      <c r="X578" s="43">
        <f t="shared" si="125"/>
        <v>0.84686520899999995</v>
      </c>
      <c r="Y578" s="43">
        <v>101.7510391</v>
      </c>
      <c r="Z578" s="43">
        <f t="shared" si="114"/>
        <v>0</v>
      </c>
      <c r="AA578" s="43">
        <f t="shared" si="115"/>
        <v>96880</v>
      </c>
      <c r="AB578" s="43">
        <f t="shared" si="116"/>
        <v>34598</v>
      </c>
      <c r="AC578" s="43">
        <f t="shared" si="126"/>
        <v>3.788298035593219E-2</v>
      </c>
      <c r="AD578" s="43">
        <f t="shared" si="127"/>
        <v>0.86369592135593187</v>
      </c>
      <c r="AF578" s="43">
        <v>12.890872126773056</v>
      </c>
      <c r="AG578" s="43">
        <v>4.8286598E-2</v>
      </c>
      <c r="AH578" s="43">
        <v>1.3459113999999999E-2</v>
      </c>
      <c r="AI578" s="43">
        <v>0.84061490299999997</v>
      </c>
      <c r="AJ578" s="43">
        <v>3.04824363</v>
      </c>
      <c r="AK578" s="43">
        <v>7.6174022900000002</v>
      </c>
      <c r="AL578" s="43">
        <v>7.3779600000000002E-3</v>
      </c>
      <c r="AM578" s="230">
        <v>9.3791058855237003E-2</v>
      </c>
      <c r="AN578" s="43">
        <v>0.84686520899999995</v>
      </c>
    </row>
    <row r="579" spans="1:40" x14ac:dyDescent="0.25">
      <c r="A579" s="134">
        <v>569</v>
      </c>
      <c r="B579" s="134" t="s">
        <v>201</v>
      </c>
      <c r="C579" s="134" t="s">
        <v>61</v>
      </c>
      <c r="D579" s="134" t="s">
        <v>197</v>
      </c>
      <c r="E579" s="134">
        <v>351</v>
      </c>
      <c r="F579" s="134">
        <v>862</v>
      </c>
      <c r="G579" s="134">
        <v>66</v>
      </c>
      <c r="H579" s="134">
        <v>109</v>
      </c>
      <c r="I579" s="200">
        <v>0.106012666992</v>
      </c>
      <c r="J579" s="134">
        <v>971</v>
      </c>
      <c r="K579" s="134">
        <v>9159.2828248700007</v>
      </c>
      <c r="L579" s="42">
        <v>0.82916611690200004</v>
      </c>
      <c r="M579" s="42">
        <v>0.236956521739</v>
      </c>
      <c r="N579" s="134">
        <v>0</v>
      </c>
      <c r="O579" s="43" t="s">
        <v>664</v>
      </c>
      <c r="P579" s="43">
        <f t="shared" si="117"/>
        <v>12.596984040754368</v>
      </c>
      <c r="Q579" s="43">
        <f t="shared" si="118"/>
        <v>5.6873158E-2</v>
      </c>
      <c r="R579" s="43">
        <f t="shared" si="119"/>
        <v>1.4288385000000001E-2</v>
      </c>
      <c r="S579" s="43">
        <f t="shared" si="120"/>
        <v>0.82916611699999998</v>
      </c>
      <c r="T579" s="43">
        <f t="shared" si="121"/>
        <v>3.0858130159999999</v>
      </c>
      <c r="U579" s="43">
        <f t="shared" si="122"/>
        <v>7.6686075990000004</v>
      </c>
      <c r="V579" s="43">
        <f t="shared" si="123"/>
        <v>5.8177380000000002E-3</v>
      </c>
      <c r="W579" s="230">
        <f t="shared" si="124"/>
        <v>0.1082587469487388</v>
      </c>
      <c r="X579" s="43">
        <f t="shared" si="125"/>
        <v>0.831753458</v>
      </c>
      <c r="Y579" s="43">
        <v>96.666562839999997</v>
      </c>
      <c r="Z579" s="43">
        <f t="shared" si="114"/>
        <v>0</v>
      </c>
      <c r="AA579" s="43">
        <f t="shared" si="115"/>
        <v>96880</v>
      </c>
      <c r="AB579" s="43">
        <f t="shared" si="116"/>
        <v>34598</v>
      </c>
      <c r="AC579" s="43">
        <f t="shared" si="126"/>
        <v>3.788298035593219E-2</v>
      </c>
      <c r="AD579" s="43">
        <f t="shared" si="127"/>
        <v>0.86369592135593187</v>
      </c>
      <c r="AF579" s="43">
        <v>12.596984040754368</v>
      </c>
      <c r="AG579" s="43">
        <v>5.6873158E-2</v>
      </c>
      <c r="AH579" s="43">
        <v>1.4288385000000001E-2</v>
      </c>
      <c r="AI579" s="43">
        <v>0.82916611699999998</v>
      </c>
      <c r="AJ579" s="43">
        <v>3.0858130159999999</v>
      </c>
      <c r="AK579" s="43">
        <v>7.6686075990000004</v>
      </c>
      <c r="AL579" s="43">
        <v>5.8177380000000002E-3</v>
      </c>
      <c r="AM579" s="230">
        <v>0.1082587469487388</v>
      </c>
      <c r="AN579" s="43">
        <v>0.831753458</v>
      </c>
    </row>
    <row r="580" spans="1:40" x14ac:dyDescent="0.25">
      <c r="A580" s="134">
        <v>570</v>
      </c>
      <c r="B580" s="134" t="s">
        <v>201</v>
      </c>
      <c r="C580" s="134" t="s">
        <v>61</v>
      </c>
      <c r="D580" s="134" t="s">
        <v>197</v>
      </c>
      <c r="E580" s="134">
        <v>300</v>
      </c>
      <c r="F580" s="134">
        <v>735</v>
      </c>
      <c r="G580" s="134">
        <v>55</v>
      </c>
      <c r="H580" s="134">
        <v>156</v>
      </c>
      <c r="I580" s="200">
        <v>8.8444114441599997E-2</v>
      </c>
      <c r="J580" s="134">
        <v>891</v>
      </c>
      <c r="K580" s="134">
        <v>10074.1581916</v>
      </c>
      <c r="L580" s="42">
        <v>0.84703549122300004</v>
      </c>
      <c r="M580" s="42">
        <v>0.34210526315799999</v>
      </c>
      <c r="N580" s="134">
        <v>0</v>
      </c>
      <c r="O580" s="43" t="s">
        <v>664</v>
      </c>
      <c r="P580" s="43">
        <f t="shared" si="117"/>
        <v>12.735637515293996</v>
      </c>
      <c r="Q580" s="43">
        <f t="shared" si="118"/>
        <v>4.2246100000000002E-2</v>
      </c>
      <c r="R580" s="43">
        <f t="shared" si="119"/>
        <v>1.4101766999999999E-2</v>
      </c>
      <c r="S580" s="43">
        <f t="shared" si="120"/>
        <v>0.84703549099999997</v>
      </c>
      <c r="T580" s="43">
        <f t="shared" si="121"/>
        <v>3.1349757839999999</v>
      </c>
      <c r="U580" s="43">
        <f t="shared" si="122"/>
        <v>7.8679302389999997</v>
      </c>
      <c r="V580" s="43">
        <f t="shared" si="123"/>
        <v>6.3078220000000003E-3</v>
      </c>
      <c r="W580" s="230">
        <f t="shared" si="124"/>
        <v>7.8836704882475336E-2</v>
      </c>
      <c r="X580" s="43">
        <f t="shared" si="125"/>
        <v>0.85901465200000005</v>
      </c>
      <c r="Y580" s="43">
        <v>88.559033889999995</v>
      </c>
      <c r="Z580" s="43">
        <f t="shared" si="114"/>
        <v>0</v>
      </c>
      <c r="AA580" s="43">
        <f t="shared" si="115"/>
        <v>96880</v>
      </c>
      <c r="AB580" s="43">
        <f t="shared" si="116"/>
        <v>34598</v>
      </c>
      <c r="AC580" s="43">
        <f t="shared" si="126"/>
        <v>3.788298035593219E-2</v>
      </c>
      <c r="AD580" s="43">
        <f t="shared" si="127"/>
        <v>0.86369592135593187</v>
      </c>
      <c r="AF580" s="43">
        <v>12.735637515293996</v>
      </c>
      <c r="AG580" s="43">
        <v>4.2246100000000002E-2</v>
      </c>
      <c r="AH580" s="43">
        <v>1.4101766999999999E-2</v>
      </c>
      <c r="AI580" s="43">
        <v>0.84703549099999997</v>
      </c>
      <c r="AJ580" s="43">
        <v>3.1349757839999999</v>
      </c>
      <c r="AK580" s="43">
        <v>7.8679302389999997</v>
      </c>
      <c r="AL580" s="43">
        <v>6.3078220000000003E-3</v>
      </c>
      <c r="AM580" s="230">
        <v>7.8836704882475336E-2</v>
      </c>
      <c r="AN580" s="43">
        <v>0.85901465200000005</v>
      </c>
    </row>
    <row r="581" spans="1:40" x14ac:dyDescent="0.25">
      <c r="A581" s="134">
        <v>571</v>
      </c>
      <c r="B581" s="134" t="s">
        <v>201</v>
      </c>
      <c r="C581" s="134" t="s">
        <v>61</v>
      </c>
      <c r="D581" s="134" t="s">
        <v>197</v>
      </c>
      <c r="E581" s="134">
        <v>721</v>
      </c>
      <c r="F581" s="134">
        <v>1769</v>
      </c>
      <c r="G581" s="134">
        <v>53</v>
      </c>
      <c r="H581" s="134">
        <v>111</v>
      </c>
      <c r="I581" s="200">
        <v>8.50421805463E-2</v>
      </c>
      <c r="J581" s="134">
        <v>1880</v>
      </c>
      <c r="K581" s="134">
        <v>22106.676803499999</v>
      </c>
      <c r="L581" s="42">
        <v>0.807950314871</v>
      </c>
      <c r="M581" s="42">
        <v>0.13341346153799999</v>
      </c>
      <c r="N581" s="134">
        <v>1</v>
      </c>
      <c r="O581" s="43" t="s">
        <v>664</v>
      </c>
      <c r="P581" s="43">
        <f t="shared" si="117"/>
        <v>12.468741612964298</v>
      </c>
      <c r="Q581" s="43">
        <f t="shared" si="118"/>
        <v>6.7298818999999996E-2</v>
      </c>
      <c r="R581" s="43">
        <f t="shared" si="119"/>
        <v>1.5319774E-2</v>
      </c>
      <c r="S581" s="43">
        <f t="shared" si="120"/>
        <v>0.80795031500000003</v>
      </c>
      <c r="T581" s="43">
        <f t="shared" si="121"/>
        <v>3.0403431049999998</v>
      </c>
      <c r="U581" s="43">
        <f t="shared" si="122"/>
        <v>7.522581894</v>
      </c>
      <c r="V581" s="43">
        <f t="shared" si="123"/>
        <v>7.9543610000000001E-3</v>
      </c>
      <c r="W581" s="230">
        <f t="shared" si="124"/>
        <v>0.1440365483175251</v>
      </c>
      <c r="X581" s="43">
        <f t="shared" si="125"/>
        <v>0.79154008499999995</v>
      </c>
      <c r="Y581" s="43">
        <v>91.342220490000003</v>
      </c>
      <c r="Z581" s="43">
        <f t="shared" si="114"/>
        <v>0</v>
      </c>
      <c r="AA581" s="43">
        <f t="shared" si="115"/>
        <v>96880</v>
      </c>
      <c r="AB581" s="43">
        <f t="shared" si="116"/>
        <v>34598</v>
      </c>
      <c r="AC581" s="43">
        <f t="shared" si="126"/>
        <v>3.788298035593219E-2</v>
      </c>
      <c r="AD581" s="43">
        <f t="shared" si="127"/>
        <v>0.86369592135593187</v>
      </c>
      <c r="AF581" s="43">
        <v>12.468741612964298</v>
      </c>
      <c r="AG581" s="43">
        <v>6.7298818999999996E-2</v>
      </c>
      <c r="AH581" s="43">
        <v>1.5319774E-2</v>
      </c>
      <c r="AI581" s="43">
        <v>0.80795031500000003</v>
      </c>
      <c r="AJ581" s="43">
        <v>3.0403431049999998</v>
      </c>
      <c r="AK581" s="43">
        <v>7.522581894</v>
      </c>
      <c r="AL581" s="43">
        <v>7.9543610000000001E-3</v>
      </c>
      <c r="AM581" s="230">
        <v>0.1440365483175251</v>
      </c>
      <c r="AN581" s="43">
        <v>0.79154008499999995</v>
      </c>
    </row>
    <row r="582" spans="1:40" x14ac:dyDescent="0.25">
      <c r="A582" s="134">
        <v>572</v>
      </c>
      <c r="B582" s="134" t="s">
        <v>201</v>
      </c>
      <c r="C582" s="134" t="s">
        <v>61</v>
      </c>
      <c r="D582" s="134" t="s">
        <v>197</v>
      </c>
      <c r="E582" s="134">
        <v>625</v>
      </c>
      <c r="F582" s="134">
        <v>1807</v>
      </c>
      <c r="G582" s="134">
        <v>135</v>
      </c>
      <c r="H582" s="134">
        <v>731</v>
      </c>
      <c r="I582" s="200">
        <v>0.216051589248</v>
      </c>
      <c r="J582" s="134">
        <v>2538</v>
      </c>
      <c r="K582" s="134">
        <v>11747.1943106</v>
      </c>
      <c r="L582" s="42">
        <v>0.83540480531899997</v>
      </c>
      <c r="M582" s="42">
        <v>0.53908554572300005</v>
      </c>
      <c r="N582" s="134">
        <v>1</v>
      </c>
      <c r="O582" s="43" t="s">
        <v>664</v>
      </c>
      <c r="P582" s="43">
        <f t="shared" si="117"/>
        <v>12.92385681877612</v>
      </c>
      <c r="Q582" s="43">
        <f t="shared" si="118"/>
        <v>5.4422655E-2</v>
      </c>
      <c r="R582" s="43">
        <f t="shared" si="119"/>
        <v>1.4140587E-2</v>
      </c>
      <c r="S582" s="43">
        <f t="shared" si="120"/>
        <v>0.83540480500000003</v>
      </c>
      <c r="T582" s="43">
        <f t="shared" si="121"/>
        <v>3.0211180120000001</v>
      </c>
      <c r="U582" s="43">
        <f t="shared" si="122"/>
        <v>7.8223173170000004</v>
      </c>
      <c r="V582" s="43">
        <f t="shared" si="123"/>
        <v>9.1377769999999997E-3</v>
      </c>
      <c r="W582" s="230">
        <f t="shared" si="124"/>
        <v>9.8615288013483599E-2</v>
      </c>
      <c r="X582" s="43">
        <f t="shared" si="125"/>
        <v>0.85118477100000001</v>
      </c>
      <c r="Y582" s="43">
        <v>165.14847520000001</v>
      </c>
      <c r="Z582" s="43">
        <f t="shared" si="114"/>
        <v>0</v>
      </c>
      <c r="AA582" s="43">
        <f t="shared" si="115"/>
        <v>96880</v>
      </c>
      <c r="AB582" s="43">
        <f t="shared" si="116"/>
        <v>34598</v>
      </c>
      <c r="AC582" s="43">
        <f t="shared" si="126"/>
        <v>3.788298035593219E-2</v>
      </c>
      <c r="AD582" s="43">
        <f t="shared" si="127"/>
        <v>0.86369592135593187</v>
      </c>
      <c r="AF582" s="43">
        <v>12.92385681877612</v>
      </c>
      <c r="AG582" s="43">
        <v>5.4422655E-2</v>
      </c>
      <c r="AH582" s="43">
        <v>1.4140587E-2</v>
      </c>
      <c r="AI582" s="43">
        <v>0.83540480500000003</v>
      </c>
      <c r="AJ582" s="43">
        <v>3.0211180120000001</v>
      </c>
      <c r="AK582" s="43">
        <v>7.8223173170000004</v>
      </c>
      <c r="AL582" s="43">
        <v>9.1377769999999997E-3</v>
      </c>
      <c r="AM582" s="230">
        <v>9.8615288013483599E-2</v>
      </c>
      <c r="AN582" s="43">
        <v>0.85118477100000001</v>
      </c>
    </row>
    <row r="583" spans="1:40" x14ac:dyDescent="0.25">
      <c r="A583" s="134">
        <v>573</v>
      </c>
      <c r="B583" s="134" t="s">
        <v>201</v>
      </c>
      <c r="C583" s="134" t="s">
        <v>61</v>
      </c>
      <c r="D583" s="134" t="s">
        <v>197</v>
      </c>
      <c r="E583" s="134">
        <v>461</v>
      </c>
      <c r="F583" s="134">
        <v>1335</v>
      </c>
      <c r="G583" s="134">
        <v>60</v>
      </c>
      <c r="H583" s="134">
        <v>781</v>
      </c>
      <c r="I583" s="200">
        <v>9.5482290247900004E-2</v>
      </c>
      <c r="J583" s="134">
        <v>2116</v>
      </c>
      <c r="K583" s="134">
        <v>22161.177685499999</v>
      </c>
      <c r="L583" s="42">
        <v>0.81086363856300003</v>
      </c>
      <c r="M583" s="42">
        <v>0.62882447665100005</v>
      </c>
      <c r="N583" s="134">
        <v>1</v>
      </c>
      <c r="O583" s="43" t="s">
        <v>664</v>
      </c>
      <c r="P583" s="43">
        <f t="shared" si="117"/>
        <v>12.873812842527899</v>
      </c>
      <c r="Q583" s="43">
        <f t="shared" si="118"/>
        <v>6.1566713000000002E-2</v>
      </c>
      <c r="R583" s="43">
        <f t="shared" si="119"/>
        <v>1.4273884000000001E-2</v>
      </c>
      <c r="S583" s="43">
        <f t="shared" si="120"/>
        <v>0.81086363900000002</v>
      </c>
      <c r="T583" s="43">
        <f t="shared" si="121"/>
        <v>2.928719203</v>
      </c>
      <c r="U583" s="43">
        <f t="shared" si="122"/>
        <v>7.6390753250000003</v>
      </c>
      <c r="V583" s="43">
        <f t="shared" si="123"/>
        <v>1.1113018000000001E-2</v>
      </c>
      <c r="W583" s="230">
        <f t="shared" si="124"/>
        <v>0.11459227034610843</v>
      </c>
      <c r="X583" s="43">
        <f t="shared" si="125"/>
        <v>0.81098785699999998</v>
      </c>
      <c r="Y583" s="43">
        <v>165.03746630000001</v>
      </c>
      <c r="Z583" s="43">
        <f t="shared" si="114"/>
        <v>0</v>
      </c>
      <c r="AA583" s="43">
        <f t="shared" si="115"/>
        <v>96880</v>
      </c>
      <c r="AB583" s="43">
        <f t="shared" si="116"/>
        <v>34598</v>
      </c>
      <c r="AC583" s="43">
        <f t="shared" si="126"/>
        <v>3.788298035593219E-2</v>
      </c>
      <c r="AD583" s="43">
        <f t="shared" si="127"/>
        <v>0.86369592135593187</v>
      </c>
      <c r="AF583" s="43">
        <v>12.873812842527899</v>
      </c>
      <c r="AG583" s="43">
        <v>6.1566713000000002E-2</v>
      </c>
      <c r="AH583" s="43">
        <v>1.4273884000000001E-2</v>
      </c>
      <c r="AI583" s="43">
        <v>0.81086363900000002</v>
      </c>
      <c r="AJ583" s="43">
        <v>2.928719203</v>
      </c>
      <c r="AK583" s="43">
        <v>7.6390753250000003</v>
      </c>
      <c r="AL583" s="43">
        <v>1.1113018000000001E-2</v>
      </c>
      <c r="AM583" s="230">
        <v>0.11459227034610843</v>
      </c>
      <c r="AN583" s="43">
        <v>0.81098785699999998</v>
      </c>
    </row>
    <row r="584" spans="1:40" x14ac:dyDescent="0.25">
      <c r="A584" s="134">
        <v>574</v>
      </c>
      <c r="B584" s="134" t="s">
        <v>201</v>
      </c>
      <c r="C584" s="134" t="s">
        <v>61</v>
      </c>
      <c r="D584" s="134" t="s">
        <v>197</v>
      </c>
      <c r="E584" s="134">
        <v>664</v>
      </c>
      <c r="F584" s="134">
        <v>1921</v>
      </c>
      <c r="G584" s="134">
        <v>52</v>
      </c>
      <c r="H584" s="134">
        <v>159</v>
      </c>
      <c r="I584" s="200">
        <v>8.2208248162600001E-2</v>
      </c>
      <c r="J584" s="134">
        <v>2080</v>
      </c>
      <c r="K584" s="134">
        <v>25301.597424700001</v>
      </c>
      <c r="L584" s="42">
        <v>0.82117385925300002</v>
      </c>
      <c r="M584" s="42">
        <v>0.19319562575900001</v>
      </c>
      <c r="N584" s="134">
        <v>0</v>
      </c>
      <c r="O584" s="43" t="s">
        <v>664</v>
      </c>
      <c r="P584" s="43">
        <f t="shared" si="117"/>
        <v>12.558297057443603</v>
      </c>
      <c r="Q584" s="43">
        <f t="shared" si="118"/>
        <v>6.3415533999999996E-2</v>
      </c>
      <c r="R584" s="43">
        <f t="shared" si="119"/>
        <v>1.5384096E-2</v>
      </c>
      <c r="S584" s="43">
        <f t="shared" si="120"/>
        <v>0.82117385899999995</v>
      </c>
      <c r="T584" s="43">
        <f t="shared" si="121"/>
        <v>3.1654421080000001</v>
      </c>
      <c r="U584" s="43">
        <f t="shared" si="122"/>
        <v>7.5394052179999997</v>
      </c>
      <c r="V584" s="43">
        <f t="shared" si="123"/>
        <v>9.3062700000000002E-3</v>
      </c>
      <c r="W584" s="230">
        <f t="shared" si="124"/>
        <v>0.13995422383845896</v>
      </c>
      <c r="X584" s="43">
        <f t="shared" si="125"/>
        <v>0.80923888399999999</v>
      </c>
      <c r="Y584" s="43">
        <v>169.48128850000001</v>
      </c>
      <c r="Z584" s="43">
        <f t="shared" si="114"/>
        <v>0</v>
      </c>
      <c r="AA584" s="43">
        <f t="shared" si="115"/>
        <v>96880</v>
      </c>
      <c r="AB584" s="43">
        <f t="shared" si="116"/>
        <v>34598</v>
      </c>
      <c r="AC584" s="43">
        <f t="shared" si="126"/>
        <v>3.788298035593219E-2</v>
      </c>
      <c r="AD584" s="43">
        <f t="shared" si="127"/>
        <v>0.86369592135593187</v>
      </c>
      <c r="AF584" s="43">
        <v>12.558297057443603</v>
      </c>
      <c r="AG584" s="43">
        <v>6.3415533999999996E-2</v>
      </c>
      <c r="AH584" s="43">
        <v>1.5384096E-2</v>
      </c>
      <c r="AI584" s="43">
        <v>0.82117385899999995</v>
      </c>
      <c r="AJ584" s="43">
        <v>3.1654421080000001</v>
      </c>
      <c r="AK584" s="43">
        <v>7.5394052179999997</v>
      </c>
      <c r="AL584" s="43">
        <v>9.3062700000000002E-3</v>
      </c>
      <c r="AM584" s="230">
        <v>0.13995422383845896</v>
      </c>
      <c r="AN584" s="43">
        <v>0.80923888399999999</v>
      </c>
    </row>
    <row r="585" spans="1:40" x14ac:dyDescent="0.25">
      <c r="A585" s="134">
        <v>575</v>
      </c>
      <c r="B585" s="134" t="s">
        <v>201</v>
      </c>
      <c r="C585" s="134" t="s">
        <v>61</v>
      </c>
      <c r="D585" s="134" t="s">
        <v>197</v>
      </c>
      <c r="E585" s="134">
        <v>12</v>
      </c>
      <c r="F585" s="134">
        <v>29</v>
      </c>
      <c r="G585" s="134">
        <v>15</v>
      </c>
      <c r="H585" s="134">
        <v>78</v>
      </c>
      <c r="I585" s="200">
        <v>2.54503252787E-2</v>
      </c>
      <c r="J585" s="134">
        <v>107</v>
      </c>
      <c r="K585" s="134">
        <v>4204.26846527</v>
      </c>
      <c r="L585" s="42">
        <v>0.821014960982</v>
      </c>
      <c r="M585" s="42">
        <v>0.86666666666699999</v>
      </c>
      <c r="N585" s="134">
        <v>1</v>
      </c>
      <c r="O585" s="43" t="s">
        <v>664</v>
      </c>
      <c r="P585" s="43">
        <f t="shared" si="117"/>
        <v>12.406693677129153</v>
      </c>
      <c r="Q585" s="43">
        <f t="shared" si="118"/>
        <v>3.6830856000000002E-2</v>
      </c>
      <c r="R585" s="43">
        <f t="shared" si="119"/>
        <v>9.940852E-3</v>
      </c>
      <c r="S585" s="43">
        <f t="shared" si="120"/>
        <v>0.82101496100000004</v>
      </c>
      <c r="T585" s="43">
        <f t="shared" si="121"/>
        <v>3.0402843599999998</v>
      </c>
      <c r="U585" s="43">
        <f t="shared" si="122"/>
        <v>6.4516154329999997</v>
      </c>
      <c r="V585" s="43">
        <f t="shared" si="123"/>
        <v>5.5123669999999998E-3</v>
      </c>
      <c r="W585" s="230">
        <f t="shared" si="124"/>
        <v>3.8586572438162541E-2</v>
      </c>
      <c r="X585" s="43">
        <f t="shared" si="125"/>
        <v>0.79604240299999995</v>
      </c>
      <c r="Y585" s="43">
        <v>175.7702673</v>
      </c>
      <c r="Z585" s="43">
        <f t="shared" si="114"/>
        <v>0</v>
      </c>
      <c r="AA585" s="43">
        <f t="shared" si="115"/>
        <v>96880</v>
      </c>
      <c r="AB585" s="43">
        <f t="shared" si="116"/>
        <v>34598</v>
      </c>
      <c r="AC585" s="43">
        <f t="shared" si="126"/>
        <v>3.788298035593219E-2</v>
      </c>
      <c r="AD585" s="43">
        <f t="shared" si="127"/>
        <v>0.86369592135593187</v>
      </c>
      <c r="AF585" s="43">
        <v>12.406693677129153</v>
      </c>
      <c r="AG585" s="43">
        <v>3.6830856000000002E-2</v>
      </c>
      <c r="AH585" s="43">
        <v>9.940852E-3</v>
      </c>
      <c r="AI585" s="43">
        <v>0.82101496100000004</v>
      </c>
      <c r="AJ585" s="43">
        <v>3.0402843599999998</v>
      </c>
      <c r="AK585" s="43">
        <v>6.4516154329999997</v>
      </c>
      <c r="AL585" s="43">
        <v>5.5123669999999998E-3</v>
      </c>
      <c r="AM585" s="230">
        <v>3.8586572438162541E-2</v>
      </c>
      <c r="AN585" s="43">
        <v>0.79604240299999995</v>
      </c>
    </row>
    <row r="586" spans="1:40" x14ac:dyDescent="0.25">
      <c r="A586" s="134">
        <v>576</v>
      </c>
      <c r="B586" s="134" t="s">
        <v>201</v>
      </c>
      <c r="C586" s="134" t="s">
        <v>61</v>
      </c>
      <c r="D586" s="134" t="s">
        <v>197</v>
      </c>
      <c r="E586" s="134">
        <v>746</v>
      </c>
      <c r="F586" s="134">
        <v>1795</v>
      </c>
      <c r="G586" s="134">
        <v>56</v>
      </c>
      <c r="H586" s="134">
        <v>291</v>
      </c>
      <c r="I586" s="200">
        <v>9.2837309253900005E-2</v>
      </c>
      <c r="J586" s="134">
        <v>2086</v>
      </c>
      <c r="K586" s="134">
        <v>22469.414686399999</v>
      </c>
      <c r="L586" s="42">
        <v>0.79667863786000004</v>
      </c>
      <c r="M586" s="42">
        <v>0.28061716489900002</v>
      </c>
      <c r="N586" s="134">
        <v>1</v>
      </c>
      <c r="O586" s="43" t="s">
        <v>664</v>
      </c>
      <c r="P586" s="43">
        <f t="shared" si="117"/>
        <v>12.663400351140819</v>
      </c>
      <c r="Q586" s="43">
        <f t="shared" si="118"/>
        <v>6.8851538000000004E-2</v>
      </c>
      <c r="R586" s="43">
        <f t="shared" si="119"/>
        <v>1.5836498000000001E-2</v>
      </c>
      <c r="S586" s="43">
        <f t="shared" si="120"/>
        <v>0.79667863800000005</v>
      </c>
      <c r="T586" s="43">
        <f t="shared" si="121"/>
        <v>3.0149496259999999</v>
      </c>
      <c r="U586" s="43">
        <f t="shared" si="122"/>
        <v>7.4354608349999998</v>
      </c>
      <c r="V586" s="43">
        <f t="shared" si="123"/>
        <v>1.1763363000000001E-2</v>
      </c>
      <c r="W586" s="230">
        <f t="shared" si="124"/>
        <v>0.13007217779130253</v>
      </c>
      <c r="X586" s="43">
        <f t="shared" si="125"/>
        <v>0.79054176099999995</v>
      </c>
      <c r="Y586" s="43">
        <v>176.6435151</v>
      </c>
      <c r="Z586" s="43">
        <f t="shared" si="114"/>
        <v>0</v>
      </c>
      <c r="AA586" s="43">
        <f t="shared" si="115"/>
        <v>96880</v>
      </c>
      <c r="AB586" s="43">
        <f t="shared" si="116"/>
        <v>34598</v>
      </c>
      <c r="AC586" s="43">
        <f t="shared" si="126"/>
        <v>3.788298035593219E-2</v>
      </c>
      <c r="AD586" s="43">
        <f t="shared" si="127"/>
        <v>0.86369592135593187</v>
      </c>
      <c r="AF586" s="43">
        <v>12.663400351140819</v>
      </c>
      <c r="AG586" s="43">
        <v>6.8851538000000004E-2</v>
      </c>
      <c r="AH586" s="43">
        <v>1.5836498000000001E-2</v>
      </c>
      <c r="AI586" s="43">
        <v>0.79667863800000005</v>
      </c>
      <c r="AJ586" s="43">
        <v>3.0149496259999999</v>
      </c>
      <c r="AK586" s="43">
        <v>7.4354608349999998</v>
      </c>
      <c r="AL586" s="43">
        <v>1.1763363000000001E-2</v>
      </c>
      <c r="AM586" s="230">
        <v>0.13007217779130253</v>
      </c>
      <c r="AN586" s="43">
        <v>0.79054176099999995</v>
      </c>
    </row>
    <row r="587" spans="1:40" x14ac:dyDescent="0.25">
      <c r="A587" s="134">
        <v>577</v>
      </c>
      <c r="B587" s="134" t="s">
        <v>201</v>
      </c>
      <c r="C587" s="134" t="s">
        <v>61</v>
      </c>
      <c r="D587" s="134" t="s">
        <v>197</v>
      </c>
      <c r="E587" s="134">
        <v>447</v>
      </c>
      <c r="F587" s="134">
        <v>1076</v>
      </c>
      <c r="G587" s="134">
        <v>62</v>
      </c>
      <c r="H587" s="134">
        <v>584</v>
      </c>
      <c r="I587" s="200">
        <v>0.102687319603</v>
      </c>
      <c r="J587" s="134">
        <v>1660</v>
      </c>
      <c r="K587" s="134">
        <v>16165.579220600001</v>
      </c>
      <c r="L587" s="42">
        <v>0.81387793064799996</v>
      </c>
      <c r="M587" s="42">
        <v>0.56644034917599995</v>
      </c>
      <c r="N587" s="134">
        <v>0</v>
      </c>
      <c r="O587" s="43" t="s">
        <v>664</v>
      </c>
      <c r="P587" s="43">
        <f t="shared" si="117"/>
        <v>12.697504572380993</v>
      </c>
      <c r="Q587" s="43">
        <f t="shared" si="118"/>
        <v>5.4894195E-2</v>
      </c>
      <c r="R587" s="43">
        <f t="shared" si="119"/>
        <v>1.4672618E-2</v>
      </c>
      <c r="S587" s="43">
        <f t="shared" si="120"/>
        <v>0.81387793100000005</v>
      </c>
      <c r="T587" s="43">
        <f t="shared" si="121"/>
        <v>2.9438577590000001</v>
      </c>
      <c r="U587" s="43">
        <f t="shared" si="122"/>
        <v>7.154433891</v>
      </c>
      <c r="V587" s="43">
        <f t="shared" si="123"/>
        <v>1.1152598E-2</v>
      </c>
      <c r="W587" s="230">
        <f t="shared" si="124"/>
        <v>0.10227091877333659</v>
      </c>
      <c r="X587" s="43">
        <f t="shared" si="125"/>
        <v>0.81956295499999998</v>
      </c>
      <c r="Y587" s="43">
        <v>25.903311500000001</v>
      </c>
      <c r="Z587" s="43">
        <f t="shared" ref="Z587:Z650" si="128">IF(B587="Berkeley",1,0)</f>
        <v>0</v>
      </c>
      <c r="AA587" s="43">
        <f t="shared" ref="AA587:AA650" si="129">SUMIFS(F:F,B:B,B587)</f>
        <v>96880</v>
      </c>
      <c r="AB587" s="43">
        <f t="shared" ref="AB587:AB650" si="130">SUMIFS(E:E,B:B,B587)</f>
        <v>34598</v>
      </c>
      <c r="AC587" s="43">
        <f t="shared" si="126"/>
        <v>3.788298035593219E-2</v>
      </c>
      <c r="AD587" s="43">
        <f t="shared" si="127"/>
        <v>0.86369592135593187</v>
      </c>
      <c r="AF587" s="43">
        <v>12.697504572380993</v>
      </c>
      <c r="AG587" s="43">
        <v>5.4894195E-2</v>
      </c>
      <c r="AH587" s="43">
        <v>1.4672618E-2</v>
      </c>
      <c r="AI587" s="43">
        <v>0.81387793100000005</v>
      </c>
      <c r="AJ587" s="43">
        <v>2.9438577590000001</v>
      </c>
      <c r="AK587" s="43">
        <v>7.154433891</v>
      </c>
      <c r="AL587" s="43">
        <v>1.1152598E-2</v>
      </c>
      <c r="AM587" s="230">
        <v>0.10227091877333659</v>
      </c>
      <c r="AN587" s="43">
        <v>0.81956295499999998</v>
      </c>
    </row>
    <row r="588" spans="1:40" x14ac:dyDescent="0.25">
      <c r="A588" s="134">
        <v>578</v>
      </c>
      <c r="B588" s="134" t="s">
        <v>201</v>
      </c>
      <c r="C588" s="134" t="s">
        <v>61</v>
      </c>
      <c r="D588" s="134" t="s">
        <v>197</v>
      </c>
      <c r="E588" s="134">
        <v>233</v>
      </c>
      <c r="F588" s="134">
        <v>560</v>
      </c>
      <c r="G588" s="134">
        <v>49</v>
      </c>
      <c r="H588" s="134">
        <v>315</v>
      </c>
      <c r="I588" s="200">
        <v>3.8670444949000002E-2</v>
      </c>
      <c r="J588" s="134">
        <v>875</v>
      </c>
      <c r="K588" s="134">
        <v>22627.099355900002</v>
      </c>
      <c r="L588" s="42">
        <v>0.81605466026999995</v>
      </c>
      <c r="M588" s="42">
        <v>0.57481751824799998</v>
      </c>
      <c r="N588" s="134">
        <v>1</v>
      </c>
      <c r="O588" s="43" t="s">
        <v>664</v>
      </c>
      <c r="P588" s="43">
        <f t="shared" ref="P588:P651" si="131">IF(OR(IFERROR(AF588=0,TRUE),ISERROR(AF588)),AVERAGEIFS(AF:AF,$B:$B,$B588,AF:AF,"&gt;0"),AF588)</f>
        <v>12.685948282066141</v>
      </c>
      <c r="Q588" s="43">
        <f t="shared" ref="Q588:Q651" si="132">IF(OR(IFERROR(AG588=0,TRUE),ISERROR(AG588)),AVERAGEIFS(AG:AG,$B:$B,$B588,AG:AG,"&gt;0"),AG588)</f>
        <v>5.0974905000000001E-2</v>
      </c>
      <c r="R588" s="43">
        <f t="shared" ref="R588:R651" si="133">IF(OR(IFERROR(AH588=0,TRUE),ISERROR(AH588)),AVERAGEIFS(AH:AH,$B:$B,$B588,AH:AH,"&gt;0"),AH588)</f>
        <v>1.3449789E-2</v>
      </c>
      <c r="S588" s="43">
        <f t="shared" ref="S588:S651" si="134">IF(OR(IFERROR(AI588=0,TRUE),ISERROR(AI588)),AVERAGEIFS(AI:AI,$B:$B,$B588,AI:AI,"&gt;0"),AI588)</f>
        <v>0.81605466000000004</v>
      </c>
      <c r="T588" s="43">
        <f t="shared" ref="T588:T651" si="135">IF(OR(IFERROR(AJ588=0,TRUE),ISERROR(AJ588)),AVERAGEIFS(AJ:AJ,$B:$B,$B588,AJ:AJ,"&gt;0"),AJ588)</f>
        <v>2.8356164380000002</v>
      </c>
      <c r="U588" s="43">
        <f t="shared" ref="U588:U651" si="136">IF(OR(IFERROR(AK588=0,TRUE),ISERROR(AK588)),AVERAGEIFS(AK:AK,$B:$B,$B588,AK:AK,"&gt;0"),AK588)</f>
        <v>6.713743687</v>
      </c>
      <c r="V588" s="43">
        <f t="shared" ref="V588:V651" si="137">IF(OR(IFERROR(AL588=0,TRUE),ISERROR(AL588)),AVERAGEIFS(AL:AL,$B:$B,$B588,AL:AL,"&gt;0"),AL588)</f>
        <v>8.9690180000000005E-3</v>
      </c>
      <c r="W588" s="230">
        <f t="shared" ref="W588:W651" si="138">IF(OR(IFERROR(AM588=0,TRUE),ISERROR(AM588)),AVERAGEIFS(AM:AM,$B:$B,$B588,AM:AM,"&gt;0"),AM588)</f>
        <v>9.5768171367433805E-2</v>
      </c>
      <c r="X588" s="43">
        <f t="shared" ref="X588:X651" si="139">IF(OR(IFERROR(AN588=0,TRUE),ISERROR(AN588)),AVERAGEIFS(AN:AN,$B:$B,$B588,AN:AN,"&gt;0"),AN588)</f>
        <v>0.80919210500000005</v>
      </c>
      <c r="Y588" s="43">
        <v>170.58236249999999</v>
      </c>
      <c r="Z588" s="43">
        <f t="shared" si="128"/>
        <v>0</v>
      </c>
      <c r="AA588" s="43">
        <f t="shared" si="129"/>
        <v>96880</v>
      </c>
      <c r="AB588" s="43">
        <f t="shared" si="130"/>
        <v>34598</v>
      </c>
      <c r="AC588" s="43">
        <f t="shared" ref="AC588:AC651" si="140">AVERAGEIFS(Q:Q,B:B,B588,N:N,0,Q:Q,"&gt;0")</f>
        <v>3.788298035593219E-2</v>
      </c>
      <c r="AD588" s="43">
        <f t="shared" ref="AD588:AD651" si="141">AVERAGEIFS(S:S,B:B,B588,N:N,0,S:S,"&gt;0")</f>
        <v>0.86369592135593187</v>
      </c>
      <c r="AF588" s="43">
        <v>12.685948282066141</v>
      </c>
      <c r="AG588" s="43">
        <v>5.0974905000000001E-2</v>
      </c>
      <c r="AH588" s="43">
        <v>1.3449789E-2</v>
      </c>
      <c r="AI588" s="43">
        <v>0.81605466000000004</v>
      </c>
      <c r="AJ588" s="43">
        <v>2.8356164380000002</v>
      </c>
      <c r="AK588" s="43">
        <v>6.713743687</v>
      </c>
      <c r="AL588" s="43">
        <v>8.9690180000000005E-3</v>
      </c>
      <c r="AM588" s="230">
        <v>9.5768171367433805E-2</v>
      </c>
      <c r="AN588" s="43">
        <v>0.80919210500000005</v>
      </c>
    </row>
    <row r="589" spans="1:40" x14ac:dyDescent="0.25">
      <c r="A589" s="134">
        <v>579</v>
      </c>
      <c r="B589" s="134" t="s">
        <v>201</v>
      </c>
      <c r="C589" s="134" t="s">
        <v>61</v>
      </c>
      <c r="D589" s="134" t="s">
        <v>197</v>
      </c>
      <c r="E589" s="134">
        <v>434</v>
      </c>
      <c r="F589" s="134">
        <v>1045</v>
      </c>
      <c r="G589" s="134">
        <v>56</v>
      </c>
      <c r="H589" s="134">
        <v>1276</v>
      </c>
      <c r="I589" s="200">
        <v>9.2313531391E-2</v>
      </c>
      <c r="J589" s="134">
        <v>2321</v>
      </c>
      <c r="K589" s="134">
        <v>25142.576229400001</v>
      </c>
      <c r="L589" s="42">
        <v>0.80493886985700003</v>
      </c>
      <c r="M589" s="42">
        <v>0.74619883040900004</v>
      </c>
      <c r="N589" s="134">
        <v>1</v>
      </c>
      <c r="O589" s="43" t="s">
        <v>664</v>
      </c>
      <c r="P589" s="43">
        <f t="shared" si="131"/>
        <v>13.125580955291939</v>
      </c>
      <c r="Q589" s="43">
        <f t="shared" si="132"/>
        <v>6.3165751000000006E-2</v>
      </c>
      <c r="R589" s="43">
        <f t="shared" si="133"/>
        <v>1.2903385999999999E-2</v>
      </c>
      <c r="S589" s="43">
        <f t="shared" si="134"/>
        <v>0.80493886999999997</v>
      </c>
      <c r="T589" s="43">
        <f t="shared" si="135"/>
        <v>2.8044192090000002</v>
      </c>
      <c r="U589" s="43">
        <f t="shared" si="136"/>
        <v>6.8112836190000001</v>
      </c>
      <c r="V589" s="43">
        <f t="shared" si="137"/>
        <v>1.1773489999999999E-2</v>
      </c>
      <c r="W589" s="230">
        <f t="shared" si="138"/>
        <v>0.13011356937949464</v>
      </c>
      <c r="X589" s="43">
        <f t="shared" si="139"/>
        <v>0.78651314500000002</v>
      </c>
      <c r="Y589" s="43">
        <v>158.0527395</v>
      </c>
      <c r="Z589" s="43">
        <f t="shared" si="128"/>
        <v>0</v>
      </c>
      <c r="AA589" s="43">
        <f t="shared" si="129"/>
        <v>96880</v>
      </c>
      <c r="AB589" s="43">
        <f t="shared" si="130"/>
        <v>34598</v>
      </c>
      <c r="AC589" s="43">
        <f t="shared" si="140"/>
        <v>3.788298035593219E-2</v>
      </c>
      <c r="AD589" s="43">
        <f t="shared" si="141"/>
        <v>0.86369592135593187</v>
      </c>
      <c r="AF589" s="43">
        <v>13.125580955291939</v>
      </c>
      <c r="AG589" s="43">
        <v>6.3165751000000006E-2</v>
      </c>
      <c r="AH589" s="43">
        <v>1.2903385999999999E-2</v>
      </c>
      <c r="AI589" s="43">
        <v>0.80493886999999997</v>
      </c>
      <c r="AJ589" s="43">
        <v>2.8044192090000002</v>
      </c>
      <c r="AK589" s="43">
        <v>6.8112836190000001</v>
      </c>
      <c r="AL589" s="43">
        <v>1.1773489999999999E-2</v>
      </c>
      <c r="AM589" s="230">
        <v>0.13011356937949464</v>
      </c>
      <c r="AN589" s="43">
        <v>0.78651314500000002</v>
      </c>
    </row>
    <row r="590" spans="1:40" x14ac:dyDescent="0.25">
      <c r="A590" s="134">
        <v>580</v>
      </c>
      <c r="B590" s="134" t="s">
        <v>201</v>
      </c>
      <c r="C590" s="134" t="s">
        <v>61</v>
      </c>
      <c r="D590" s="134" t="s">
        <v>197</v>
      </c>
      <c r="E590" s="134">
        <v>210</v>
      </c>
      <c r="F590" s="134">
        <v>506</v>
      </c>
      <c r="G590" s="134">
        <v>34</v>
      </c>
      <c r="H590" s="134">
        <v>939</v>
      </c>
      <c r="I590" s="200">
        <v>5.6280351876299997E-2</v>
      </c>
      <c r="J590" s="134">
        <v>1445</v>
      </c>
      <c r="K590" s="134">
        <v>25675.034924700001</v>
      </c>
      <c r="L590" s="42">
        <v>0.82376926016499996</v>
      </c>
      <c r="M590" s="42">
        <v>0.817232375979</v>
      </c>
      <c r="N590" s="134">
        <v>1</v>
      </c>
      <c r="O590" s="43" t="s">
        <v>664</v>
      </c>
      <c r="P590" s="43">
        <f t="shared" si="131"/>
        <v>13.388453800706156</v>
      </c>
      <c r="Q590" s="43">
        <f t="shared" si="132"/>
        <v>5.8660720999999999E-2</v>
      </c>
      <c r="R590" s="43">
        <f t="shared" si="133"/>
        <v>1.2822178E-2</v>
      </c>
      <c r="S590" s="43">
        <f t="shared" si="134"/>
        <v>0.82376925999999995</v>
      </c>
      <c r="T590" s="43">
        <f t="shared" si="135"/>
        <v>3.155783987</v>
      </c>
      <c r="U590" s="43">
        <f t="shared" si="136"/>
        <v>7.7022471450000003</v>
      </c>
      <c r="V590" s="43">
        <f t="shared" si="137"/>
        <v>1.1401058E-2</v>
      </c>
      <c r="W590" s="230">
        <f t="shared" si="138"/>
        <v>0.10183677108720204</v>
      </c>
      <c r="X590" s="43">
        <f t="shared" si="139"/>
        <v>0.81905724300000005</v>
      </c>
      <c r="Y590" s="43">
        <v>116.2513185</v>
      </c>
      <c r="Z590" s="43">
        <f t="shared" si="128"/>
        <v>0</v>
      </c>
      <c r="AA590" s="43">
        <f t="shared" si="129"/>
        <v>96880</v>
      </c>
      <c r="AB590" s="43">
        <f t="shared" si="130"/>
        <v>34598</v>
      </c>
      <c r="AC590" s="43">
        <f t="shared" si="140"/>
        <v>3.788298035593219E-2</v>
      </c>
      <c r="AD590" s="43">
        <f t="shared" si="141"/>
        <v>0.86369592135593187</v>
      </c>
      <c r="AF590" s="43">
        <v>13.388453800706156</v>
      </c>
      <c r="AG590" s="43">
        <v>5.8660720999999999E-2</v>
      </c>
      <c r="AH590" s="43">
        <v>1.2822178E-2</v>
      </c>
      <c r="AI590" s="43">
        <v>0.82376925999999995</v>
      </c>
      <c r="AJ590" s="43">
        <v>3.155783987</v>
      </c>
      <c r="AK590" s="43">
        <v>7.7022471450000003</v>
      </c>
      <c r="AL590" s="43">
        <v>1.1401058E-2</v>
      </c>
      <c r="AM590" s="230">
        <v>0.10183677108720204</v>
      </c>
      <c r="AN590" s="43">
        <v>0.81905724300000005</v>
      </c>
    </row>
    <row r="591" spans="1:40" x14ac:dyDescent="0.25">
      <c r="A591" s="134">
        <v>581</v>
      </c>
      <c r="B591" s="134" t="s">
        <v>201</v>
      </c>
      <c r="C591" s="134" t="s">
        <v>61</v>
      </c>
      <c r="D591" s="134" t="s">
        <v>197</v>
      </c>
      <c r="E591" s="134">
        <v>649</v>
      </c>
      <c r="F591" s="134">
        <v>1560</v>
      </c>
      <c r="G591" s="134">
        <v>47</v>
      </c>
      <c r="H591" s="134">
        <v>1055</v>
      </c>
      <c r="I591" s="200">
        <v>7.8423521023299997E-2</v>
      </c>
      <c r="J591" s="134">
        <v>2615</v>
      </c>
      <c r="K591" s="134">
        <v>33344.588025099998</v>
      </c>
      <c r="L591" s="42">
        <v>0.81569792023200005</v>
      </c>
      <c r="M591" s="42">
        <v>0.61913145539900005</v>
      </c>
      <c r="N591" s="134">
        <v>0</v>
      </c>
      <c r="O591" s="43" t="s">
        <v>627</v>
      </c>
      <c r="P591" s="43">
        <f t="shared" si="131"/>
        <v>12.798002616300611</v>
      </c>
      <c r="Q591" s="43">
        <f t="shared" si="132"/>
        <v>5.5553765999999997E-2</v>
      </c>
      <c r="R591" s="43">
        <f t="shared" si="133"/>
        <v>1.5283175E-2</v>
      </c>
      <c r="S591" s="43">
        <f t="shared" si="134"/>
        <v>0.81569791999999997</v>
      </c>
      <c r="T591" s="43">
        <f t="shared" si="135"/>
        <v>3.1336314609999998</v>
      </c>
      <c r="U591" s="43">
        <f t="shared" si="136"/>
        <v>7.2896029220000003</v>
      </c>
      <c r="V591" s="43">
        <f t="shared" si="137"/>
        <v>1.4685706999999999E-2</v>
      </c>
      <c r="W591" s="230">
        <f t="shared" si="138"/>
        <v>0.10865396607632824</v>
      </c>
      <c r="X591" s="43">
        <f t="shared" si="139"/>
        <v>0.81265589900000001</v>
      </c>
      <c r="Y591" s="43">
        <v>116.3964505</v>
      </c>
      <c r="Z591" s="43">
        <f t="shared" si="128"/>
        <v>0</v>
      </c>
      <c r="AA591" s="43">
        <f t="shared" si="129"/>
        <v>96880</v>
      </c>
      <c r="AB591" s="43">
        <f t="shared" si="130"/>
        <v>34598</v>
      </c>
      <c r="AC591" s="43">
        <f t="shared" si="140"/>
        <v>3.788298035593219E-2</v>
      </c>
      <c r="AD591" s="43">
        <f t="shared" si="141"/>
        <v>0.86369592135593187</v>
      </c>
      <c r="AF591" s="43">
        <v>12.798002616300611</v>
      </c>
      <c r="AG591" s="43">
        <v>5.5553765999999997E-2</v>
      </c>
      <c r="AH591" s="43">
        <v>1.5283175E-2</v>
      </c>
      <c r="AI591" s="43">
        <v>0.81569791999999997</v>
      </c>
      <c r="AJ591" s="43">
        <v>3.1336314609999998</v>
      </c>
      <c r="AK591" s="43">
        <v>7.2896029220000003</v>
      </c>
      <c r="AL591" s="43">
        <v>1.4685706999999999E-2</v>
      </c>
      <c r="AM591" s="230">
        <v>0.10865396607632824</v>
      </c>
      <c r="AN591" s="43">
        <v>0.81265589900000001</v>
      </c>
    </row>
    <row r="592" spans="1:40" x14ac:dyDescent="0.25">
      <c r="A592" s="134">
        <v>582</v>
      </c>
      <c r="B592" s="134" t="s">
        <v>201</v>
      </c>
      <c r="C592" s="134" t="s">
        <v>61</v>
      </c>
      <c r="D592" s="134" t="s">
        <v>197</v>
      </c>
      <c r="E592" s="134">
        <v>14</v>
      </c>
      <c r="F592" s="134">
        <v>33</v>
      </c>
      <c r="G592" s="134">
        <v>37</v>
      </c>
      <c r="H592" s="134">
        <v>303</v>
      </c>
      <c r="I592" s="200">
        <v>5.9963535632199999E-2</v>
      </c>
      <c r="J592" s="134">
        <v>336</v>
      </c>
      <c r="K592" s="134">
        <v>5603.4054106000003</v>
      </c>
      <c r="L592" s="42">
        <v>0.83083113399399999</v>
      </c>
      <c r="M592" s="42">
        <v>0.955835962145</v>
      </c>
      <c r="N592" s="134">
        <v>1</v>
      </c>
      <c r="O592" s="43" t="s">
        <v>664</v>
      </c>
      <c r="P592" s="43">
        <f t="shared" si="131"/>
        <v>13.397587501251691</v>
      </c>
      <c r="Q592" s="43">
        <f t="shared" si="132"/>
        <v>4.9820446999999997E-2</v>
      </c>
      <c r="R592" s="43">
        <f t="shared" si="133"/>
        <v>1.0567646E-2</v>
      </c>
      <c r="S592" s="43">
        <f t="shared" si="134"/>
        <v>0.83083113399999997</v>
      </c>
      <c r="T592" s="43">
        <f t="shared" si="135"/>
        <v>2.8767054070000002</v>
      </c>
      <c r="U592" s="43">
        <f t="shared" si="136"/>
        <v>7.0758901060000001</v>
      </c>
      <c r="V592" s="43">
        <f t="shared" si="137"/>
        <v>8.51879E-3</v>
      </c>
      <c r="W592" s="230">
        <f t="shared" si="138"/>
        <v>7.1533382245047697E-2</v>
      </c>
      <c r="X592" s="43">
        <f t="shared" si="139"/>
        <v>0.83247737799999999</v>
      </c>
      <c r="Y592" s="43">
        <v>157.572159</v>
      </c>
      <c r="Z592" s="43">
        <f t="shared" si="128"/>
        <v>0</v>
      </c>
      <c r="AA592" s="43">
        <f t="shared" si="129"/>
        <v>96880</v>
      </c>
      <c r="AB592" s="43">
        <f t="shared" si="130"/>
        <v>34598</v>
      </c>
      <c r="AC592" s="43">
        <f t="shared" si="140"/>
        <v>3.788298035593219E-2</v>
      </c>
      <c r="AD592" s="43">
        <f t="shared" si="141"/>
        <v>0.86369592135593187</v>
      </c>
      <c r="AF592" s="43">
        <v>13.397587501251691</v>
      </c>
      <c r="AG592" s="43">
        <v>4.9820446999999997E-2</v>
      </c>
      <c r="AH592" s="43">
        <v>1.0567646E-2</v>
      </c>
      <c r="AI592" s="43">
        <v>0.83083113399999997</v>
      </c>
      <c r="AJ592" s="43">
        <v>2.8767054070000002</v>
      </c>
      <c r="AK592" s="43">
        <v>7.0758901060000001</v>
      </c>
      <c r="AL592" s="43">
        <v>8.51879E-3</v>
      </c>
      <c r="AM592" s="230">
        <v>7.1533382245047697E-2</v>
      </c>
      <c r="AN592" s="43">
        <v>0.83247737799999999</v>
      </c>
    </row>
    <row r="593" spans="1:40" x14ac:dyDescent="0.25">
      <c r="A593" s="134">
        <v>583</v>
      </c>
      <c r="B593" s="134" t="s">
        <v>201</v>
      </c>
      <c r="C593" s="134" t="s">
        <v>61</v>
      </c>
      <c r="D593" s="134" t="s">
        <v>197</v>
      </c>
      <c r="E593" s="134">
        <v>57</v>
      </c>
      <c r="F593" s="134">
        <v>137</v>
      </c>
      <c r="G593" s="134">
        <v>34</v>
      </c>
      <c r="H593" s="134">
        <v>527</v>
      </c>
      <c r="I593" s="200">
        <v>5.6591661659899997E-2</v>
      </c>
      <c r="J593" s="134">
        <v>664</v>
      </c>
      <c r="K593" s="134">
        <v>11733.1773008</v>
      </c>
      <c r="L593" s="42">
        <v>0.81176061238700004</v>
      </c>
      <c r="M593" s="42">
        <v>0.90239726027400002</v>
      </c>
      <c r="N593" s="134">
        <v>1</v>
      </c>
      <c r="O593" s="43" t="s">
        <v>664</v>
      </c>
      <c r="P593" s="43">
        <f t="shared" si="131"/>
        <v>13.244124779849759</v>
      </c>
      <c r="Q593" s="43">
        <f t="shared" si="132"/>
        <v>6.5675017000000002E-2</v>
      </c>
      <c r="R593" s="43">
        <f t="shared" si="133"/>
        <v>1.1203897000000001E-2</v>
      </c>
      <c r="S593" s="43">
        <f t="shared" si="134"/>
        <v>0.81176061200000005</v>
      </c>
      <c r="T593" s="43">
        <f t="shared" si="135"/>
        <v>2.810943983</v>
      </c>
      <c r="U593" s="43">
        <f t="shared" si="136"/>
        <v>7.0599000079999996</v>
      </c>
      <c r="V593" s="43">
        <f t="shared" si="137"/>
        <v>8.7822279999999996E-3</v>
      </c>
      <c r="W593" s="230">
        <f t="shared" si="138"/>
        <v>0.11570415857678241</v>
      </c>
      <c r="X593" s="43">
        <f t="shared" si="139"/>
        <v>0.79599945800000005</v>
      </c>
      <c r="Y593" s="43">
        <v>160.8370774</v>
      </c>
      <c r="Z593" s="43">
        <f t="shared" si="128"/>
        <v>0</v>
      </c>
      <c r="AA593" s="43">
        <f t="shared" si="129"/>
        <v>96880</v>
      </c>
      <c r="AB593" s="43">
        <f t="shared" si="130"/>
        <v>34598</v>
      </c>
      <c r="AC593" s="43">
        <f t="shared" si="140"/>
        <v>3.788298035593219E-2</v>
      </c>
      <c r="AD593" s="43">
        <f t="shared" si="141"/>
        <v>0.86369592135593187</v>
      </c>
      <c r="AF593" s="43">
        <v>13.244124779849759</v>
      </c>
      <c r="AG593" s="43">
        <v>6.5675017000000002E-2</v>
      </c>
      <c r="AH593" s="43">
        <v>1.1203897000000001E-2</v>
      </c>
      <c r="AI593" s="43">
        <v>0.81176061200000005</v>
      </c>
      <c r="AJ593" s="43">
        <v>2.810943983</v>
      </c>
      <c r="AK593" s="43">
        <v>7.0599000079999996</v>
      </c>
      <c r="AL593" s="43">
        <v>8.7822279999999996E-3</v>
      </c>
      <c r="AM593" s="230">
        <v>0.11570415857678241</v>
      </c>
      <c r="AN593" s="43">
        <v>0.79599945800000005</v>
      </c>
    </row>
    <row r="594" spans="1:40" x14ac:dyDescent="0.25">
      <c r="A594" s="134">
        <v>584</v>
      </c>
      <c r="B594" s="134" t="s">
        <v>201</v>
      </c>
      <c r="C594" s="134" t="s">
        <v>61</v>
      </c>
      <c r="D594" s="134" t="s">
        <v>197</v>
      </c>
      <c r="E594" s="134">
        <v>850</v>
      </c>
      <c r="F594" s="134">
        <v>2790</v>
      </c>
      <c r="G594" s="134">
        <v>131</v>
      </c>
      <c r="H594" s="134">
        <v>87</v>
      </c>
      <c r="I594" s="200">
        <v>0.18800615945099999</v>
      </c>
      <c r="J594" s="134">
        <v>2877</v>
      </c>
      <c r="K594" s="134">
        <v>15302.690126699999</v>
      </c>
      <c r="L594" s="42">
        <v>0.83911976531700005</v>
      </c>
      <c r="M594" s="42">
        <v>9.2849519743900003E-2</v>
      </c>
      <c r="N594" s="134">
        <v>0</v>
      </c>
      <c r="O594" s="43" t="s">
        <v>664</v>
      </c>
      <c r="P594" s="43">
        <f t="shared" si="131"/>
        <v>12.796841670894608</v>
      </c>
      <c r="Q594" s="43">
        <f t="shared" si="132"/>
        <v>6.5797261999999995E-2</v>
      </c>
      <c r="R594" s="43">
        <f t="shared" si="133"/>
        <v>1.5119178E-2</v>
      </c>
      <c r="S594" s="43">
        <f t="shared" si="134"/>
        <v>0.83911976499999996</v>
      </c>
      <c r="T594" s="43">
        <f t="shared" si="135"/>
        <v>3.516969784</v>
      </c>
      <c r="U594" s="43">
        <f t="shared" si="136"/>
        <v>8.5801293600000008</v>
      </c>
      <c r="V594" s="43">
        <f t="shared" si="137"/>
        <v>4.7458459999999997E-3</v>
      </c>
      <c r="W594" s="230">
        <f t="shared" si="138"/>
        <v>0.14086974897202681</v>
      </c>
      <c r="X594" s="43">
        <f t="shared" si="139"/>
        <v>0.82470305399999999</v>
      </c>
      <c r="Y594" s="43">
        <v>127.4999609</v>
      </c>
      <c r="Z594" s="43">
        <f t="shared" si="128"/>
        <v>0</v>
      </c>
      <c r="AA594" s="43">
        <f t="shared" si="129"/>
        <v>96880</v>
      </c>
      <c r="AB594" s="43">
        <f t="shared" si="130"/>
        <v>34598</v>
      </c>
      <c r="AC594" s="43">
        <f t="shared" si="140"/>
        <v>3.788298035593219E-2</v>
      </c>
      <c r="AD594" s="43">
        <f t="shared" si="141"/>
        <v>0.86369592135593187</v>
      </c>
      <c r="AF594" s="43">
        <v>12.796841670894608</v>
      </c>
      <c r="AG594" s="43">
        <v>6.5797261999999995E-2</v>
      </c>
      <c r="AH594" s="43">
        <v>1.5119178E-2</v>
      </c>
      <c r="AI594" s="43">
        <v>0.83911976499999996</v>
      </c>
      <c r="AJ594" s="43">
        <v>3.516969784</v>
      </c>
      <c r="AK594" s="43">
        <v>8.5801293600000008</v>
      </c>
      <c r="AL594" s="43">
        <v>4.7458459999999997E-3</v>
      </c>
      <c r="AM594" s="230">
        <v>0.14086974897202681</v>
      </c>
      <c r="AN594" s="43">
        <v>0.82470305399999999</v>
      </c>
    </row>
    <row r="595" spans="1:40" x14ac:dyDescent="0.25">
      <c r="A595" s="134">
        <v>585</v>
      </c>
      <c r="B595" s="134" t="s">
        <v>201</v>
      </c>
      <c r="C595" s="134" t="s">
        <v>61</v>
      </c>
      <c r="D595" s="134" t="s">
        <v>197</v>
      </c>
      <c r="E595" s="134">
        <v>179</v>
      </c>
      <c r="F595" s="134">
        <v>587</v>
      </c>
      <c r="G595" s="134">
        <v>76</v>
      </c>
      <c r="H595" s="134">
        <v>289</v>
      </c>
      <c r="I595" s="200">
        <v>7.8242160183399995E-2</v>
      </c>
      <c r="J595" s="134">
        <v>876</v>
      </c>
      <c r="K595" s="134">
        <v>11196.0098999</v>
      </c>
      <c r="L595" s="42">
        <v>0.86163316015400004</v>
      </c>
      <c r="M595" s="42">
        <v>0.61752136752099995</v>
      </c>
      <c r="N595" s="134">
        <v>0</v>
      </c>
      <c r="O595" s="43" t="s">
        <v>666</v>
      </c>
      <c r="P595" s="43">
        <f t="shared" si="131"/>
        <v>13.248819300264648</v>
      </c>
      <c r="Q595" s="43">
        <f t="shared" si="132"/>
        <v>3.8988028000000001E-2</v>
      </c>
      <c r="R595" s="43">
        <f t="shared" si="133"/>
        <v>1.2920714E-2</v>
      </c>
      <c r="S595" s="43">
        <f t="shared" si="134"/>
        <v>0.86163316000000001</v>
      </c>
      <c r="T595" s="43">
        <f t="shared" si="135"/>
        <v>3.2337549060000002</v>
      </c>
      <c r="U595" s="43">
        <f t="shared" si="136"/>
        <v>8.1653729179999992</v>
      </c>
      <c r="V595" s="43">
        <f t="shared" si="137"/>
        <v>6.3401209999999998E-3</v>
      </c>
      <c r="W595" s="230">
        <f t="shared" si="138"/>
        <v>6.5690698954320309E-2</v>
      </c>
      <c r="X595" s="43">
        <f t="shared" si="139"/>
        <v>0.87189873399999995</v>
      </c>
      <c r="Y595" s="43">
        <v>102.29494320000001</v>
      </c>
      <c r="Z595" s="43">
        <f t="shared" si="128"/>
        <v>0</v>
      </c>
      <c r="AA595" s="43">
        <f t="shared" si="129"/>
        <v>96880</v>
      </c>
      <c r="AB595" s="43">
        <f t="shared" si="130"/>
        <v>34598</v>
      </c>
      <c r="AC595" s="43">
        <f t="shared" si="140"/>
        <v>3.788298035593219E-2</v>
      </c>
      <c r="AD595" s="43">
        <f t="shared" si="141"/>
        <v>0.86369592135593187</v>
      </c>
      <c r="AF595" s="43">
        <v>13.248819300264648</v>
      </c>
      <c r="AG595" s="43">
        <v>3.8988028000000001E-2</v>
      </c>
      <c r="AH595" s="43">
        <v>1.2920714E-2</v>
      </c>
      <c r="AI595" s="43">
        <v>0.86163316000000001</v>
      </c>
      <c r="AJ595" s="43">
        <v>3.2337549060000002</v>
      </c>
      <c r="AK595" s="43">
        <v>8.1653729179999992</v>
      </c>
      <c r="AL595" s="43">
        <v>6.3401209999999998E-3</v>
      </c>
      <c r="AM595" s="230">
        <v>6.5690698954320309E-2</v>
      </c>
      <c r="AN595" s="43">
        <v>0.87189873399999995</v>
      </c>
    </row>
    <row r="596" spans="1:40" x14ac:dyDescent="0.25">
      <c r="A596" s="134">
        <v>586</v>
      </c>
      <c r="B596" s="134" t="s">
        <v>201</v>
      </c>
      <c r="C596" s="134" t="s">
        <v>61</v>
      </c>
      <c r="D596" s="134" t="s">
        <v>197</v>
      </c>
      <c r="E596" s="134">
        <v>322</v>
      </c>
      <c r="F596" s="134">
        <v>1057</v>
      </c>
      <c r="G596" s="134">
        <v>142</v>
      </c>
      <c r="H596" s="134">
        <v>178</v>
      </c>
      <c r="I596" s="200">
        <v>9.5874197296799996E-2</v>
      </c>
      <c r="J596" s="134">
        <v>1235</v>
      </c>
      <c r="K596" s="134">
        <v>12881.4637809</v>
      </c>
      <c r="L596" s="42">
        <v>0.83680083256500004</v>
      </c>
      <c r="M596" s="42">
        <v>0.35599999999999998</v>
      </c>
      <c r="N596" s="134">
        <v>1</v>
      </c>
      <c r="O596" s="43" t="s">
        <v>664</v>
      </c>
      <c r="P596" s="43">
        <f t="shared" si="131"/>
        <v>12.520637426793222</v>
      </c>
      <c r="Q596" s="43">
        <f t="shared" si="132"/>
        <v>5.4924639999999997E-2</v>
      </c>
      <c r="R596" s="43">
        <f t="shared" si="133"/>
        <v>1.3971937E-2</v>
      </c>
      <c r="S596" s="43">
        <f t="shared" si="134"/>
        <v>0.83680083299999997</v>
      </c>
      <c r="T596" s="43">
        <f t="shared" si="135"/>
        <v>3.0448634590000001</v>
      </c>
      <c r="U596" s="43">
        <f t="shared" si="136"/>
        <v>7.860525419</v>
      </c>
      <c r="V596" s="43">
        <f t="shared" si="137"/>
        <v>6.0524649999999999E-3</v>
      </c>
      <c r="W596" s="230">
        <f t="shared" si="138"/>
        <v>0.1002217079604486</v>
      </c>
      <c r="X596" s="43">
        <f t="shared" si="139"/>
        <v>0.84265208000000003</v>
      </c>
      <c r="Y596" s="43">
        <v>76.11004475</v>
      </c>
      <c r="Z596" s="43">
        <f t="shared" si="128"/>
        <v>0</v>
      </c>
      <c r="AA596" s="43">
        <f t="shared" si="129"/>
        <v>96880</v>
      </c>
      <c r="AB596" s="43">
        <f t="shared" si="130"/>
        <v>34598</v>
      </c>
      <c r="AC596" s="43">
        <f t="shared" si="140"/>
        <v>3.788298035593219E-2</v>
      </c>
      <c r="AD596" s="43">
        <f t="shared" si="141"/>
        <v>0.86369592135593187</v>
      </c>
      <c r="AF596" s="43">
        <v>12.520637426793222</v>
      </c>
      <c r="AG596" s="43">
        <v>5.4924639999999997E-2</v>
      </c>
      <c r="AH596" s="43">
        <v>1.3971937E-2</v>
      </c>
      <c r="AI596" s="43">
        <v>0.83680083299999997</v>
      </c>
      <c r="AJ596" s="43">
        <v>3.0448634590000001</v>
      </c>
      <c r="AK596" s="43">
        <v>7.860525419</v>
      </c>
      <c r="AL596" s="43">
        <v>6.0524649999999999E-3</v>
      </c>
      <c r="AM596" s="230">
        <v>0.1002217079604486</v>
      </c>
      <c r="AN596" s="43">
        <v>0.84265208000000003</v>
      </c>
    </row>
    <row r="597" spans="1:40" x14ac:dyDescent="0.25">
      <c r="A597" s="134">
        <v>587</v>
      </c>
      <c r="B597" s="134" t="s">
        <v>201</v>
      </c>
      <c r="C597" s="134" t="s">
        <v>61</v>
      </c>
      <c r="D597" s="134" t="s">
        <v>197</v>
      </c>
      <c r="E597" s="134">
        <v>725</v>
      </c>
      <c r="F597" s="134">
        <v>2330</v>
      </c>
      <c r="G597" s="134">
        <v>298</v>
      </c>
      <c r="H597" s="134">
        <v>1739</v>
      </c>
      <c r="I597" s="200">
        <v>0.360600651858</v>
      </c>
      <c r="J597" s="134">
        <v>4069</v>
      </c>
      <c r="K597" s="134">
        <v>11283.950761100001</v>
      </c>
      <c r="L597" s="42">
        <v>0.86078449514400002</v>
      </c>
      <c r="M597" s="42">
        <v>0.705762987013</v>
      </c>
      <c r="N597" s="134">
        <v>0</v>
      </c>
      <c r="O597" s="43" t="s">
        <v>664</v>
      </c>
      <c r="P597" s="43">
        <f t="shared" si="131"/>
        <v>14.25737803262256</v>
      </c>
      <c r="Q597" s="43">
        <f t="shared" si="132"/>
        <v>3.0961908999999999E-2</v>
      </c>
      <c r="R597" s="43">
        <f t="shared" si="133"/>
        <v>1.2524062000000001E-2</v>
      </c>
      <c r="S597" s="43">
        <f t="shared" si="134"/>
        <v>0.86078449499999998</v>
      </c>
      <c r="T597" s="43">
        <f t="shared" si="135"/>
        <v>3.6957482910000001</v>
      </c>
      <c r="U597" s="43">
        <f t="shared" si="136"/>
        <v>8.4533203530000005</v>
      </c>
      <c r="V597" s="43">
        <f t="shared" si="137"/>
        <v>8.0657720000000006E-3</v>
      </c>
      <c r="W597" s="230">
        <f t="shared" si="138"/>
        <v>5.8249128056521764E-2</v>
      </c>
      <c r="X597" s="43">
        <f t="shared" si="139"/>
        <v>0.879480657</v>
      </c>
      <c r="Y597" s="43">
        <v>31.160393089999999</v>
      </c>
      <c r="Z597" s="43">
        <f t="shared" si="128"/>
        <v>0</v>
      </c>
      <c r="AA597" s="43">
        <f t="shared" si="129"/>
        <v>96880</v>
      </c>
      <c r="AB597" s="43">
        <f t="shared" si="130"/>
        <v>34598</v>
      </c>
      <c r="AC597" s="43">
        <f t="shared" si="140"/>
        <v>3.788298035593219E-2</v>
      </c>
      <c r="AD597" s="43">
        <f t="shared" si="141"/>
        <v>0.86369592135593187</v>
      </c>
      <c r="AF597" s="43">
        <v>14.25737803262256</v>
      </c>
      <c r="AG597" s="43">
        <v>3.0961908999999999E-2</v>
      </c>
      <c r="AH597" s="43">
        <v>1.2524062000000001E-2</v>
      </c>
      <c r="AI597" s="43">
        <v>0.86078449499999998</v>
      </c>
      <c r="AJ597" s="43">
        <v>3.6957482910000001</v>
      </c>
      <c r="AK597" s="43">
        <v>8.4533203530000005</v>
      </c>
      <c r="AL597" s="43">
        <v>8.0657720000000006E-3</v>
      </c>
      <c r="AM597" s="230">
        <v>5.8249128056521764E-2</v>
      </c>
      <c r="AN597" s="43">
        <v>0.879480657</v>
      </c>
    </row>
    <row r="598" spans="1:40" x14ac:dyDescent="0.25">
      <c r="A598" s="134">
        <v>588</v>
      </c>
      <c r="B598" s="134" t="s">
        <v>201</v>
      </c>
      <c r="C598" s="134" t="s">
        <v>61</v>
      </c>
      <c r="D598" s="134" t="s">
        <v>197</v>
      </c>
      <c r="E598" s="134">
        <v>568</v>
      </c>
      <c r="F598" s="134">
        <v>1826</v>
      </c>
      <c r="G598" s="134">
        <v>119</v>
      </c>
      <c r="H598" s="134">
        <v>2981</v>
      </c>
      <c r="I598" s="200">
        <v>0.14401264030700001</v>
      </c>
      <c r="J598" s="134">
        <v>4807</v>
      </c>
      <c r="K598" s="134">
        <v>33379.014437600003</v>
      </c>
      <c r="L598" s="42">
        <v>0.86645706209499995</v>
      </c>
      <c r="M598" s="42">
        <v>0.83995491687799995</v>
      </c>
      <c r="N598" s="134">
        <v>0</v>
      </c>
      <c r="O598" s="43" t="s">
        <v>664</v>
      </c>
      <c r="P598" s="43">
        <f t="shared" si="131"/>
        <v>14.79340937628232</v>
      </c>
      <c r="Q598" s="43">
        <f t="shared" si="132"/>
        <v>3.7871281E-2</v>
      </c>
      <c r="R598" s="43">
        <f t="shared" si="133"/>
        <v>1.1876482000000001E-2</v>
      </c>
      <c r="S598" s="43">
        <f t="shared" si="134"/>
        <v>0.86645706199999994</v>
      </c>
      <c r="T598" s="43">
        <f t="shared" si="135"/>
        <v>3.9528018939999998</v>
      </c>
      <c r="U598" s="43">
        <f t="shared" si="136"/>
        <v>8.771686936</v>
      </c>
      <c r="V598" s="43">
        <f t="shared" si="137"/>
        <v>9.4149669999999998E-3</v>
      </c>
      <c r="W598" s="230">
        <f t="shared" si="138"/>
        <v>6.4506506581155143E-2</v>
      </c>
      <c r="X598" s="43">
        <f t="shared" si="139"/>
        <v>0.87968604299999997</v>
      </c>
      <c r="Y598" s="43">
        <v>20.702093099999999</v>
      </c>
      <c r="Z598" s="43">
        <f t="shared" si="128"/>
        <v>0</v>
      </c>
      <c r="AA598" s="43">
        <f t="shared" si="129"/>
        <v>96880</v>
      </c>
      <c r="AB598" s="43">
        <f t="shared" si="130"/>
        <v>34598</v>
      </c>
      <c r="AC598" s="43">
        <f t="shared" si="140"/>
        <v>3.788298035593219E-2</v>
      </c>
      <c r="AD598" s="43">
        <f t="shared" si="141"/>
        <v>0.86369592135593187</v>
      </c>
      <c r="AF598" s="43">
        <v>14.79340937628232</v>
      </c>
      <c r="AG598" s="43">
        <v>3.7871281E-2</v>
      </c>
      <c r="AH598" s="43">
        <v>1.1876482000000001E-2</v>
      </c>
      <c r="AI598" s="43">
        <v>0.86645706199999994</v>
      </c>
      <c r="AJ598" s="43">
        <v>3.9528018939999998</v>
      </c>
      <c r="AK598" s="43">
        <v>8.771686936</v>
      </c>
      <c r="AL598" s="43">
        <v>9.4149669999999998E-3</v>
      </c>
      <c r="AM598" s="230">
        <v>6.4506506581155143E-2</v>
      </c>
      <c r="AN598" s="43">
        <v>0.87968604299999997</v>
      </c>
    </row>
    <row r="599" spans="1:40" x14ac:dyDescent="0.25">
      <c r="A599" s="134">
        <v>589</v>
      </c>
      <c r="B599" s="134" t="s">
        <v>201</v>
      </c>
      <c r="C599" s="134" t="s">
        <v>61</v>
      </c>
      <c r="D599" s="134" t="s">
        <v>197</v>
      </c>
      <c r="E599" s="134">
        <v>5</v>
      </c>
      <c r="F599" s="134">
        <v>16</v>
      </c>
      <c r="G599" s="134">
        <v>38</v>
      </c>
      <c r="H599" s="134">
        <v>271</v>
      </c>
      <c r="I599" s="200">
        <v>4.5395981771800001E-2</v>
      </c>
      <c r="J599" s="134">
        <v>287</v>
      </c>
      <c r="K599" s="134">
        <v>6322.1454586600003</v>
      </c>
      <c r="L599" s="42">
        <v>0.89420706958899998</v>
      </c>
      <c r="M599" s="42">
        <v>0.98188405797099998</v>
      </c>
      <c r="N599" s="134">
        <v>0</v>
      </c>
      <c r="O599" s="43" t="s">
        <v>666</v>
      </c>
      <c r="P599" s="43">
        <f t="shared" si="131"/>
        <v>14.254083408515468</v>
      </c>
      <c r="Q599" s="43">
        <f t="shared" si="132"/>
        <v>2.0854549E-2</v>
      </c>
      <c r="R599" s="43">
        <f t="shared" si="133"/>
        <v>8.7078439999999993E-3</v>
      </c>
      <c r="S599" s="43">
        <f t="shared" si="134"/>
        <v>0.89420706999999999</v>
      </c>
      <c r="T599" s="43">
        <f t="shared" si="135"/>
        <v>3.873684211</v>
      </c>
      <c r="U599" s="43">
        <f t="shared" si="136"/>
        <v>8.0234066899999998</v>
      </c>
      <c r="V599" s="43">
        <f t="shared" si="137"/>
        <v>6.1050660000000001E-3</v>
      </c>
      <c r="W599" s="230">
        <f t="shared" si="138"/>
        <v>2.4912608931121065E-2</v>
      </c>
      <c r="X599" s="43">
        <f t="shared" si="139"/>
        <v>0.90276204999999998</v>
      </c>
      <c r="Y599" s="43">
        <v>21.741611020000001</v>
      </c>
      <c r="Z599" s="43">
        <f t="shared" si="128"/>
        <v>0</v>
      </c>
      <c r="AA599" s="43">
        <f t="shared" si="129"/>
        <v>96880</v>
      </c>
      <c r="AB599" s="43">
        <f t="shared" si="130"/>
        <v>34598</v>
      </c>
      <c r="AC599" s="43">
        <f t="shared" si="140"/>
        <v>3.788298035593219E-2</v>
      </c>
      <c r="AD599" s="43">
        <f t="shared" si="141"/>
        <v>0.86369592135593187</v>
      </c>
      <c r="AF599" s="43">
        <v>14.254083408515468</v>
      </c>
      <c r="AG599" s="43">
        <v>2.0854549E-2</v>
      </c>
      <c r="AH599" s="43">
        <v>8.7078439999999993E-3</v>
      </c>
      <c r="AI599" s="43">
        <v>0.89420706999999999</v>
      </c>
      <c r="AJ599" s="43">
        <v>3.873684211</v>
      </c>
      <c r="AK599" s="43">
        <v>8.0234066899999998</v>
      </c>
      <c r="AL599" s="43">
        <v>6.1050660000000001E-3</v>
      </c>
      <c r="AM599" s="230">
        <v>2.4912608931121065E-2</v>
      </c>
      <c r="AN599" s="43">
        <v>0.90276204999999998</v>
      </c>
    </row>
    <row r="600" spans="1:40" x14ac:dyDescent="0.25">
      <c r="A600" s="134">
        <v>590</v>
      </c>
      <c r="B600" s="134" t="s">
        <v>201</v>
      </c>
      <c r="C600" s="134" t="s">
        <v>61</v>
      </c>
      <c r="D600" s="134" t="s">
        <v>197</v>
      </c>
      <c r="E600" s="134">
        <v>312</v>
      </c>
      <c r="F600" s="134">
        <v>1002</v>
      </c>
      <c r="G600" s="134">
        <v>130</v>
      </c>
      <c r="H600" s="134">
        <v>1680</v>
      </c>
      <c r="I600" s="200">
        <v>0.157123834446</v>
      </c>
      <c r="J600" s="134">
        <v>2682</v>
      </c>
      <c r="K600" s="134">
        <v>17069.339030899999</v>
      </c>
      <c r="L600" s="42">
        <v>0.89719380207699995</v>
      </c>
      <c r="M600" s="42">
        <v>0.84337349397600003</v>
      </c>
      <c r="N600" s="134">
        <v>0</v>
      </c>
      <c r="O600" s="43" t="s">
        <v>666</v>
      </c>
      <c r="P600" s="43">
        <f t="shared" si="131"/>
        <v>14.01953076466582</v>
      </c>
      <c r="Q600" s="43">
        <f t="shared" si="132"/>
        <v>3.3607634999999997E-2</v>
      </c>
      <c r="R600" s="43">
        <f t="shared" si="133"/>
        <v>1.1283964E-2</v>
      </c>
      <c r="S600" s="43">
        <f t="shared" si="134"/>
        <v>0.89719380199999998</v>
      </c>
      <c r="T600" s="43">
        <f t="shared" si="135"/>
        <v>3.9213577420000001</v>
      </c>
      <c r="U600" s="43">
        <f t="shared" si="136"/>
        <v>8.7991020039999999</v>
      </c>
      <c r="V600" s="43">
        <f t="shared" si="137"/>
        <v>8.7981320000000002E-3</v>
      </c>
      <c r="W600" s="230">
        <f t="shared" si="138"/>
        <v>5.910857768965877E-2</v>
      </c>
      <c r="X600" s="43">
        <f t="shared" si="139"/>
        <v>0.90848377300000005</v>
      </c>
      <c r="Y600" s="43">
        <v>25.375684150000001</v>
      </c>
      <c r="Z600" s="43">
        <f t="shared" si="128"/>
        <v>0</v>
      </c>
      <c r="AA600" s="43">
        <f t="shared" si="129"/>
        <v>96880</v>
      </c>
      <c r="AB600" s="43">
        <f t="shared" si="130"/>
        <v>34598</v>
      </c>
      <c r="AC600" s="43">
        <f t="shared" si="140"/>
        <v>3.788298035593219E-2</v>
      </c>
      <c r="AD600" s="43">
        <f t="shared" si="141"/>
        <v>0.86369592135593187</v>
      </c>
      <c r="AF600" s="43">
        <v>14.01953076466582</v>
      </c>
      <c r="AG600" s="43">
        <v>3.3607634999999997E-2</v>
      </c>
      <c r="AH600" s="43">
        <v>1.1283964E-2</v>
      </c>
      <c r="AI600" s="43">
        <v>0.89719380199999998</v>
      </c>
      <c r="AJ600" s="43">
        <v>3.9213577420000001</v>
      </c>
      <c r="AK600" s="43">
        <v>8.7991020039999999</v>
      </c>
      <c r="AL600" s="43">
        <v>8.7981320000000002E-3</v>
      </c>
      <c r="AM600" s="230">
        <v>5.910857768965877E-2</v>
      </c>
      <c r="AN600" s="43">
        <v>0.90848377300000005</v>
      </c>
    </row>
    <row r="601" spans="1:40" x14ac:dyDescent="0.25">
      <c r="A601" s="134">
        <v>591</v>
      </c>
      <c r="B601" s="134" t="s">
        <v>201</v>
      </c>
      <c r="C601" s="134" t="s">
        <v>61</v>
      </c>
      <c r="D601" s="134" t="s">
        <v>197</v>
      </c>
      <c r="E601" s="134">
        <v>0</v>
      </c>
      <c r="F601" s="134">
        <v>0</v>
      </c>
      <c r="G601" s="134">
        <v>129</v>
      </c>
      <c r="H601" s="134">
        <v>450</v>
      </c>
      <c r="I601" s="200">
        <v>0.15620361862599999</v>
      </c>
      <c r="J601" s="134">
        <v>450</v>
      </c>
      <c r="K601" s="134">
        <v>2880.8551553299999</v>
      </c>
      <c r="L601" s="42">
        <v>0.91158496814000001</v>
      </c>
      <c r="M601" s="42">
        <v>1</v>
      </c>
      <c r="N601" s="134">
        <v>0</v>
      </c>
      <c r="O601" s="43" t="s">
        <v>666</v>
      </c>
      <c r="P601" s="43">
        <f t="shared" si="131"/>
        <v>14.074410672380209</v>
      </c>
      <c r="Q601" s="43">
        <f t="shared" si="132"/>
        <v>2.1514223999999998E-2</v>
      </c>
      <c r="R601" s="43">
        <f t="shared" si="133"/>
        <v>9.0110880000000004E-3</v>
      </c>
      <c r="S601" s="43">
        <f t="shared" si="134"/>
        <v>0.911584968</v>
      </c>
      <c r="T601" s="43">
        <f t="shared" si="135"/>
        <v>3.9630459130000002</v>
      </c>
      <c r="U601" s="43">
        <f t="shared" si="136"/>
        <v>8.1508662790000006</v>
      </c>
      <c r="V601" s="43">
        <f t="shared" si="137"/>
        <v>7.3229990000000002E-3</v>
      </c>
      <c r="W601" s="230">
        <f t="shared" si="138"/>
        <v>1.8444376005201379E-2</v>
      </c>
      <c r="X601" s="43">
        <f t="shared" si="139"/>
        <v>0.93217671000000002</v>
      </c>
      <c r="Y601" s="43">
        <v>32.828806550000003</v>
      </c>
      <c r="Z601" s="43">
        <f t="shared" si="128"/>
        <v>0</v>
      </c>
      <c r="AA601" s="43">
        <f t="shared" si="129"/>
        <v>96880</v>
      </c>
      <c r="AB601" s="43">
        <f t="shared" si="130"/>
        <v>34598</v>
      </c>
      <c r="AC601" s="43">
        <f t="shared" si="140"/>
        <v>3.788298035593219E-2</v>
      </c>
      <c r="AD601" s="43">
        <f t="shared" si="141"/>
        <v>0.86369592135593187</v>
      </c>
      <c r="AF601" s="43">
        <v>14.074410672380209</v>
      </c>
      <c r="AG601" s="43">
        <v>2.1514223999999998E-2</v>
      </c>
      <c r="AH601" s="43">
        <v>9.0110880000000004E-3</v>
      </c>
      <c r="AI601" s="43">
        <v>0.911584968</v>
      </c>
      <c r="AJ601" s="43">
        <v>3.9630459130000002</v>
      </c>
      <c r="AK601" s="43">
        <v>8.1508662790000006</v>
      </c>
      <c r="AL601" s="43">
        <v>7.3229990000000002E-3</v>
      </c>
      <c r="AM601" s="230">
        <v>1.8444376005201379E-2</v>
      </c>
      <c r="AN601" s="43">
        <v>0.93217671000000002</v>
      </c>
    </row>
    <row r="602" spans="1:40" x14ac:dyDescent="0.25">
      <c r="A602" s="134">
        <v>592</v>
      </c>
      <c r="B602" s="134" t="s">
        <v>201</v>
      </c>
      <c r="C602" s="134" t="s">
        <v>61</v>
      </c>
      <c r="D602" s="134" t="s">
        <v>197</v>
      </c>
      <c r="E602" s="134">
        <v>95</v>
      </c>
      <c r="F602" s="134">
        <v>304</v>
      </c>
      <c r="G602" s="134">
        <v>75</v>
      </c>
      <c r="H602" s="134">
        <v>1319</v>
      </c>
      <c r="I602" s="200">
        <v>9.1177405384699997E-2</v>
      </c>
      <c r="J602" s="134">
        <v>1623</v>
      </c>
      <c r="K602" s="134">
        <v>17800.462660199999</v>
      </c>
      <c r="L602" s="42">
        <v>0.90572255693699999</v>
      </c>
      <c r="M602" s="42">
        <v>0.93281471004200001</v>
      </c>
      <c r="N602" s="134">
        <v>0</v>
      </c>
      <c r="O602" s="43" t="s">
        <v>664</v>
      </c>
      <c r="P602" s="43">
        <f t="shared" si="131"/>
        <v>13.805348616927724</v>
      </c>
      <c r="Q602" s="43">
        <f t="shared" si="132"/>
        <v>2.5936846E-2</v>
      </c>
      <c r="R602" s="43">
        <f t="shared" si="133"/>
        <v>1.0434026000000001E-2</v>
      </c>
      <c r="S602" s="43">
        <f t="shared" si="134"/>
        <v>0.90572255700000004</v>
      </c>
      <c r="T602" s="43">
        <f t="shared" si="135"/>
        <v>3.782742287</v>
      </c>
      <c r="U602" s="43">
        <f t="shared" si="136"/>
        <v>8.54895885</v>
      </c>
      <c r="V602" s="43">
        <f t="shared" si="137"/>
        <v>9.0460379999999993E-3</v>
      </c>
      <c r="W602" s="230">
        <f t="shared" si="138"/>
        <v>4.6019193012715828E-2</v>
      </c>
      <c r="X602" s="43">
        <f t="shared" si="139"/>
        <v>0.92045725599999995</v>
      </c>
      <c r="Y602" s="43">
        <v>32.863575240000003</v>
      </c>
      <c r="Z602" s="43">
        <f t="shared" si="128"/>
        <v>0</v>
      </c>
      <c r="AA602" s="43">
        <f t="shared" si="129"/>
        <v>96880</v>
      </c>
      <c r="AB602" s="43">
        <f t="shared" si="130"/>
        <v>34598</v>
      </c>
      <c r="AC602" s="43">
        <f t="shared" si="140"/>
        <v>3.788298035593219E-2</v>
      </c>
      <c r="AD602" s="43">
        <f t="shared" si="141"/>
        <v>0.86369592135593187</v>
      </c>
      <c r="AF602" s="43">
        <v>13.805348616927724</v>
      </c>
      <c r="AG602" s="43">
        <v>2.5936846E-2</v>
      </c>
      <c r="AH602" s="43">
        <v>1.0434026000000001E-2</v>
      </c>
      <c r="AI602" s="43">
        <v>0.90572255700000004</v>
      </c>
      <c r="AJ602" s="43">
        <v>3.782742287</v>
      </c>
      <c r="AK602" s="43">
        <v>8.54895885</v>
      </c>
      <c r="AL602" s="43">
        <v>9.0460379999999993E-3</v>
      </c>
      <c r="AM602" s="230">
        <v>4.6019193012715828E-2</v>
      </c>
      <c r="AN602" s="43">
        <v>0.92045725599999995</v>
      </c>
    </row>
    <row r="603" spans="1:40" x14ac:dyDescent="0.25">
      <c r="A603" s="134">
        <v>593</v>
      </c>
      <c r="B603" s="134" t="s">
        <v>201</v>
      </c>
      <c r="C603" s="134" t="s">
        <v>61</v>
      </c>
      <c r="D603" s="134" t="s">
        <v>197</v>
      </c>
      <c r="E603" s="134">
        <v>42</v>
      </c>
      <c r="F603" s="134">
        <v>136</v>
      </c>
      <c r="G603" s="134">
        <v>159</v>
      </c>
      <c r="H603" s="134">
        <v>128</v>
      </c>
      <c r="I603" s="200">
        <v>0.19215356181000001</v>
      </c>
      <c r="J603" s="134">
        <v>264</v>
      </c>
      <c r="K603" s="134">
        <v>1373.90115236</v>
      </c>
      <c r="L603" s="42">
        <v>0.89110360156900004</v>
      </c>
      <c r="M603" s="42">
        <v>0.75294117647100001</v>
      </c>
      <c r="N603" s="134">
        <v>0</v>
      </c>
      <c r="O603" s="43" t="s">
        <v>666</v>
      </c>
      <c r="P603" s="43">
        <f t="shared" si="131"/>
        <v>13.035389657883856</v>
      </c>
      <c r="Q603" s="43">
        <f t="shared" si="132"/>
        <v>2.8154761E-2</v>
      </c>
      <c r="R603" s="43">
        <f t="shared" si="133"/>
        <v>1.1149864000000001E-2</v>
      </c>
      <c r="S603" s="43">
        <f t="shared" si="134"/>
        <v>0.89110360200000005</v>
      </c>
      <c r="T603" s="43">
        <f t="shared" si="135"/>
        <v>3.9636216649999998</v>
      </c>
      <c r="U603" s="43">
        <f t="shared" si="136"/>
        <v>8.0975950230000002</v>
      </c>
      <c r="V603" s="43">
        <f t="shared" si="137"/>
        <v>4.137646E-3</v>
      </c>
      <c r="W603" s="230">
        <f t="shared" si="138"/>
        <v>3.7307771877801536E-2</v>
      </c>
      <c r="X603" s="43">
        <f t="shared" si="139"/>
        <v>0.884145921</v>
      </c>
      <c r="Y603" s="43">
        <v>21.759924819999998</v>
      </c>
      <c r="Z603" s="43">
        <f t="shared" si="128"/>
        <v>0</v>
      </c>
      <c r="AA603" s="43">
        <f t="shared" si="129"/>
        <v>96880</v>
      </c>
      <c r="AB603" s="43">
        <f t="shared" si="130"/>
        <v>34598</v>
      </c>
      <c r="AC603" s="43">
        <f t="shared" si="140"/>
        <v>3.788298035593219E-2</v>
      </c>
      <c r="AD603" s="43">
        <f t="shared" si="141"/>
        <v>0.86369592135593187</v>
      </c>
      <c r="AF603" s="43">
        <v>13.035389657883856</v>
      </c>
      <c r="AG603" s="43">
        <v>2.8154761E-2</v>
      </c>
      <c r="AH603" s="43">
        <v>1.1149864000000001E-2</v>
      </c>
      <c r="AI603" s="43">
        <v>0.89110360200000005</v>
      </c>
      <c r="AJ603" s="43">
        <v>3.9636216649999998</v>
      </c>
      <c r="AK603" s="43">
        <v>8.0975950230000002</v>
      </c>
      <c r="AL603" s="43">
        <v>4.137646E-3</v>
      </c>
      <c r="AM603" s="230">
        <v>3.7307771877801536E-2</v>
      </c>
      <c r="AN603" s="43">
        <v>0.884145921</v>
      </c>
    </row>
    <row r="604" spans="1:40" x14ac:dyDescent="0.25">
      <c r="A604" s="134">
        <v>594</v>
      </c>
      <c r="B604" s="134" t="s">
        <v>201</v>
      </c>
      <c r="C604" s="134" t="s">
        <v>61</v>
      </c>
      <c r="D604" s="134" t="s">
        <v>197</v>
      </c>
      <c r="E604" s="134">
        <v>0</v>
      </c>
      <c r="F604" s="134">
        <v>0</v>
      </c>
      <c r="G604" s="134">
        <v>47</v>
      </c>
      <c r="H604" s="134">
        <v>538</v>
      </c>
      <c r="I604" s="200">
        <v>5.6795955633600001E-2</v>
      </c>
      <c r="J604" s="134">
        <v>538</v>
      </c>
      <c r="K604" s="134">
        <v>9472.5054627200007</v>
      </c>
      <c r="L604" s="42">
        <v>0.91115392150499996</v>
      </c>
      <c r="M604" s="42">
        <v>1</v>
      </c>
      <c r="N604" s="134">
        <v>0</v>
      </c>
      <c r="O604" s="43" t="s">
        <v>666</v>
      </c>
      <c r="P604" s="43">
        <f t="shared" si="131"/>
        <v>14.004734176627842</v>
      </c>
      <c r="Q604" s="43">
        <f t="shared" si="132"/>
        <v>1.9754457E-2</v>
      </c>
      <c r="R604" s="43">
        <f t="shared" si="133"/>
        <v>9.1180700000000007E-3</v>
      </c>
      <c r="S604" s="43">
        <f t="shared" si="134"/>
        <v>0.911153922</v>
      </c>
      <c r="T604" s="43">
        <f t="shared" si="135"/>
        <v>3.8747739600000002</v>
      </c>
      <c r="U604" s="43">
        <f t="shared" si="136"/>
        <v>8.1769440529999997</v>
      </c>
      <c r="V604" s="43">
        <f t="shared" si="137"/>
        <v>7.3670719999999997E-3</v>
      </c>
      <c r="W604" s="230">
        <f t="shared" si="138"/>
        <v>2.6361306854580401E-2</v>
      </c>
      <c r="X604" s="43">
        <f t="shared" si="139"/>
        <v>0.92238949400000003</v>
      </c>
      <c r="Y604" s="43">
        <v>26.2000268</v>
      </c>
      <c r="Z604" s="43">
        <f t="shared" si="128"/>
        <v>0</v>
      </c>
      <c r="AA604" s="43">
        <f t="shared" si="129"/>
        <v>96880</v>
      </c>
      <c r="AB604" s="43">
        <f t="shared" si="130"/>
        <v>34598</v>
      </c>
      <c r="AC604" s="43">
        <f t="shared" si="140"/>
        <v>3.788298035593219E-2</v>
      </c>
      <c r="AD604" s="43">
        <f t="shared" si="141"/>
        <v>0.86369592135593187</v>
      </c>
      <c r="AF604" s="43">
        <v>14.004734176627842</v>
      </c>
      <c r="AG604" s="43">
        <v>1.9754457E-2</v>
      </c>
      <c r="AH604" s="43">
        <v>9.1180700000000007E-3</v>
      </c>
      <c r="AI604" s="43">
        <v>0.911153922</v>
      </c>
      <c r="AJ604" s="43">
        <v>3.8747739600000002</v>
      </c>
      <c r="AK604" s="43">
        <v>8.1769440529999997</v>
      </c>
      <c r="AL604" s="43">
        <v>7.3670719999999997E-3</v>
      </c>
      <c r="AM604" s="230">
        <v>2.6361306854580401E-2</v>
      </c>
      <c r="AN604" s="43">
        <v>0.92238949400000003</v>
      </c>
    </row>
    <row r="605" spans="1:40" x14ac:dyDescent="0.25">
      <c r="A605" s="134">
        <v>595</v>
      </c>
      <c r="B605" s="134" t="s">
        <v>201</v>
      </c>
      <c r="C605" s="134" t="s">
        <v>61</v>
      </c>
      <c r="D605" s="134" t="s">
        <v>197</v>
      </c>
      <c r="E605" s="134">
        <v>0</v>
      </c>
      <c r="F605" s="134">
        <v>0</v>
      </c>
      <c r="G605" s="134">
        <v>87</v>
      </c>
      <c r="H605" s="134">
        <v>443</v>
      </c>
      <c r="I605" s="200">
        <v>0.104685358449</v>
      </c>
      <c r="J605" s="134">
        <v>443</v>
      </c>
      <c r="K605" s="134">
        <v>4231.7283578300003</v>
      </c>
      <c r="L605" s="42">
        <v>0.90656429641699998</v>
      </c>
      <c r="M605" s="42">
        <v>1</v>
      </c>
      <c r="N605" s="134">
        <v>0</v>
      </c>
      <c r="O605" s="43" t="s">
        <v>666</v>
      </c>
      <c r="P605" s="43">
        <f t="shared" si="131"/>
        <v>14.00771213191239</v>
      </c>
      <c r="Q605" s="43">
        <f t="shared" si="132"/>
        <v>2.0937589E-2</v>
      </c>
      <c r="R605" s="43">
        <f t="shared" si="133"/>
        <v>9.0390060000000005E-3</v>
      </c>
      <c r="S605" s="43">
        <f t="shared" si="134"/>
        <v>0.90656429599999999</v>
      </c>
      <c r="T605" s="43">
        <f t="shared" si="135"/>
        <v>3.86127799</v>
      </c>
      <c r="U605" s="43">
        <f t="shared" si="136"/>
        <v>8.0937869560000006</v>
      </c>
      <c r="V605" s="43">
        <f t="shared" si="137"/>
        <v>6.9919989999999996E-3</v>
      </c>
      <c r="W605" s="230">
        <f t="shared" si="138"/>
        <v>2.4075542420529089E-2</v>
      </c>
      <c r="X605" s="43">
        <f t="shared" si="139"/>
        <v>0.92301593000000004</v>
      </c>
      <c r="Y605" s="43">
        <v>21.759962099999999</v>
      </c>
      <c r="Z605" s="43">
        <f t="shared" si="128"/>
        <v>0</v>
      </c>
      <c r="AA605" s="43">
        <f t="shared" si="129"/>
        <v>96880</v>
      </c>
      <c r="AB605" s="43">
        <f t="shared" si="130"/>
        <v>34598</v>
      </c>
      <c r="AC605" s="43">
        <f t="shared" si="140"/>
        <v>3.788298035593219E-2</v>
      </c>
      <c r="AD605" s="43">
        <f t="shared" si="141"/>
        <v>0.86369592135593187</v>
      </c>
      <c r="AF605" s="43">
        <v>14.00771213191239</v>
      </c>
      <c r="AG605" s="43">
        <v>2.0937589E-2</v>
      </c>
      <c r="AH605" s="43">
        <v>9.0390060000000005E-3</v>
      </c>
      <c r="AI605" s="43">
        <v>0.90656429599999999</v>
      </c>
      <c r="AJ605" s="43">
        <v>3.86127799</v>
      </c>
      <c r="AK605" s="43">
        <v>8.0937869560000006</v>
      </c>
      <c r="AL605" s="43">
        <v>6.9919989999999996E-3</v>
      </c>
      <c r="AM605" s="230">
        <v>2.4075542420529089E-2</v>
      </c>
      <c r="AN605" s="43">
        <v>0.92301593000000004</v>
      </c>
    </row>
    <row r="606" spans="1:40" x14ac:dyDescent="0.25">
      <c r="A606" s="134">
        <v>596</v>
      </c>
      <c r="B606" s="134" t="s">
        <v>201</v>
      </c>
      <c r="C606" s="134" t="s">
        <v>61</v>
      </c>
      <c r="D606" s="134" t="s">
        <v>197</v>
      </c>
      <c r="E606" s="134">
        <v>0</v>
      </c>
      <c r="F606" s="134">
        <v>0</v>
      </c>
      <c r="G606" s="134">
        <v>62</v>
      </c>
      <c r="H606" s="134">
        <v>355</v>
      </c>
      <c r="I606" s="200">
        <v>7.5465343291599998E-2</v>
      </c>
      <c r="J606" s="134">
        <v>355</v>
      </c>
      <c r="K606" s="134">
        <v>4704.1460956199999</v>
      </c>
      <c r="L606" s="42">
        <v>0.91707882108500005</v>
      </c>
      <c r="M606" s="42">
        <v>1</v>
      </c>
      <c r="N606" s="134">
        <v>0</v>
      </c>
      <c r="O606" s="43" t="s">
        <v>666</v>
      </c>
      <c r="P606" s="43">
        <f t="shared" si="131"/>
        <v>14.437011644629871</v>
      </c>
      <c r="Q606" s="43">
        <f t="shared" si="132"/>
        <v>2.0610785E-2</v>
      </c>
      <c r="R606" s="43">
        <f t="shared" si="133"/>
        <v>8.3105039999999998E-3</v>
      </c>
      <c r="S606" s="43">
        <f t="shared" si="134"/>
        <v>0.91707882100000004</v>
      </c>
      <c r="T606" s="43">
        <f t="shared" si="135"/>
        <v>4.610928962</v>
      </c>
      <c r="U606" s="43">
        <f t="shared" si="136"/>
        <v>8.8233545380000002</v>
      </c>
      <c r="V606" s="43">
        <f t="shared" si="137"/>
        <v>6.697532E-3</v>
      </c>
      <c r="W606" s="230">
        <f t="shared" si="138"/>
        <v>1.8878949970782578E-2</v>
      </c>
      <c r="X606" s="43">
        <f t="shared" si="139"/>
        <v>0.9243943</v>
      </c>
      <c r="Y606" s="43">
        <v>20.70288184</v>
      </c>
      <c r="Z606" s="43">
        <f t="shared" si="128"/>
        <v>0</v>
      </c>
      <c r="AA606" s="43">
        <f t="shared" si="129"/>
        <v>96880</v>
      </c>
      <c r="AB606" s="43">
        <f t="shared" si="130"/>
        <v>34598</v>
      </c>
      <c r="AC606" s="43">
        <f t="shared" si="140"/>
        <v>3.788298035593219E-2</v>
      </c>
      <c r="AD606" s="43">
        <f t="shared" si="141"/>
        <v>0.86369592135593187</v>
      </c>
      <c r="AF606" s="43">
        <v>14.437011644629871</v>
      </c>
      <c r="AG606" s="43">
        <v>2.0610785E-2</v>
      </c>
      <c r="AH606" s="43">
        <v>8.3105039999999998E-3</v>
      </c>
      <c r="AI606" s="43">
        <v>0.91707882100000004</v>
      </c>
      <c r="AJ606" s="43">
        <v>4.610928962</v>
      </c>
      <c r="AK606" s="43">
        <v>8.8233545380000002</v>
      </c>
      <c r="AL606" s="43">
        <v>6.697532E-3</v>
      </c>
      <c r="AM606" s="230">
        <v>1.8878949970782578E-2</v>
      </c>
      <c r="AN606" s="43">
        <v>0.9243943</v>
      </c>
    </row>
    <row r="607" spans="1:40" x14ac:dyDescent="0.25">
      <c r="A607" s="134">
        <v>597</v>
      </c>
      <c r="B607" s="134" t="s">
        <v>201</v>
      </c>
      <c r="C607" s="134" t="s">
        <v>61</v>
      </c>
      <c r="D607" s="134" t="s">
        <v>197</v>
      </c>
      <c r="E607" s="134">
        <v>0</v>
      </c>
      <c r="F607" s="134">
        <v>0</v>
      </c>
      <c r="G607" s="134">
        <v>214</v>
      </c>
      <c r="H607" s="134">
        <v>1472</v>
      </c>
      <c r="I607" s="200">
        <v>0.25833814487500001</v>
      </c>
      <c r="J607" s="134">
        <v>1472</v>
      </c>
      <c r="K607" s="134">
        <v>5697.9583898199999</v>
      </c>
      <c r="L607" s="42">
        <v>0.92675710682400003</v>
      </c>
      <c r="M607" s="42">
        <v>1</v>
      </c>
      <c r="N607" s="134">
        <v>0</v>
      </c>
      <c r="O607" s="43" t="s">
        <v>666</v>
      </c>
      <c r="P607" s="43">
        <f t="shared" si="131"/>
        <v>14.732138080172792</v>
      </c>
      <c r="Q607" s="43">
        <f t="shared" si="132"/>
        <v>1.4852183E-2</v>
      </c>
      <c r="R607" s="43">
        <f t="shared" si="133"/>
        <v>1.0125662000000001E-2</v>
      </c>
      <c r="S607" s="43">
        <f t="shared" si="134"/>
        <v>0.92675710700000002</v>
      </c>
      <c r="T607" s="43">
        <f t="shared" si="135"/>
        <v>4.1044742730000001</v>
      </c>
      <c r="U607" s="43">
        <f t="shared" si="136"/>
        <v>9.4654558350000002</v>
      </c>
      <c r="V607" s="43">
        <f t="shared" si="137"/>
        <v>1.0534992E-2</v>
      </c>
      <c r="W607" s="230">
        <f t="shared" si="138"/>
        <v>1.5062893791919784E-2</v>
      </c>
      <c r="X607" s="43">
        <f t="shared" si="139"/>
        <v>0.94477315299999998</v>
      </c>
      <c r="Y607" s="43">
        <v>21.083765270000001</v>
      </c>
      <c r="Z607" s="43">
        <f t="shared" si="128"/>
        <v>0</v>
      </c>
      <c r="AA607" s="43">
        <f t="shared" si="129"/>
        <v>96880</v>
      </c>
      <c r="AB607" s="43">
        <f t="shared" si="130"/>
        <v>34598</v>
      </c>
      <c r="AC607" s="43">
        <f t="shared" si="140"/>
        <v>3.788298035593219E-2</v>
      </c>
      <c r="AD607" s="43">
        <f t="shared" si="141"/>
        <v>0.86369592135593187</v>
      </c>
      <c r="AF607" s="43">
        <v>14.732138080172792</v>
      </c>
      <c r="AG607" s="43">
        <v>1.4852183E-2</v>
      </c>
      <c r="AH607" s="43">
        <v>1.0125662000000001E-2</v>
      </c>
      <c r="AI607" s="43">
        <v>0.92675710700000002</v>
      </c>
      <c r="AJ607" s="43">
        <v>4.1044742730000001</v>
      </c>
      <c r="AK607" s="43">
        <v>9.4654558350000002</v>
      </c>
      <c r="AL607" s="43">
        <v>1.0534992E-2</v>
      </c>
      <c r="AM607" s="230">
        <v>1.5062893791919784E-2</v>
      </c>
      <c r="AN607" s="43">
        <v>0.94477315299999998</v>
      </c>
    </row>
    <row r="608" spans="1:40" x14ac:dyDescent="0.25">
      <c r="A608" s="134">
        <v>598</v>
      </c>
      <c r="B608" s="134" t="s">
        <v>201</v>
      </c>
      <c r="C608" s="134" t="s">
        <v>61</v>
      </c>
      <c r="D608" s="134" t="s">
        <v>197</v>
      </c>
      <c r="E608" s="134">
        <v>0</v>
      </c>
      <c r="F608" s="134">
        <v>0</v>
      </c>
      <c r="G608" s="134">
        <v>24</v>
      </c>
      <c r="H608" s="134">
        <v>163</v>
      </c>
      <c r="I608" s="200">
        <v>2.9056278565799998E-2</v>
      </c>
      <c r="J608" s="134">
        <v>163</v>
      </c>
      <c r="K608" s="134">
        <v>5609.8030458699996</v>
      </c>
      <c r="L608" s="42">
        <v>0.89388908706699999</v>
      </c>
      <c r="M608" s="42">
        <v>1</v>
      </c>
      <c r="N608" s="134">
        <v>0</v>
      </c>
      <c r="O608" s="43" t="s">
        <v>666</v>
      </c>
      <c r="P608" s="43">
        <f t="shared" si="131"/>
        <v>13.944789936601751</v>
      </c>
      <c r="Q608" s="43">
        <f t="shared" si="132"/>
        <v>1.9866641000000001E-2</v>
      </c>
      <c r="R608" s="43">
        <f t="shared" si="133"/>
        <v>7.9027520000000007E-3</v>
      </c>
      <c r="S608" s="43">
        <f t="shared" si="134"/>
        <v>0.89388908700000003</v>
      </c>
      <c r="T608" s="43">
        <f t="shared" si="135"/>
        <v>4.1344537819999996</v>
      </c>
      <c r="U608" s="43">
        <f t="shared" si="136"/>
        <v>7.8622645279999999</v>
      </c>
      <c r="V608" s="43">
        <f t="shared" si="137"/>
        <v>4.2124730000000004E-3</v>
      </c>
      <c r="W608" s="230">
        <f t="shared" si="138"/>
        <v>1.6541662385698139E-2</v>
      </c>
      <c r="X608" s="43">
        <f t="shared" si="139"/>
        <v>0.88194801199999995</v>
      </c>
      <c r="Y608" s="43">
        <v>21.697250660000002</v>
      </c>
      <c r="Z608" s="43">
        <f t="shared" si="128"/>
        <v>0</v>
      </c>
      <c r="AA608" s="43">
        <f t="shared" si="129"/>
        <v>96880</v>
      </c>
      <c r="AB608" s="43">
        <f t="shared" si="130"/>
        <v>34598</v>
      </c>
      <c r="AC608" s="43">
        <f t="shared" si="140"/>
        <v>3.788298035593219E-2</v>
      </c>
      <c r="AD608" s="43">
        <f t="shared" si="141"/>
        <v>0.86369592135593187</v>
      </c>
      <c r="AF608" s="43">
        <v>13.944789936601751</v>
      </c>
      <c r="AG608" s="43">
        <v>1.9866641000000001E-2</v>
      </c>
      <c r="AH608" s="43">
        <v>7.9027520000000007E-3</v>
      </c>
      <c r="AI608" s="43">
        <v>0.89388908700000003</v>
      </c>
      <c r="AJ608" s="43">
        <v>4.1344537819999996</v>
      </c>
      <c r="AK608" s="43">
        <v>7.8622645279999999</v>
      </c>
      <c r="AL608" s="43">
        <v>4.2124730000000004E-3</v>
      </c>
      <c r="AM608" s="230">
        <v>1.6541662385698139E-2</v>
      </c>
      <c r="AN608" s="43">
        <v>0.88194801199999995</v>
      </c>
    </row>
    <row r="609" spans="1:40" x14ac:dyDescent="0.25">
      <c r="A609" s="134">
        <v>599</v>
      </c>
      <c r="B609" s="134" t="s">
        <v>201</v>
      </c>
      <c r="C609" s="134" t="s">
        <v>61</v>
      </c>
      <c r="D609" s="134" t="s">
        <v>197</v>
      </c>
      <c r="E609" s="134">
        <v>0</v>
      </c>
      <c r="F609" s="134">
        <v>0</v>
      </c>
      <c r="G609" s="134">
        <v>58</v>
      </c>
      <c r="H609" s="134">
        <v>375</v>
      </c>
      <c r="I609" s="200">
        <v>6.95535869788E-2</v>
      </c>
      <c r="J609" s="134">
        <v>375</v>
      </c>
      <c r="K609" s="134">
        <v>5391.5263941000003</v>
      </c>
      <c r="L609" s="42">
        <v>0.90891967147899999</v>
      </c>
      <c r="M609" s="42">
        <v>1</v>
      </c>
      <c r="N609" s="134">
        <v>0</v>
      </c>
      <c r="O609" s="43" t="s">
        <v>666</v>
      </c>
      <c r="P609" s="43">
        <f t="shared" si="131"/>
        <v>14.235307685928136</v>
      </c>
      <c r="Q609" s="43">
        <f t="shared" si="132"/>
        <v>2.1082434000000001E-2</v>
      </c>
      <c r="R609" s="43">
        <f t="shared" si="133"/>
        <v>8.8681939999999994E-3</v>
      </c>
      <c r="S609" s="43">
        <f t="shared" si="134"/>
        <v>0.90891967100000004</v>
      </c>
      <c r="T609" s="43">
        <f t="shared" si="135"/>
        <v>3.9967426709999998</v>
      </c>
      <c r="U609" s="43">
        <f t="shared" si="136"/>
        <v>8.0661981310000002</v>
      </c>
      <c r="V609" s="43">
        <f t="shared" si="137"/>
        <v>6.4427260000000002E-3</v>
      </c>
      <c r="W609" s="230">
        <f t="shared" si="138"/>
        <v>2.3016084599662312E-2</v>
      </c>
      <c r="X609" s="43">
        <f t="shared" si="139"/>
        <v>0.917932996</v>
      </c>
      <c r="Y609" s="43">
        <v>21.739832710000002</v>
      </c>
      <c r="Z609" s="43">
        <f t="shared" si="128"/>
        <v>0</v>
      </c>
      <c r="AA609" s="43">
        <f t="shared" si="129"/>
        <v>96880</v>
      </c>
      <c r="AB609" s="43">
        <f t="shared" si="130"/>
        <v>34598</v>
      </c>
      <c r="AC609" s="43">
        <f t="shared" si="140"/>
        <v>3.788298035593219E-2</v>
      </c>
      <c r="AD609" s="43">
        <f t="shared" si="141"/>
        <v>0.86369592135593187</v>
      </c>
      <c r="AF609" s="43">
        <v>14.235307685928136</v>
      </c>
      <c r="AG609" s="43">
        <v>2.1082434000000001E-2</v>
      </c>
      <c r="AH609" s="43">
        <v>8.8681939999999994E-3</v>
      </c>
      <c r="AI609" s="43">
        <v>0.90891967100000004</v>
      </c>
      <c r="AJ609" s="43">
        <v>3.9967426709999998</v>
      </c>
      <c r="AK609" s="43">
        <v>8.0661981310000002</v>
      </c>
      <c r="AL609" s="43">
        <v>6.4427260000000002E-3</v>
      </c>
      <c r="AM609" s="230">
        <v>2.3016084599662312E-2</v>
      </c>
      <c r="AN609" s="43">
        <v>0.917932996</v>
      </c>
    </row>
    <row r="610" spans="1:40" x14ac:dyDescent="0.25">
      <c r="A610" s="134">
        <v>600</v>
      </c>
      <c r="B610" s="134" t="s">
        <v>201</v>
      </c>
      <c r="C610" s="134" t="s">
        <v>61</v>
      </c>
      <c r="D610" s="134" t="s">
        <v>197</v>
      </c>
      <c r="E610" s="134">
        <v>88</v>
      </c>
      <c r="F610" s="134">
        <v>282</v>
      </c>
      <c r="G610" s="134">
        <v>429</v>
      </c>
      <c r="H610" s="134">
        <v>628</v>
      </c>
      <c r="I610" s="200">
        <v>0.51845610748500004</v>
      </c>
      <c r="J610" s="134">
        <v>910</v>
      </c>
      <c r="K610" s="134">
        <v>1755.2112644900001</v>
      </c>
      <c r="L610" s="42">
        <v>0.93678415724499997</v>
      </c>
      <c r="M610" s="42">
        <v>0.87709497206700004</v>
      </c>
      <c r="N610" s="134">
        <v>0</v>
      </c>
      <c r="O610" s="43" t="s">
        <v>666</v>
      </c>
      <c r="P610" s="43">
        <f t="shared" si="131"/>
        <v>14.863017366319061</v>
      </c>
      <c r="Q610" s="43">
        <f t="shared" si="132"/>
        <v>1.9477081E-2</v>
      </c>
      <c r="R610" s="43">
        <f t="shared" si="133"/>
        <v>1.1133278999999999E-2</v>
      </c>
      <c r="S610" s="43">
        <f t="shared" si="134"/>
        <v>0.93678415699999995</v>
      </c>
      <c r="T610" s="43">
        <f t="shared" si="135"/>
        <v>4.7392518150000003</v>
      </c>
      <c r="U610" s="43">
        <f t="shared" si="136"/>
        <v>10.25134963</v>
      </c>
      <c r="V610" s="43">
        <f t="shared" si="137"/>
        <v>8.0168449999999999E-3</v>
      </c>
      <c r="W610" s="230">
        <f t="shared" si="138"/>
        <v>2.0525618030102163E-2</v>
      </c>
      <c r="X610" s="43">
        <f t="shared" si="139"/>
        <v>0.94852998499999996</v>
      </c>
      <c r="Y610" s="43">
        <v>20.67274033</v>
      </c>
      <c r="Z610" s="43">
        <f t="shared" si="128"/>
        <v>0</v>
      </c>
      <c r="AA610" s="43">
        <f t="shared" si="129"/>
        <v>96880</v>
      </c>
      <c r="AB610" s="43">
        <f t="shared" si="130"/>
        <v>34598</v>
      </c>
      <c r="AC610" s="43">
        <f t="shared" si="140"/>
        <v>3.788298035593219E-2</v>
      </c>
      <c r="AD610" s="43">
        <f t="shared" si="141"/>
        <v>0.86369592135593187</v>
      </c>
      <c r="AF610" s="43">
        <v>14.863017366319061</v>
      </c>
      <c r="AG610" s="43">
        <v>1.9477081E-2</v>
      </c>
      <c r="AH610" s="43">
        <v>1.1133278999999999E-2</v>
      </c>
      <c r="AI610" s="43">
        <v>0.93678415699999995</v>
      </c>
      <c r="AJ610" s="43">
        <v>4.7392518150000003</v>
      </c>
      <c r="AK610" s="43">
        <v>10.25134963</v>
      </c>
      <c r="AL610" s="43">
        <v>8.0168449999999999E-3</v>
      </c>
      <c r="AM610" s="230">
        <v>2.0525618030102163E-2</v>
      </c>
      <c r="AN610" s="43">
        <v>0.94852998499999996</v>
      </c>
    </row>
    <row r="611" spans="1:40" x14ac:dyDescent="0.25">
      <c r="A611" s="134">
        <v>601</v>
      </c>
      <c r="B611" s="134" t="s">
        <v>201</v>
      </c>
      <c r="C611" s="134" t="s">
        <v>61</v>
      </c>
      <c r="D611" s="134" t="s">
        <v>197</v>
      </c>
      <c r="E611" s="134">
        <v>19</v>
      </c>
      <c r="F611" s="134">
        <v>60</v>
      </c>
      <c r="G611" s="134">
        <v>135</v>
      </c>
      <c r="H611" s="134">
        <v>1035</v>
      </c>
      <c r="I611" s="200">
        <v>0.16381563376800001</v>
      </c>
      <c r="J611" s="134">
        <v>1095</v>
      </c>
      <c r="K611" s="134">
        <v>6684.3437028099997</v>
      </c>
      <c r="L611" s="42">
        <v>0.91013311751699999</v>
      </c>
      <c r="M611" s="42">
        <v>0.98197343453499997</v>
      </c>
      <c r="N611" s="134">
        <v>0</v>
      </c>
      <c r="O611" s="43" t="s">
        <v>666</v>
      </c>
      <c r="P611" s="43">
        <f t="shared" si="131"/>
        <v>14.800518130275416</v>
      </c>
      <c r="Q611" s="43">
        <f t="shared" si="132"/>
        <v>2.5077443000000001E-2</v>
      </c>
      <c r="R611" s="43">
        <f t="shared" si="133"/>
        <v>9.4940419999999994E-3</v>
      </c>
      <c r="S611" s="43">
        <f t="shared" si="134"/>
        <v>0.91013311799999996</v>
      </c>
      <c r="T611" s="43">
        <f t="shared" si="135"/>
        <v>4.3322552190000003</v>
      </c>
      <c r="U611" s="43">
        <f t="shared" si="136"/>
        <v>9.0001386829999994</v>
      </c>
      <c r="V611" s="43">
        <f t="shared" si="137"/>
        <v>8.9751559999999998E-3</v>
      </c>
      <c r="W611" s="230">
        <f t="shared" si="138"/>
        <v>3.1774846711436662E-2</v>
      </c>
      <c r="X611" s="43">
        <f t="shared" si="139"/>
        <v>0.92833838999999996</v>
      </c>
      <c r="Y611" s="43">
        <v>20.702093099999999</v>
      </c>
      <c r="Z611" s="43">
        <f t="shared" si="128"/>
        <v>0</v>
      </c>
      <c r="AA611" s="43">
        <f t="shared" si="129"/>
        <v>96880</v>
      </c>
      <c r="AB611" s="43">
        <f t="shared" si="130"/>
        <v>34598</v>
      </c>
      <c r="AC611" s="43">
        <f t="shared" si="140"/>
        <v>3.788298035593219E-2</v>
      </c>
      <c r="AD611" s="43">
        <f t="shared" si="141"/>
        <v>0.86369592135593187</v>
      </c>
      <c r="AF611" s="43">
        <v>14.800518130275416</v>
      </c>
      <c r="AG611" s="43">
        <v>2.5077443000000001E-2</v>
      </c>
      <c r="AH611" s="43">
        <v>9.4940419999999994E-3</v>
      </c>
      <c r="AI611" s="43">
        <v>0.91013311799999996</v>
      </c>
      <c r="AJ611" s="43">
        <v>4.3322552190000003</v>
      </c>
      <c r="AK611" s="43">
        <v>9.0001386829999994</v>
      </c>
      <c r="AL611" s="43">
        <v>8.9751559999999998E-3</v>
      </c>
      <c r="AM611" s="230">
        <v>3.1774846711436662E-2</v>
      </c>
      <c r="AN611" s="43">
        <v>0.92833838999999996</v>
      </c>
    </row>
    <row r="612" spans="1:40" x14ac:dyDescent="0.25">
      <c r="A612" s="134">
        <v>602</v>
      </c>
      <c r="B612" s="134" t="s">
        <v>200</v>
      </c>
      <c r="C612" s="134" t="s">
        <v>61</v>
      </c>
      <c r="D612" s="134" t="s">
        <v>197</v>
      </c>
      <c r="E612" s="134">
        <v>1</v>
      </c>
      <c r="F612" s="134">
        <v>3</v>
      </c>
      <c r="G612" s="134">
        <v>346</v>
      </c>
      <c r="H612" s="134">
        <v>230</v>
      </c>
      <c r="I612" s="200">
        <v>0.62917284597000001</v>
      </c>
      <c r="J612" s="134">
        <v>233</v>
      </c>
      <c r="K612" s="134">
        <v>370.32748869</v>
      </c>
      <c r="L612" s="42">
        <v>0.93591746499600004</v>
      </c>
      <c r="M612" s="42">
        <v>0.99567099567100004</v>
      </c>
      <c r="N612" s="134">
        <v>0</v>
      </c>
      <c r="O612" s="43" t="s">
        <v>665</v>
      </c>
      <c r="P612" s="43">
        <f t="shared" si="131"/>
        <v>14.109740767772308</v>
      </c>
      <c r="Q612" s="43">
        <f t="shared" si="132"/>
        <v>1.3765660000000001E-2</v>
      </c>
      <c r="R612" s="43">
        <f t="shared" si="133"/>
        <v>6.8091380000000002E-3</v>
      </c>
      <c r="S612" s="43">
        <f t="shared" si="134"/>
        <v>0.93591746499999995</v>
      </c>
      <c r="T612" s="43">
        <f t="shared" si="135"/>
        <v>5.1327623129999997</v>
      </c>
      <c r="U612" s="43">
        <f t="shared" si="136"/>
        <v>10.3546836</v>
      </c>
      <c r="V612" s="43">
        <f t="shared" si="137"/>
        <v>5.0867739999999996E-3</v>
      </c>
      <c r="W612" s="230">
        <f t="shared" si="138"/>
        <v>3.2315978456014366E-3</v>
      </c>
      <c r="X612" s="43">
        <f t="shared" si="139"/>
        <v>0.94230999400000004</v>
      </c>
      <c r="Y612" s="43">
        <v>16.178064930000001</v>
      </c>
      <c r="Z612" s="43">
        <f t="shared" si="128"/>
        <v>0</v>
      </c>
      <c r="AA612" s="43">
        <f t="shared" si="129"/>
        <v>58630</v>
      </c>
      <c r="AB612" s="43">
        <f t="shared" si="130"/>
        <v>21622</v>
      </c>
      <c r="AC612" s="43">
        <f t="shared" si="140"/>
        <v>2.5329828222222222E-2</v>
      </c>
      <c r="AD612" s="43">
        <f t="shared" si="141"/>
        <v>0.8846216263333333</v>
      </c>
      <c r="AF612" s="43">
        <v>14.109740767772308</v>
      </c>
      <c r="AG612" s="43">
        <v>1.3765660000000001E-2</v>
      </c>
      <c r="AH612" s="43">
        <v>6.8091380000000002E-3</v>
      </c>
      <c r="AI612" s="43">
        <v>0.93591746499999995</v>
      </c>
      <c r="AJ612" s="43">
        <v>5.1327623129999997</v>
      </c>
      <c r="AK612" s="43">
        <v>10.3546836</v>
      </c>
      <c r="AL612" s="43">
        <v>5.0867739999999996E-3</v>
      </c>
      <c r="AM612" s="230">
        <v>3.2315978456014366E-3</v>
      </c>
      <c r="AN612" s="43">
        <v>0.94230999400000004</v>
      </c>
    </row>
    <row r="613" spans="1:40" x14ac:dyDescent="0.25">
      <c r="A613" s="134">
        <v>603</v>
      </c>
      <c r="B613" s="134" t="s">
        <v>200</v>
      </c>
      <c r="C613" s="134" t="s">
        <v>61</v>
      </c>
      <c r="D613" s="134" t="s">
        <v>197</v>
      </c>
      <c r="E613" s="134">
        <v>0</v>
      </c>
      <c r="F613" s="134">
        <v>0</v>
      </c>
      <c r="G613" s="134">
        <v>190</v>
      </c>
      <c r="H613" s="134">
        <v>258</v>
      </c>
      <c r="I613" s="200">
        <v>0.32300804311600001</v>
      </c>
      <c r="J613" s="134">
        <v>258</v>
      </c>
      <c r="K613" s="134">
        <v>798.74172021000004</v>
      </c>
      <c r="L613" s="42">
        <v>0.91543609001299997</v>
      </c>
      <c r="M613" s="42">
        <v>1</v>
      </c>
      <c r="N613" s="134">
        <v>0</v>
      </c>
      <c r="O613" s="43" t="s">
        <v>665</v>
      </c>
      <c r="P613" s="43">
        <f t="shared" si="131"/>
        <v>13.921040331631259</v>
      </c>
      <c r="Q613" s="43">
        <f t="shared" si="132"/>
        <v>1.2084592E-2</v>
      </c>
      <c r="R613" s="43">
        <f t="shared" si="133"/>
        <v>7.4540470000000001E-3</v>
      </c>
      <c r="S613" s="43">
        <f t="shared" si="134"/>
        <v>0.91543609000000004</v>
      </c>
      <c r="T613" s="43">
        <f t="shared" si="135"/>
        <v>4.1201478739999997</v>
      </c>
      <c r="U613" s="43">
        <f t="shared" si="136"/>
        <v>10.04842483</v>
      </c>
      <c r="V613" s="43">
        <f t="shared" si="137"/>
        <v>6.2284130000000004E-3</v>
      </c>
      <c r="W613" s="230">
        <f t="shared" si="138"/>
        <v>6.3416567578279811E-3</v>
      </c>
      <c r="X613" s="43">
        <f t="shared" si="139"/>
        <v>0.92327727800000003</v>
      </c>
      <c r="Y613" s="43">
        <v>42.212338099999997</v>
      </c>
      <c r="Z613" s="43">
        <f t="shared" si="128"/>
        <v>0</v>
      </c>
      <c r="AA613" s="43">
        <f t="shared" si="129"/>
        <v>58630</v>
      </c>
      <c r="AB613" s="43">
        <f t="shared" si="130"/>
        <v>21622</v>
      </c>
      <c r="AC613" s="43">
        <f t="shared" si="140"/>
        <v>2.5329828222222222E-2</v>
      </c>
      <c r="AD613" s="43">
        <f t="shared" si="141"/>
        <v>0.8846216263333333</v>
      </c>
      <c r="AF613" s="43">
        <v>13.921040331631259</v>
      </c>
      <c r="AG613" s="43">
        <v>1.2084592E-2</v>
      </c>
      <c r="AH613" s="43">
        <v>7.4540470000000001E-3</v>
      </c>
      <c r="AI613" s="43">
        <v>0.91543609000000004</v>
      </c>
      <c r="AJ613" s="43">
        <v>4.1201478739999997</v>
      </c>
      <c r="AK613" s="43">
        <v>10.04842483</v>
      </c>
      <c r="AL613" s="43">
        <v>6.2284130000000004E-3</v>
      </c>
      <c r="AM613" s="230">
        <v>6.3416567578279811E-3</v>
      </c>
      <c r="AN613" s="43">
        <v>0.92327727800000003</v>
      </c>
    </row>
    <row r="614" spans="1:40" x14ac:dyDescent="0.25">
      <c r="A614" s="134">
        <v>604</v>
      </c>
      <c r="B614" s="134" t="s">
        <v>200</v>
      </c>
      <c r="C614" s="134" t="s">
        <v>61</v>
      </c>
      <c r="D614" s="134" t="s">
        <v>197</v>
      </c>
      <c r="E614" s="134">
        <v>2067</v>
      </c>
      <c r="F614" s="134">
        <v>6287</v>
      </c>
      <c r="G614" s="134">
        <v>405</v>
      </c>
      <c r="H614" s="134">
        <v>1109</v>
      </c>
      <c r="I614" s="200">
        <v>0.69028561039900005</v>
      </c>
      <c r="J614" s="134">
        <v>7396</v>
      </c>
      <c r="K614" s="134">
        <v>10714.405586000001</v>
      </c>
      <c r="L614" s="42">
        <v>0.86110711497400005</v>
      </c>
      <c r="M614" s="42">
        <v>0.34918136020200002</v>
      </c>
      <c r="N614" s="134">
        <v>0</v>
      </c>
      <c r="O614" s="43" t="s">
        <v>666</v>
      </c>
      <c r="P614" s="43">
        <f t="shared" si="131"/>
        <v>13.630249116497366</v>
      </c>
      <c r="Q614" s="43">
        <f t="shared" si="132"/>
        <v>3.3096906000000002E-2</v>
      </c>
      <c r="R614" s="43">
        <f t="shared" si="133"/>
        <v>1.7469405E-2</v>
      </c>
      <c r="S614" s="43">
        <f t="shared" si="134"/>
        <v>0.86110711500000003</v>
      </c>
      <c r="T614" s="43">
        <f t="shared" si="135"/>
        <v>3.0910751869999999</v>
      </c>
      <c r="U614" s="43">
        <f t="shared" si="136"/>
        <v>9.490868656</v>
      </c>
      <c r="V614" s="43">
        <f t="shared" si="137"/>
        <v>6.8997900000000003E-3</v>
      </c>
      <c r="W614" s="230">
        <f t="shared" si="138"/>
        <v>6.2755989898346812E-2</v>
      </c>
      <c r="X614" s="43">
        <f t="shared" si="139"/>
        <v>0.88986067800000002</v>
      </c>
      <c r="Y614" s="43">
        <v>67.029114910000004</v>
      </c>
      <c r="Z614" s="43">
        <f t="shared" si="128"/>
        <v>0</v>
      </c>
      <c r="AA614" s="43">
        <f t="shared" si="129"/>
        <v>58630</v>
      </c>
      <c r="AB614" s="43">
        <f t="shared" si="130"/>
        <v>21622</v>
      </c>
      <c r="AC614" s="43">
        <f t="shared" si="140"/>
        <v>2.5329828222222222E-2</v>
      </c>
      <c r="AD614" s="43">
        <f t="shared" si="141"/>
        <v>0.8846216263333333</v>
      </c>
      <c r="AF614" s="43">
        <v>13.630249116497366</v>
      </c>
      <c r="AG614" s="43">
        <v>3.3096906000000002E-2</v>
      </c>
      <c r="AH614" s="43">
        <v>1.7469405E-2</v>
      </c>
      <c r="AI614" s="43">
        <v>0.86110711500000003</v>
      </c>
      <c r="AJ614" s="43">
        <v>3.0910751869999999</v>
      </c>
      <c r="AK614" s="43">
        <v>9.490868656</v>
      </c>
      <c r="AL614" s="43">
        <v>6.8997900000000003E-3</v>
      </c>
      <c r="AM614" s="230">
        <v>6.2755989898346812E-2</v>
      </c>
      <c r="AN614" s="43">
        <v>0.88986067800000002</v>
      </c>
    </row>
    <row r="615" spans="1:40" x14ac:dyDescent="0.25">
      <c r="A615" s="134">
        <v>605</v>
      </c>
      <c r="B615" s="134" t="s">
        <v>200</v>
      </c>
      <c r="C615" s="134" t="s">
        <v>61</v>
      </c>
      <c r="D615" s="134" t="s">
        <v>197</v>
      </c>
      <c r="E615" s="134">
        <v>2120</v>
      </c>
      <c r="F615" s="134">
        <v>5980</v>
      </c>
      <c r="G615" s="134">
        <v>568</v>
      </c>
      <c r="H615" s="134">
        <v>596</v>
      </c>
      <c r="I615" s="200">
        <v>0.88077418075199998</v>
      </c>
      <c r="J615" s="134">
        <v>6576</v>
      </c>
      <c r="K615" s="134">
        <v>7466.1589130499997</v>
      </c>
      <c r="L615" s="42">
        <v>0.87699682300899995</v>
      </c>
      <c r="M615" s="42">
        <v>0.21944035346099999</v>
      </c>
      <c r="N615" s="134">
        <v>0</v>
      </c>
      <c r="O615" s="43" t="s">
        <v>666</v>
      </c>
      <c r="P615" s="43">
        <f t="shared" si="131"/>
        <v>14.037608170159961</v>
      </c>
      <c r="Q615" s="43">
        <f t="shared" si="132"/>
        <v>3.2236458000000003E-2</v>
      </c>
      <c r="R615" s="43">
        <f t="shared" si="133"/>
        <v>1.3606645000000001E-2</v>
      </c>
      <c r="S615" s="43">
        <f t="shared" si="134"/>
        <v>0.87699682300000004</v>
      </c>
      <c r="T615" s="43">
        <f t="shared" si="135"/>
        <v>3.3192948379999998</v>
      </c>
      <c r="U615" s="43">
        <f t="shared" si="136"/>
        <v>9.8180592359999999</v>
      </c>
      <c r="V615" s="43">
        <f t="shared" si="137"/>
        <v>4.190806E-3</v>
      </c>
      <c r="W615" s="230">
        <f t="shared" si="138"/>
        <v>7.1082288514195124E-2</v>
      </c>
      <c r="X615" s="43">
        <f t="shared" si="139"/>
        <v>0.90558581900000001</v>
      </c>
      <c r="Y615" s="43">
        <v>84.356970840000002</v>
      </c>
      <c r="Z615" s="43">
        <f t="shared" si="128"/>
        <v>0</v>
      </c>
      <c r="AA615" s="43">
        <f t="shared" si="129"/>
        <v>58630</v>
      </c>
      <c r="AB615" s="43">
        <f t="shared" si="130"/>
        <v>21622</v>
      </c>
      <c r="AC615" s="43">
        <f t="shared" si="140"/>
        <v>2.5329828222222222E-2</v>
      </c>
      <c r="AD615" s="43">
        <f t="shared" si="141"/>
        <v>0.8846216263333333</v>
      </c>
      <c r="AF615" s="43">
        <v>14.037608170159961</v>
      </c>
      <c r="AG615" s="43">
        <v>3.2236458000000003E-2</v>
      </c>
      <c r="AH615" s="43">
        <v>1.3606645000000001E-2</v>
      </c>
      <c r="AI615" s="43">
        <v>0.87699682300000004</v>
      </c>
      <c r="AJ615" s="43">
        <v>3.3192948379999998</v>
      </c>
      <c r="AK615" s="43">
        <v>9.8180592359999999</v>
      </c>
      <c r="AL615" s="43">
        <v>4.190806E-3</v>
      </c>
      <c r="AM615" s="230">
        <v>7.1082288514195124E-2</v>
      </c>
      <c r="AN615" s="43">
        <v>0.90558581900000001</v>
      </c>
    </row>
    <row r="616" spans="1:40" x14ac:dyDescent="0.25">
      <c r="A616" s="134">
        <v>606</v>
      </c>
      <c r="B616" s="134" t="s">
        <v>200</v>
      </c>
      <c r="C616" s="134" t="s">
        <v>61</v>
      </c>
      <c r="D616" s="134" t="s">
        <v>197</v>
      </c>
      <c r="E616" s="134">
        <v>743</v>
      </c>
      <c r="F616" s="134">
        <v>2048</v>
      </c>
      <c r="G616" s="134">
        <v>618</v>
      </c>
      <c r="H616" s="134">
        <v>297</v>
      </c>
      <c r="I616" s="200">
        <v>1.1325279609900001</v>
      </c>
      <c r="J616" s="134">
        <v>2345</v>
      </c>
      <c r="K616" s="134">
        <v>2070.58905456</v>
      </c>
      <c r="L616" s="42">
        <v>0.93536076223099995</v>
      </c>
      <c r="M616" s="42">
        <v>0.285576923077</v>
      </c>
      <c r="N616" s="134">
        <v>0</v>
      </c>
      <c r="O616" s="43" t="s">
        <v>665</v>
      </c>
      <c r="P616" s="43">
        <f t="shared" si="131"/>
        <v>15.227693072691361</v>
      </c>
      <c r="Q616" s="43">
        <f t="shared" si="132"/>
        <v>1.6697709000000002E-2</v>
      </c>
      <c r="R616" s="43">
        <f t="shared" si="133"/>
        <v>1.3057378E-2</v>
      </c>
      <c r="S616" s="43">
        <f t="shared" si="134"/>
        <v>0.93536076199999996</v>
      </c>
      <c r="T616" s="43">
        <f t="shared" si="135"/>
        <v>4.1509261569999998</v>
      </c>
      <c r="U616" s="43">
        <f t="shared" si="136"/>
        <v>11.86917927</v>
      </c>
      <c r="V616" s="43">
        <f t="shared" si="137"/>
        <v>2.9958279999999999E-3</v>
      </c>
      <c r="W616" s="230">
        <f t="shared" si="138"/>
        <v>4.2789188715228306E-2</v>
      </c>
      <c r="X616" s="43">
        <f t="shared" si="139"/>
        <v>0.94595819000000003</v>
      </c>
      <c r="Y616" s="43">
        <v>27.28240156</v>
      </c>
      <c r="Z616" s="43">
        <f t="shared" si="128"/>
        <v>0</v>
      </c>
      <c r="AA616" s="43">
        <f t="shared" si="129"/>
        <v>58630</v>
      </c>
      <c r="AB616" s="43">
        <f t="shared" si="130"/>
        <v>21622</v>
      </c>
      <c r="AC616" s="43">
        <f t="shared" si="140"/>
        <v>2.5329828222222222E-2</v>
      </c>
      <c r="AD616" s="43">
        <f t="shared" si="141"/>
        <v>0.8846216263333333</v>
      </c>
      <c r="AF616" s="43">
        <v>15.227693072691361</v>
      </c>
      <c r="AG616" s="43">
        <v>1.6697709000000002E-2</v>
      </c>
      <c r="AH616" s="43">
        <v>1.3057378E-2</v>
      </c>
      <c r="AI616" s="43">
        <v>0.93536076199999996</v>
      </c>
      <c r="AJ616" s="43">
        <v>4.1509261569999998</v>
      </c>
      <c r="AK616" s="43">
        <v>11.86917927</v>
      </c>
      <c r="AL616" s="43">
        <v>2.9958279999999999E-3</v>
      </c>
      <c r="AM616" s="230">
        <v>4.2789188715228306E-2</v>
      </c>
      <c r="AN616" s="43">
        <v>0.94595819000000003</v>
      </c>
    </row>
    <row r="617" spans="1:40" x14ac:dyDescent="0.25">
      <c r="A617" s="134">
        <v>607</v>
      </c>
      <c r="B617" s="134" t="s">
        <v>200</v>
      </c>
      <c r="C617" s="134" t="s">
        <v>61</v>
      </c>
      <c r="D617" s="134" t="s">
        <v>197</v>
      </c>
      <c r="E617" s="134">
        <v>1312</v>
      </c>
      <c r="F617" s="134">
        <v>3674</v>
      </c>
      <c r="G617" s="134">
        <v>605</v>
      </c>
      <c r="H617" s="134">
        <v>373</v>
      </c>
      <c r="I617" s="200">
        <v>0.95077577145699999</v>
      </c>
      <c r="J617" s="134">
        <v>4047</v>
      </c>
      <c r="K617" s="134">
        <v>4256.52411588</v>
      </c>
      <c r="L617" s="42">
        <v>0.9010541125</v>
      </c>
      <c r="M617" s="42">
        <v>0.22136498516299999</v>
      </c>
      <c r="N617" s="134">
        <v>0</v>
      </c>
      <c r="O617" s="43" t="s">
        <v>665</v>
      </c>
      <c r="P617" s="43">
        <f t="shared" si="131"/>
        <v>15.320161164369393</v>
      </c>
      <c r="Q617" s="43">
        <f t="shared" si="132"/>
        <v>2.2066280000000001E-2</v>
      </c>
      <c r="R617" s="43">
        <f t="shared" si="133"/>
        <v>1.2205100999999999E-2</v>
      </c>
      <c r="S617" s="43">
        <f t="shared" si="134"/>
        <v>0.90105411300000005</v>
      </c>
      <c r="T617" s="43">
        <f t="shared" si="135"/>
        <v>3.676319726</v>
      </c>
      <c r="U617" s="43">
        <f t="shared" si="136"/>
        <v>11.09819407</v>
      </c>
      <c r="V617" s="43">
        <f t="shared" si="137"/>
        <v>2.7001719999999998E-3</v>
      </c>
      <c r="W617" s="230">
        <f t="shared" si="138"/>
        <v>5.5279625523527963E-2</v>
      </c>
      <c r="X617" s="43">
        <f t="shared" si="139"/>
        <v>0.92964276899999998</v>
      </c>
      <c r="Y617" s="43">
        <v>60.574528030000003</v>
      </c>
      <c r="Z617" s="43">
        <f t="shared" si="128"/>
        <v>0</v>
      </c>
      <c r="AA617" s="43">
        <f t="shared" si="129"/>
        <v>58630</v>
      </c>
      <c r="AB617" s="43">
        <f t="shared" si="130"/>
        <v>21622</v>
      </c>
      <c r="AC617" s="43">
        <f t="shared" si="140"/>
        <v>2.5329828222222222E-2</v>
      </c>
      <c r="AD617" s="43">
        <f t="shared" si="141"/>
        <v>0.8846216263333333</v>
      </c>
      <c r="AF617" s="43">
        <v>15.320161164369393</v>
      </c>
      <c r="AG617" s="43">
        <v>2.2066280000000001E-2</v>
      </c>
      <c r="AH617" s="43">
        <v>1.2205100999999999E-2</v>
      </c>
      <c r="AI617" s="43">
        <v>0.90105411300000005</v>
      </c>
      <c r="AJ617" s="43">
        <v>3.676319726</v>
      </c>
      <c r="AK617" s="43">
        <v>11.09819407</v>
      </c>
      <c r="AL617" s="43">
        <v>2.7001719999999998E-3</v>
      </c>
      <c r="AM617" s="230">
        <v>5.5279625523527963E-2</v>
      </c>
      <c r="AN617" s="43">
        <v>0.92964276899999998</v>
      </c>
    </row>
    <row r="618" spans="1:40" x14ac:dyDescent="0.25">
      <c r="A618" s="134">
        <v>608</v>
      </c>
      <c r="B618" s="134" t="s">
        <v>200</v>
      </c>
      <c r="C618" s="134" t="s">
        <v>61</v>
      </c>
      <c r="D618" s="134" t="s">
        <v>197</v>
      </c>
      <c r="E618" s="134">
        <v>1341</v>
      </c>
      <c r="F618" s="134">
        <v>3840</v>
      </c>
      <c r="G618" s="134">
        <v>328</v>
      </c>
      <c r="H618" s="134">
        <v>422</v>
      </c>
      <c r="I618" s="200">
        <v>0.51206558586700002</v>
      </c>
      <c r="J618" s="134">
        <v>4262</v>
      </c>
      <c r="K618" s="134">
        <v>8323.1525758200005</v>
      </c>
      <c r="L618" s="42">
        <v>0.81183571873100002</v>
      </c>
      <c r="M618" s="42">
        <v>0.23936471922899999</v>
      </c>
      <c r="N618" s="134">
        <v>0</v>
      </c>
      <c r="O618" s="43" t="s">
        <v>666</v>
      </c>
      <c r="P618" s="43">
        <f t="shared" si="131"/>
        <v>14.210103469889514</v>
      </c>
      <c r="Q618" s="43">
        <f t="shared" si="132"/>
        <v>3.0722408E-2</v>
      </c>
      <c r="R618" s="43">
        <f t="shared" si="133"/>
        <v>5.8559710000000001E-2</v>
      </c>
      <c r="S618" s="43">
        <f t="shared" si="134"/>
        <v>0.81183571899999996</v>
      </c>
      <c r="T618" s="43">
        <f t="shared" si="135"/>
        <v>2.5763862729999998</v>
      </c>
      <c r="U618" s="43">
        <f t="shared" si="136"/>
        <v>9.2290289209999994</v>
      </c>
      <c r="V618" s="43">
        <f t="shared" si="137"/>
        <v>3.9496059999999996E-3</v>
      </c>
      <c r="W618" s="230">
        <f t="shared" si="138"/>
        <v>5.872296074164822E-2</v>
      </c>
      <c r="X618" s="43">
        <f t="shared" si="139"/>
        <v>0.91132586100000001</v>
      </c>
      <c r="Y618" s="43">
        <v>108.7886716</v>
      </c>
      <c r="Z618" s="43">
        <f t="shared" si="128"/>
        <v>0</v>
      </c>
      <c r="AA618" s="43">
        <f t="shared" si="129"/>
        <v>58630</v>
      </c>
      <c r="AB618" s="43">
        <f t="shared" si="130"/>
        <v>21622</v>
      </c>
      <c r="AC618" s="43">
        <f t="shared" si="140"/>
        <v>2.5329828222222222E-2</v>
      </c>
      <c r="AD618" s="43">
        <f t="shared" si="141"/>
        <v>0.8846216263333333</v>
      </c>
      <c r="AF618" s="43">
        <v>14.210103469889514</v>
      </c>
      <c r="AG618" s="43">
        <v>3.0722408E-2</v>
      </c>
      <c r="AH618" s="43">
        <v>5.8559710000000001E-2</v>
      </c>
      <c r="AI618" s="43">
        <v>0.81183571899999996</v>
      </c>
      <c r="AJ618" s="43">
        <v>2.5763862729999998</v>
      </c>
      <c r="AK618" s="43">
        <v>9.2290289209999994</v>
      </c>
      <c r="AL618" s="43">
        <v>3.9496059999999996E-3</v>
      </c>
      <c r="AM618" s="230">
        <v>5.872296074164822E-2</v>
      </c>
      <c r="AN618" s="43">
        <v>0.91132586100000001</v>
      </c>
    </row>
    <row r="619" spans="1:40" x14ac:dyDescent="0.25">
      <c r="A619" s="134">
        <v>609</v>
      </c>
      <c r="B619" s="134" t="s">
        <v>200</v>
      </c>
      <c r="C619" s="134" t="s">
        <v>61</v>
      </c>
      <c r="D619" s="134" t="s">
        <v>197</v>
      </c>
      <c r="E619" s="134">
        <v>942</v>
      </c>
      <c r="F619" s="134">
        <v>2496</v>
      </c>
      <c r="G619" s="134">
        <v>167</v>
      </c>
      <c r="H619" s="134">
        <v>2021</v>
      </c>
      <c r="I619" s="200">
        <v>0.219763717108</v>
      </c>
      <c r="J619" s="134">
        <v>4517</v>
      </c>
      <c r="K619" s="134">
        <v>20553.8933335</v>
      </c>
      <c r="L619" s="42">
        <v>0.84876828358300005</v>
      </c>
      <c r="M619" s="42">
        <v>0.68207897401299999</v>
      </c>
      <c r="N619" s="134">
        <v>1</v>
      </c>
      <c r="O619" s="43" t="s">
        <v>664</v>
      </c>
      <c r="P619" s="43">
        <f t="shared" si="131"/>
        <v>13.418446069923766</v>
      </c>
      <c r="Q619" s="43">
        <f t="shared" si="132"/>
        <v>3.5321587000000002E-2</v>
      </c>
      <c r="R619" s="43">
        <f t="shared" si="133"/>
        <v>1.2685966999999999E-2</v>
      </c>
      <c r="S619" s="43">
        <f t="shared" si="134"/>
        <v>0.84876828400000004</v>
      </c>
      <c r="T619" s="43">
        <f t="shared" si="135"/>
        <v>3.0254333799999999</v>
      </c>
      <c r="U619" s="43">
        <f t="shared" si="136"/>
        <v>8.108386264</v>
      </c>
      <c r="V619" s="43">
        <f t="shared" si="137"/>
        <v>8.061828E-3</v>
      </c>
      <c r="W619" s="230">
        <f t="shared" si="138"/>
        <v>6.7798516790267493E-2</v>
      </c>
      <c r="X619" s="43">
        <f t="shared" si="139"/>
        <v>0.87345221200000001</v>
      </c>
      <c r="Y619" s="43">
        <v>53.225928660000001</v>
      </c>
      <c r="Z619" s="43">
        <f t="shared" si="128"/>
        <v>0</v>
      </c>
      <c r="AA619" s="43">
        <f t="shared" si="129"/>
        <v>58630</v>
      </c>
      <c r="AB619" s="43">
        <f t="shared" si="130"/>
        <v>21622</v>
      </c>
      <c r="AC619" s="43">
        <f t="shared" si="140"/>
        <v>2.5329828222222222E-2</v>
      </c>
      <c r="AD619" s="43">
        <f t="shared" si="141"/>
        <v>0.8846216263333333</v>
      </c>
      <c r="AF619" s="43">
        <v>13.418446069923766</v>
      </c>
      <c r="AG619" s="43">
        <v>3.5321587000000002E-2</v>
      </c>
      <c r="AH619" s="43">
        <v>1.2685966999999999E-2</v>
      </c>
      <c r="AI619" s="43">
        <v>0.84876828400000004</v>
      </c>
      <c r="AJ619" s="43">
        <v>3.0254333799999999</v>
      </c>
      <c r="AK619" s="43">
        <v>8.108386264</v>
      </c>
      <c r="AL619" s="43">
        <v>8.061828E-3</v>
      </c>
      <c r="AM619" s="230">
        <v>6.7798516790267493E-2</v>
      </c>
      <c r="AN619" s="43">
        <v>0.87345221200000001</v>
      </c>
    </row>
    <row r="620" spans="1:40" x14ac:dyDescent="0.25">
      <c r="A620" s="134">
        <v>610</v>
      </c>
      <c r="B620" s="134" t="s">
        <v>200</v>
      </c>
      <c r="C620" s="134" t="s">
        <v>61</v>
      </c>
      <c r="D620" s="134" t="s">
        <v>197</v>
      </c>
      <c r="E620" s="134">
        <v>468</v>
      </c>
      <c r="F620" s="134">
        <v>1241</v>
      </c>
      <c r="G620" s="134">
        <v>55</v>
      </c>
      <c r="H620" s="134">
        <v>407</v>
      </c>
      <c r="I620" s="200">
        <v>0.105817201914</v>
      </c>
      <c r="J620" s="134">
        <v>1648</v>
      </c>
      <c r="K620" s="134">
        <v>15574.0273812</v>
      </c>
      <c r="L620" s="42">
        <v>0.86634572419199996</v>
      </c>
      <c r="M620" s="42">
        <v>0.46514285714300002</v>
      </c>
      <c r="N620" s="134">
        <v>0</v>
      </c>
      <c r="O620" s="43" t="s">
        <v>664</v>
      </c>
      <c r="P620" s="43">
        <f t="shared" si="131"/>
        <v>13.212775495058313</v>
      </c>
      <c r="Q620" s="43">
        <f t="shared" si="132"/>
        <v>3.0209037000000001E-2</v>
      </c>
      <c r="R620" s="43">
        <f t="shared" si="133"/>
        <v>1.4892514000000001E-2</v>
      </c>
      <c r="S620" s="43">
        <f t="shared" si="134"/>
        <v>0.86634572399999998</v>
      </c>
      <c r="T620" s="43">
        <f t="shared" si="135"/>
        <v>3.171851041</v>
      </c>
      <c r="U620" s="43">
        <f t="shared" si="136"/>
        <v>8.5742990970000008</v>
      </c>
      <c r="V620" s="43">
        <f t="shared" si="137"/>
        <v>8.5781039999999996E-3</v>
      </c>
      <c r="W620" s="230">
        <f t="shared" si="138"/>
        <v>5.5774365821094796E-2</v>
      </c>
      <c r="X620" s="43">
        <f t="shared" si="139"/>
        <v>0.89659546099999998</v>
      </c>
      <c r="Y620" s="43">
        <v>62.866466580000001</v>
      </c>
      <c r="Z620" s="43">
        <f t="shared" si="128"/>
        <v>0</v>
      </c>
      <c r="AA620" s="43">
        <f t="shared" si="129"/>
        <v>58630</v>
      </c>
      <c r="AB620" s="43">
        <f t="shared" si="130"/>
        <v>21622</v>
      </c>
      <c r="AC620" s="43">
        <f t="shared" si="140"/>
        <v>2.5329828222222222E-2</v>
      </c>
      <c r="AD620" s="43">
        <f t="shared" si="141"/>
        <v>0.8846216263333333</v>
      </c>
      <c r="AF620" s="43">
        <v>13.212775495058313</v>
      </c>
      <c r="AG620" s="43">
        <v>3.0209037000000001E-2</v>
      </c>
      <c r="AH620" s="43">
        <v>1.4892514000000001E-2</v>
      </c>
      <c r="AI620" s="43">
        <v>0.86634572399999998</v>
      </c>
      <c r="AJ620" s="43">
        <v>3.171851041</v>
      </c>
      <c r="AK620" s="43">
        <v>8.5742990970000008</v>
      </c>
      <c r="AL620" s="43">
        <v>8.5781039999999996E-3</v>
      </c>
      <c r="AM620" s="230">
        <v>5.5774365821094796E-2</v>
      </c>
      <c r="AN620" s="43">
        <v>0.89659546099999998</v>
      </c>
    </row>
    <row r="621" spans="1:40" x14ac:dyDescent="0.25">
      <c r="A621" s="134">
        <v>611</v>
      </c>
      <c r="B621" s="134" t="s">
        <v>200</v>
      </c>
      <c r="C621" s="134" t="s">
        <v>61</v>
      </c>
      <c r="D621" s="134" t="s">
        <v>197</v>
      </c>
      <c r="E621" s="134">
        <v>207</v>
      </c>
      <c r="F621" s="134">
        <v>489</v>
      </c>
      <c r="G621" s="134">
        <v>44</v>
      </c>
      <c r="H621" s="134">
        <v>398</v>
      </c>
      <c r="I621" s="200">
        <v>8.1570265789599999E-2</v>
      </c>
      <c r="J621" s="134">
        <v>887</v>
      </c>
      <c r="K621" s="134">
        <v>10874.0604363</v>
      </c>
      <c r="L621" s="42">
        <v>0.85820096376900001</v>
      </c>
      <c r="M621" s="42">
        <v>0.65785123966900005</v>
      </c>
      <c r="N621" s="134">
        <v>0</v>
      </c>
      <c r="O621" s="43" t="s">
        <v>664</v>
      </c>
      <c r="P621" s="43">
        <f t="shared" si="131"/>
        <v>12.716475104207099</v>
      </c>
      <c r="Q621" s="43">
        <f t="shared" si="132"/>
        <v>2.9964107E-2</v>
      </c>
      <c r="R621" s="43">
        <f t="shared" si="133"/>
        <v>1.280564E-2</v>
      </c>
      <c r="S621" s="43">
        <f t="shared" si="134"/>
        <v>0.85820096400000001</v>
      </c>
      <c r="T621" s="43">
        <f t="shared" si="135"/>
        <v>3.0083397980000002</v>
      </c>
      <c r="U621" s="43">
        <f t="shared" si="136"/>
        <v>7.5612767879999998</v>
      </c>
      <c r="V621" s="43">
        <f t="shared" si="137"/>
        <v>7.4949190000000001E-3</v>
      </c>
      <c r="W621" s="230">
        <f t="shared" si="138"/>
        <v>4.9860264227642274E-2</v>
      </c>
      <c r="X621" s="43">
        <f t="shared" si="139"/>
        <v>0.88141514200000004</v>
      </c>
      <c r="Y621" s="43">
        <v>110.2378413</v>
      </c>
      <c r="Z621" s="43">
        <f t="shared" si="128"/>
        <v>0</v>
      </c>
      <c r="AA621" s="43">
        <f t="shared" si="129"/>
        <v>58630</v>
      </c>
      <c r="AB621" s="43">
        <f t="shared" si="130"/>
        <v>21622</v>
      </c>
      <c r="AC621" s="43">
        <f t="shared" si="140"/>
        <v>2.5329828222222222E-2</v>
      </c>
      <c r="AD621" s="43">
        <f t="shared" si="141"/>
        <v>0.8846216263333333</v>
      </c>
      <c r="AF621" s="43">
        <v>12.716475104207099</v>
      </c>
      <c r="AG621" s="43">
        <v>2.9964107E-2</v>
      </c>
      <c r="AH621" s="43">
        <v>1.280564E-2</v>
      </c>
      <c r="AI621" s="43">
        <v>0.85820096400000001</v>
      </c>
      <c r="AJ621" s="43">
        <v>3.0083397980000002</v>
      </c>
      <c r="AK621" s="43">
        <v>7.5612767879999998</v>
      </c>
      <c r="AL621" s="43">
        <v>7.4949190000000001E-3</v>
      </c>
      <c r="AM621" s="230">
        <v>4.9860264227642274E-2</v>
      </c>
      <c r="AN621" s="43">
        <v>0.88141514200000004</v>
      </c>
    </row>
    <row r="622" spans="1:40" x14ac:dyDescent="0.25">
      <c r="A622" s="134">
        <v>612</v>
      </c>
      <c r="B622" s="134" t="s">
        <v>200</v>
      </c>
      <c r="C622" s="134" t="s">
        <v>61</v>
      </c>
      <c r="D622" s="134" t="s">
        <v>197</v>
      </c>
      <c r="E622" s="134">
        <v>156</v>
      </c>
      <c r="F622" s="134">
        <v>368</v>
      </c>
      <c r="G622" s="134">
        <v>54</v>
      </c>
      <c r="H622" s="134">
        <v>169</v>
      </c>
      <c r="I622" s="200">
        <v>4.5819485031099998E-2</v>
      </c>
      <c r="J622" s="134">
        <v>537</v>
      </c>
      <c r="K622" s="134">
        <v>11719.904744400001</v>
      </c>
      <c r="L622" s="42">
        <v>0.85756022088499995</v>
      </c>
      <c r="M622" s="42">
        <v>0.52</v>
      </c>
      <c r="N622" s="134">
        <v>1</v>
      </c>
      <c r="O622" s="43" t="s">
        <v>664</v>
      </c>
      <c r="P622" s="43">
        <f t="shared" si="131"/>
        <v>12.956425159006564</v>
      </c>
      <c r="Q622" s="43">
        <f t="shared" si="132"/>
        <v>3.0507526E-2</v>
      </c>
      <c r="R622" s="43">
        <f t="shared" si="133"/>
        <v>1.2797195000000001E-2</v>
      </c>
      <c r="S622" s="43">
        <f t="shared" si="134"/>
        <v>0.85756022099999996</v>
      </c>
      <c r="T622" s="43">
        <f t="shared" si="135"/>
        <v>3.0826339570000001</v>
      </c>
      <c r="U622" s="43">
        <f t="shared" si="136"/>
        <v>7.62571961</v>
      </c>
      <c r="V622" s="43">
        <f t="shared" si="137"/>
        <v>5.1895780000000002E-3</v>
      </c>
      <c r="W622" s="230">
        <f t="shared" si="138"/>
        <v>5.0801383887594441E-2</v>
      </c>
      <c r="X622" s="43">
        <f t="shared" si="139"/>
        <v>0.86934265300000002</v>
      </c>
      <c r="Y622" s="43">
        <v>105.9297009</v>
      </c>
      <c r="Z622" s="43">
        <f t="shared" si="128"/>
        <v>0</v>
      </c>
      <c r="AA622" s="43">
        <f t="shared" si="129"/>
        <v>58630</v>
      </c>
      <c r="AB622" s="43">
        <f t="shared" si="130"/>
        <v>21622</v>
      </c>
      <c r="AC622" s="43">
        <f t="shared" si="140"/>
        <v>2.5329828222222222E-2</v>
      </c>
      <c r="AD622" s="43">
        <f t="shared" si="141"/>
        <v>0.8846216263333333</v>
      </c>
      <c r="AF622" s="43">
        <v>12.956425159006564</v>
      </c>
      <c r="AG622" s="43">
        <v>3.0507526E-2</v>
      </c>
      <c r="AH622" s="43">
        <v>1.2797195000000001E-2</v>
      </c>
      <c r="AI622" s="43">
        <v>0.85756022099999996</v>
      </c>
      <c r="AJ622" s="43">
        <v>3.0826339570000001</v>
      </c>
      <c r="AK622" s="43">
        <v>7.62571961</v>
      </c>
      <c r="AL622" s="43">
        <v>5.1895780000000002E-3</v>
      </c>
      <c r="AM622" s="230">
        <v>5.0801383887594441E-2</v>
      </c>
      <c r="AN622" s="43">
        <v>0.86934265300000002</v>
      </c>
    </row>
    <row r="623" spans="1:40" x14ac:dyDescent="0.25">
      <c r="A623" s="134">
        <v>613</v>
      </c>
      <c r="B623" s="134" t="s">
        <v>200</v>
      </c>
      <c r="C623" s="134" t="s">
        <v>61</v>
      </c>
      <c r="D623" s="134" t="s">
        <v>197</v>
      </c>
      <c r="E623" s="134">
        <v>294</v>
      </c>
      <c r="F623" s="134">
        <v>694</v>
      </c>
      <c r="G623" s="134">
        <v>55</v>
      </c>
      <c r="H623" s="134">
        <v>615</v>
      </c>
      <c r="I623" s="200">
        <v>0.10259375845300001</v>
      </c>
      <c r="J623" s="134">
        <v>1309</v>
      </c>
      <c r="K623" s="134">
        <v>12759.0607824</v>
      </c>
      <c r="L623" s="42">
        <v>0.84772819436900004</v>
      </c>
      <c r="M623" s="42">
        <v>0.67656765676599995</v>
      </c>
      <c r="N623" s="134">
        <v>1</v>
      </c>
      <c r="O623" s="43" t="s">
        <v>664</v>
      </c>
      <c r="P623" s="43">
        <f t="shared" si="131"/>
        <v>12.768987816276361</v>
      </c>
      <c r="Q623" s="43">
        <f t="shared" si="132"/>
        <v>4.0615687999999997E-2</v>
      </c>
      <c r="R623" s="43">
        <f t="shared" si="133"/>
        <v>1.2687554E-2</v>
      </c>
      <c r="S623" s="43">
        <f t="shared" si="134"/>
        <v>0.84772819399999999</v>
      </c>
      <c r="T623" s="43">
        <f t="shared" si="135"/>
        <v>3.0022212970000002</v>
      </c>
      <c r="U623" s="43">
        <f t="shared" si="136"/>
        <v>7.7430050369999996</v>
      </c>
      <c r="V623" s="43">
        <f t="shared" si="137"/>
        <v>7.5455009999999996E-3</v>
      </c>
      <c r="W623" s="230">
        <f t="shared" si="138"/>
        <v>7.5554858218748217E-2</v>
      </c>
      <c r="X623" s="43">
        <f t="shared" si="139"/>
        <v>0.86269755199999998</v>
      </c>
      <c r="Y623" s="43">
        <v>72.912173510000002</v>
      </c>
      <c r="Z623" s="43">
        <f t="shared" si="128"/>
        <v>0</v>
      </c>
      <c r="AA623" s="43">
        <f t="shared" si="129"/>
        <v>58630</v>
      </c>
      <c r="AB623" s="43">
        <f t="shared" si="130"/>
        <v>21622</v>
      </c>
      <c r="AC623" s="43">
        <f t="shared" si="140"/>
        <v>2.5329828222222222E-2</v>
      </c>
      <c r="AD623" s="43">
        <f t="shared" si="141"/>
        <v>0.8846216263333333</v>
      </c>
      <c r="AF623" s="43">
        <v>12.768987816276361</v>
      </c>
      <c r="AG623" s="43">
        <v>4.0615687999999997E-2</v>
      </c>
      <c r="AH623" s="43">
        <v>1.2687554E-2</v>
      </c>
      <c r="AI623" s="43">
        <v>0.84772819399999999</v>
      </c>
      <c r="AJ623" s="43">
        <v>3.0022212970000002</v>
      </c>
      <c r="AK623" s="43">
        <v>7.7430050369999996</v>
      </c>
      <c r="AL623" s="43">
        <v>7.5455009999999996E-3</v>
      </c>
      <c r="AM623" s="230">
        <v>7.5554858218748217E-2</v>
      </c>
      <c r="AN623" s="43">
        <v>0.86269755199999998</v>
      </c>
    </row>
    <row r="624" spans="1:40" x14ac:dyDescent="0.25">
      <c r="A624" s="134">
        <v>614</v>
      </c>
      <c r="B624" s="134" t="s">
        <v>200</v>
      </c>
      <c r="C624" s="134" t="s">
        <v>61</v>
      </c>
      <c r="D624" s="134" t="s">
        <v>197</v>
      </c>
      <c r="E624" s="134">
        <v>350</v>
      </c>
      <c r="F624" s="134">
        <v>825</v>
      </c>
      <c r="G624" s="134">
        <v>45</v>
      </c>
      <c r="H624" s="134">
        <v>372</v>
      </c>
      <c r="I624" s="200">
        <v>8.3429949422300004E-2</v>
      </c>
      <c r="J624" s="134">
        <v>1197</v>
      </c>
      <c r="K624" s="134">
        <v>14347.365763600001</v>
      </c>
      <c r="L624" s="42">
        <v>0.84046485652699998</v>
      </c>
      <c r="M624" s="42">
        <v>0.51523545706399998</v>
      </c>
      <c r="N624" s="134">
        <v>1</v>
      </c>
      <c r="O624" s="43" t="s">
        <v>664</v>
      </c>
      <c r="P624" s="43">
        <f t="shared" si="131"/>
        <v>12.997714766359456</v>
      </c>
      <c r="Q624" s="43">
        <f t="shared" si="132"/>
        <v>4.0889595000000001E-2</v>
      </c>
      <c r="R624" s="43">
        <f t="shared" si="133"/>
        <v>1.3783095E-2</v>
      </c>
      <c r="S624" s="43">
        <f t="shared" si="134"/>
        <v>0.84046485699999995</v>
      </c>
      <c r="T624" s="43">
        <f t="shared" si="135"/>
        <v>2.9675199559999998</v>
      </c>
      <c r="U624" s="43">
        <f t="shared" si="136"/>
        <v>7.7146719419999998</v>
      </c>
      <c r="V624" s="43">
        <f t="shared" si="137"/>
        <v>7.6358490000000001E-3</v>
      </c>
      <c r="W624" s="230">
        <f t="shared" si="138"/>
        <v>8.0406806437810618E-2</v>
      </c>
      <c r="X624" s="43">
        <f t="shared" si="139"/>
        <v>0.85661389600000004</v>
      </c>
      <c r="Y624" s="43">
        <v>79.415334259999995</v>
      </c>
      <c r="Z624" s="43">
        <f t="shared" si="128"/>
        <v>0</v>
      </c>
      <c r="AA624" s="43">
        <f t="shared" si="129"/>
        <v>58630</v>
      </c>
      <c r="AB624" s="43">
        <f t="shared" si="130"/>
        <v>21622</v>
      </c>
      <c r="AC624" s="43">
        <f t="shared" si="140"/>
        <v>2.5329828222222222E-2</v>
      </c>
      <c r="AD624" s="43">
        <f t="shared" si="141"/>
        <v>0.8846216263333333</v>
      </c>
      <c r="AF624" s="43">
        <v>12.997714766359456</v>
      </c>
      <c r="AG624" s="43">
        <v>4.0889595000000001E-2</v>
      </c>
      <c r="AH624" s="43">
        <v>1.3783095E-2</v>
      </c>
      <c r="AI624" s="43">
        <v>0.84046485699999995</v>
      </c>
      <c r="AJ624" s="43">
        <v>2.9675199559999998</v>
      </c>
      <c r="AK624" s="43">
        <v>7.7146719419999998</v>
      </c>
      <c r="AL624" s="43">
        <v>7.6358490000000001E-3</v>
      </c>
      <c r="AM624" s="230">
        <v>8.0406806437810618E-2</v>
      </c>
      <c r="AN624" s="43">
        <v>0.85661389600000004</v>
      </c>
    </row>
    <row r="625" spans="1:40" x14ac:dyDescent="0.25">
      <c r="A625" s="134">
        <v>615</v>
      </c>
      <c r="B625" s="134" t="s">
        <v>200</v>
      </c>
      <c r="C625" s="134" t="s">
        <v>61</v>
      </c>
      <c r="D625" s="134" t="s">
        <v>197</v>
      </c>
      <c r="E625" s="134">
        <v>1590</v>
      </c>
      <c r="F625" s="134">
        <v>4120</v>
      </c>
      <c r="G625" s="134">
        <v>364</v>
      </c>
      <c r="H625" s="134">
        <v>833</v>
      </c>
      <c r="I625" s="200">
        <v>0.50770770166599999</v>
      </c>
      <c r="J625" s="134">
        <v>4953</v>
      </c>
      <c r="K625" s="134">
        <v>9755.6132864400006</v>
      </c>
      <c r="L625" s="42">
        <v>0.87392742223800002</v>
      </c>
      <c r="M625" s="42">
        <v>0.343788691704</v>
      </c>
      <c r="N625" s="134">
        <v>0</v>
      </c>
      <c r="O625" s="43" t="s">
        <v>666</v>
      </c>
      <c r="P625" s="43">
        <f t="shared" si="131"/>
        <v>14.445039552366701</v>
      </c>
      <c r="Q625" s="43">
        <f t="shared" si="132"/>
        <v>2.6198128000000001E-2</v>
      </c>
      <c r="R625" s="43">
        <f t="shared" si="133"/>
        <v>1.2915624000000001E-2</v>
      </c>
      <c r="S625" s="43">
        <f t="shared" si="134"/>
        <v>0.87392742199999995</v>
      </c>
      <c r="T625" s="43">
        <f t="shared" si="135"/>
        <v>3.240094928</v>
      </c>
      <c r="U625" s="43">
        <f t="shared" si="136"/>
        <v>9.8269990790000001</v>
      </c>
      <c r="V625" s="43">
        <f t="shared" si="137"/>
        <v>4.6180939999999997E-3</v>
      </c>
      <c r="W625" s="230">
        <f t="shared" si="138"/>
        <v>5.0545889823919346E-2</v>
      </c>
      <c r="X625" s="43">
        <f t="shared" si="139"/>
        <v>0.91225259599999997</v>
      </c>
      <c r="Y625" s="43">
        <v>112.4195885</v>
      </c>
      <c r="Z625" s="43">
        <f t="shared" si="128"/>
        <v>0</v>
      </c>
      <c r="AA625" s="43">
        <f t="shared" si="129"/>
        <v>58630</v>
      </c>
      <c r="AB625" s="43">
        <f t="shared" si="130"/>
        <v>21622</v>
      </c>
      <c r="AC625" s="43">
        <f t="shared" si="140"/>
        <v>2.5329828222222222E-2</v>
      </c>
      <c r="AD625" s="43">
        <f t="shared" si="141"/>
        <v>0.8846216263333333</v>
      </c>
      <c r="AF625" s="43">
        <v>14.445039552366701</v>
      </c>
      <c r="AG625" s="43">
        <v>2.6198128000000001E-2</v>
      </c>
      <c r="AH625" s="43">
        <v>1.2915624000000001E-2</v>
      </c>
      <c r="AI625" s="43">
        <v>0.87392742199999995</v>
      </c>
      <c r="AJ625" s="43">
        <v>3.240094928</v>
      </c>
      <c r="AK625" s="43">
        <v>9.8269990790000001</v>
      </c>
      <c r="AL625" s="43">
        <v>4.6180939999999997E-3</v>
      </c>
      <c r="AM625" s="230">
        <v>5.0545889823919346E-2</v>
      </c>
      <c r="AN625" s="43">
        <v>0.91225259599999997</v>
      </c>
    </row>
    <row r="626" spans="1:40" x14ac:dyDescent="0.25">
      <c r="A626" s="134">
        <v>616</v>
      </c>
      <c r="B626" s="134" t="s">
        <v>200</v>
      </c>
      <c r="C626" s="134" t="s">
        <v>61</v>
      </c>
      <c r="D626" s="134" t="s">
        <v>197</v>
      </c>
      <c r="E626" s="134">
        <v>2444</v>
      </c>
      <c r="F626" s="134">
        <v>6973</v>
      </c>
      <c r="G626" s="134">
        <v>1280</v>
      </c>
      <c r="H626" s="134">
        <v>1197</v>
      </c>
      <c r="I626" s="200">
        <v>2.2810155510999999</v>
      </c>
      <c r="J626" s="134">
        <v>8170</v>
      </c>
      <c r="K626" s="134">
        <v>3581.7379658200002</v>
      </c>
      <c r="L626" s="42">
        <v>0.87920113325500004</v>
      </c>
      <c r="M626" s="42">
        <v>0.32875583630900002</v>
      </c>
      <c r="N626" s="134">
        <v>0</v>
      </c>
      <c r="O626" s="43" t="s">
        <v>666</v>
      </c>
      <c r="P626" s="43">
        <f t="shared" si="131"/>
        <v>15.202261955774484</v>
      </c>
      <c r="Q626" s="43">
        <f t="shared" si="132"/>
        <v>2.6892711E-2</v>
      </c>
      <c r="R626" s="43">
        <f t="shared" si="133"/>
        <v>1.2790055E-2</v>
      </c>
      <c r="S626" s="43">
        <f t="shared" si="134"/>
        <v>0.87920113300000002</v>
      </c>
      <c r="T626" s="43">
        <f t="shared" si="135"/>
        <v>3.3647235059999998</v>
      </c>
      <c r="U626" s="43">
        <f t="shared" si="136"/>
        <v>10.99805321</v>
      </c>
      <c r="V626" s="43">
        <f t="shared" si="137"/>
        <v>3.331072E-3</v>
      </c>
      <c r="W626" s="230">
        <f t="shared" si="138"/>
        <v>5.7819338792254149E-2</v>
      </c>
      <c r="X626" s="43">
        <f t="shared" si="139"/>
        <v>0.91085848800000002</v>
      </c>
      <c r="Y626" s="43">
        <v>38.992833300000001</v>
      </c>
      <c r="Z626" s="43">
        <f t="shared" si="128"/>
        <v>0</v>
      </c>
      <c r="AA626" s="43">
        <f t="shared" si="129"/>
        <v>58630</v>
      </c>
      <c r="AB626" s="43">
        <f t="shared" si="130"/>
        <v>21622</v>
      </c>
      <c r="AC626" s="43">
        <f t="shared" si="140"/>
        <v>2.5329828222222222E-2</v>
      </c>
      <c r="AD626" s="43">
        <f t="shared" si="141"/>
        <v>0.8846216263333333</v>
      </c>
      <c r="AF626" s="43">
        <v>15.202261955774484</v>
      </c>
      <c r="AG626" s="43">
        <v>2.6892711E-2</v>
      </c>
      <c r="AH626" s="43">
        <v>1.2790055E-2</v>
      </c>
      <c r="AI626" s="43">
        <v>0.87920113300000002</v>
      </c>
      <c r="AJ626" s="43">
        <v>3.3647235059999998</v>
      </c>
      <c r="AK626" s="43">
        <v>10.99805321</v>
      </c>
      <c r="AL626" s="43">
        <v>3.331072E-3</v>
      </c>
      <c r="AM626" s="230">
        <v>5.7819338792254149E-2</v>
      </c>
      <c r="AN626" s="43">
        <v>0.91085848800000002</v>
      </c>
    </row>
    <row r="627" spans="1:40" x14ac:dyDescent="0.25">
      <c r="A627" s="134">
        <v>617</v>
      </c>
      <c r="B627" s="134" t="s">
        <v>200</v>
      </c>
      <c r="C627" s="134" t="s">
        <v>61</v>
      </c>
      <c r="D627" s="134" t="s">
        <v>197</v>
      </c>
      <c r="E627" s="134">
        <v>836</v>
      </c>
      <c r="F627" s="134">
        <v>2395</v>
      </c>
      <c r="G627" s="134">
        <v>857</v>
      </c>
      <c r="H627" s="134">
        <v>138</v>
      </c>
      <c r="I627" s="200">
        <v>1.3337374078899999</v>
      </c>
      <c r="J627" s="134">
        <v>2533</v>
      </c>
      <c r="K627" s="134">
        <v>1899.1744439500001</v>
      </c>
      <c r="L627" s="42">
        <v>0.93561404894900002</v>
      </c>
      <c r="M627" s="42">
        <v>0.141683778234</v>
      </c>
      <c r="N627" s="134">
        <v>0</v>
      </c>
      <c r="O627" s="43" t="s">
        <v>665</v>
      </c>
      <c r="P627" s="43">
        <f t="shared" si="131"/>
        <v>16.35727172593614</v>
      </c>
      <c r="Q627" s="43">
        <f t="shared" si="132"/>
        <v>2.356888E-2</v>
      </c>
      <c r="R627" s="43">
        <f t="shared" si="133"/>
        <v>1.1059182000000001E-2</v>
      </c>
      <c r="S627" s="43">
        <f t="shared" si="134"/>
        <v>0.935614049</v>
      </c>
      <c r="T627" s="43">
        <f t="shared" si="135"/>
        <v>4.735202492</v>
      </c>
      <c r="U627" s="43">
        <f t="shared" si="136"/>
        <v>13.196128119999999</v>
      </c>
      <c r="V627" s="43">
        <f t="shared" si="137"/>
        <v>1.11528E-3</v>
      </c>
      <c r="W627" s="230">
        <f t="shared" si="138"/>
        <v>6.9883997108533269E-2</v>
      </c>
      <c r="X627" s="43">
        <f t="shared" si="139"/>
        <v>0.92221266000000002</v>
      </c>
      <c r="Y627" s="43">
        <v>2.0952406620000001</v>
      </c>
      <c r="Z627" s="43">
        <f t="shared" si="128"/>
        <v>0</v>
      </c>
      <c r="AA627" s="43">
        <f t="shared" si="129"/>
        <v>58630</v>
      </c>
      <c r="AB627" s="43">
        <f t="shared" si="130"/>
        <v>21622</v>
      </c>
      <c r="AC627" s="43">
        <f t="shared" si="140"/>
        <v>2.5329828222222222E-2</v>
      </c>
      <c r="AD627" s="43">
        <f t="shared" si="141"/>
        <v>0.8846216263333333</v>
      </c>
      <c r="AF627" s="43">
        <v>16.35727172593614</v>
      </c>
      <c r="AG627" s="43">
        <v>2.356888E-2</v>
      </c>
      <c r="AH627" s="43">
        <v>1.1059182000000001E-2</v>
      </c>
      <c r="AI627" s="43">
        <v>0.935614049</v>
      </c>
      <c r="AJ627" s="43">
        <v>4.735202492</v>
      </c>
      <c r="AK627" s="43">
        <v>13.196128119999999</v>
      </c>
      <c r="AL627" s="43">
        <v>1.11528E-3</v>
      </c>
      <c r="AM627" s="230">
        <v>6.9883997108533269E-2</v>
      </c>
      <c r="AN627" s="43">
        <v>0.92221266000000002</v>
      </c>
    </row>
    <row r="628" spans="1:40" x14ac:dyDescent="0.25">
      <c r="A628" s="134">
        <v>618</v>
      </c>
      <c r="B628" s="134" t="s">
        <v>200</v>
      </c>
      <c r="C628" s="134" t="s">
        <v>61</v>
      </c>
      <c r="D628" s="134" t="s">
        <v>197</v>
      </c>
      <c r="E628" s="134">
        <v>2112</v>
      </c>
      <c r="F628" s="134">
        <v>6052</v>
      </c>
      <c r="G628" s="134">
        <v>6350</v>
      </c>
      <c r="H628" s="134">
        <v>549</v>
      </c>
      <c r="I628" s="200">
        <v>9.8832330510100004</v>
      </c>
      <c r="J628" s="134">
        <v>6601</v>
      </c>
      <c r="K628" s="134">
        <v>667.89885110800003</v>
      </c>
      <c r="L628" s="42">
        <v>0.929710939633</v>
      </c>
      <c r="M628" s="42">
        <v>0.20631341600899999</v>
      </c>
      <c r="N628" s="134">
        <v>0</v>
      </c>
      <c r="O628" s="43" t="s">
        <v>665</v>
      </c>
      <c r="P628" s="43">
        <f t="shared" si="131"/>
        <v>18.308940295488675</v>
      </c>
      <c r="Q628" s="43">
        <f t="shared" si="132"/>
        <v>1.8417283999999999E-2</v>
      </c>
      <c r="R628" s="43">
        <f t="shared" si="133"/>
        <v>4.8664829999999996E-3</v>
      </c>
      <c r="S628" s="43">
        <f t="shared" si="134"/>
        <v>0.92971093999999999</v>
      </c>
      <c r="T628" s="43">
        <f t="shared" si="135"/>
        <v>6.8225288080000004</v>
      </c>
      <c r="U628" s="43">
        <f t="shared" si="136"/>
        <v>15.86100457</v>
      </c>
      <c r="V628" s="43">
        <f t="shared" si="137"/>
        <v>5.3904699999999996E-4</v>
      </c>
      <c r="W628" s="230">
        <f t="shared" si="138"/>
        <v>5.20521736489667E-2</v>
      </c>
      <c r="X628" s="43">
        <f t="shared" si="139"/>
        <v>0.94470342299999999</v>
      </c>
      <c r="Y628" s="43">
        <v>8.2652558819999999</v>
      </c>
      <c r="Z628" s="43">
        <f t="shared" si="128"/>
        <v>0</v>
      </c>
      <c r="AA628" s="43">
        <f t="shared" si="129"/>
        <v>58630</v>
      </c>
      <c r="AB628" s="43">
        <f t="shared" si="130"/>
        <v>21622</v>
      </c>
      <c r="AC628" s="43">
        <f t="shared" si="140"/>
        <v>2.5329828222222222E-2</v>
      </c>
      <c r="AD628" s="43">
        <f t="shared" si="141"/>
        <v>0.8846216263333333</v>
      </c>
      <c r="AF628" s="43">
        <v>18.308940295488675</v>
      </c>
      <c r="AG628" s="43">
        <v>1.8417283999999999E-2</v>
      </c>
      <c r="AH628" s="43">
        <v>4.8664829999999996E-3</v>
      </c>
      <c r="AI628" s="43">
        <v>0.92971093999999999</v>
      </c>
      <c r="AJ628" s="43">
        <v>6.8225288080000004</v>
      </c>
      <c r="AK628" s="43">
        <v>15.86100457</v>
      </c>
      <c r="AL628" s="43">
        <v>5.3904699999999996E-4</v>
      </c>
      <c r="AM628" s="230">
        <v>5.20521736489667E-2</v>
      </c>
      <c r="AN628" s="43">
        <v>0.94470342299999999</v>
      </c>
    </row>
    <row r="629" spans="1:40" x14ac:dyDescent="0.25">
      <c r="A629" s="134">
        <v>619</v>
      </c>
      <c r="B629" s="134" t="s">
        <v>200</v>
      </c>
      <c r="C629" s="134" t="s">
        <v>61</v>
      </c>
      <c r="D629" s="134" t="s">
        <v>197</v>
      </c>
      <c r="E629" s="134">
        <v>119</v>
      </c>
      <c r="F629" s="134">
        <v>298</v>
      </c>
      <c r="G629" s="134">
        <v>92</v>
      </c>
      <c r="H629" s="134">
        <v>88</v>
      </c>
      <c r="I629" s="200">
        <v>4.7911526529500002E-2</v>
      </c>
      <c r="J629" s="134">
        <v>386</v>
      </c>
      <c r="K629" s="134">
        <v>8056.5164160000004</v>
      </c>
      <c r="L629" s="42">
        <v>0.88345182375200004</v>
      </c>
      <c r="M629" s="42">
        <v>0.42512077294700001</v>
      </c>
      <c r="N629" s="134">
        <v>1</v>
      </c>
      <c r="O629" s="43" t="s">
        <v>666</v>
      </c>
      <c r="P629" s="43">
        <f t="shared" si="131"/>
        <v>12.583534313750748</v>
      </c>
      <c r="Q629" s="43">
        <f t="shared" si="132"/>
        <v>2.5149080000000001E-2</v>
      </c>
      <c r="R629" s="43">
        <f t="shared" si="133"/>
        <v>1.2117408E-2</v>
      </c>
      <c r="S629" s="43">
        <f t="shared" si="134"/>
        <v>0.883451824</v>
      </c>
      <c r="T629" s="43">
        <f t="shared" si="135"/>
        <v>3.3435722409999999</v>
      </c>
      <c r="U629" s="43">
        <f t="shared" si="136"/>
        <v>8.2239464309999999</v>
      </c>
      <c r="V629" s="43">
        <f t="shared" si="137"/>
        <v>3.4185700000000001E-3</v>
      </c>
      <c r="W629" s="230">
        <f t="shared" si="138"/>
        <v>4.0840512329641282E-2</v>
      </c>
      <c r="X629" s="43">
        <f t="shared" si="139"/>
        <v>0.89247458899999998</v>
      </c>
      <c r="Y629" s="43">
        <v>68.211312109999994</v>
      </c>
      <c r="Z629" s="43">
        <f t="shared" si="128"/>
        <v>0</v>
      </c>
      <c r="AA629" s="43">
        <f t="shared" si="129"/>
        <v>58630</v>
      </c>
      <c r="AB629" s="43">
        <f t="shared" si="130"/>
        <v>21622</v>
      </c>
      <c r="AC629" s="43">
        <f t="shared" si="140"/>
        <v>2.5329828222222222E-2</v>
      </c>
      <c r="AD629" s="43">
        <f t="shared" si="141"/>
        <v>0.8846216263333333</v>
      </c>
      <c r="AF629" s="43">
        <v>12.583534313750748</v>
      </c>
      <c r="AG629" s="43">
        <v>2.5149080000000001E-2</v>
      </c>
      <c r="AH629" s="43">
        <v>1.2117408E-2</v>
      </c>
      <c r="AI629" s="43">
        <v>0.883451824</v>
      </c>
      <c r="AJ629" s="43">
        <v>3.3435722409999999</v>
      </c>
      <c r="AK629" s="43">
        <v>8.2239464309999999</v>
      </c>
      <c r="AL629" s="43">
        <v>3.4185700000000001E-3</v>
      </c>
      <c r="AM629" s="230">
        <v>4.0840512329641282E-2</v>
      </c>
      <c r="AN629" s="43">
        <v>0.89247458899999998</v>
      </c>
    </row>
    <row r="630" spans="1:40" x14ac:dyDescent="0.25">
      <c r="A630" s="134">
        <v>620</v>
      </c>
      <c r="B630" s="134" t="s">
        <v>200</v>
      </c>
      <c r="C630" s="134" t="s">
        <v>61</v>
      </c>
      <c r="D630" s="134" t="s">
        <v>197</v>
      </c>
      <c r="E630" s="134">
        <v>779</v>
      </c>
      <c r="F630" s="134">
        <v>1955</v>
      </c>
      <c r="G630" s="134">
        <v>60</v>
      </c>
      <c r="H630" s="134">
        <v>232</v>
      </c>
      <c r="I630" s="200">
        <v>0.15126107762499999</v>
      </c>
      <c r="J630" s="134">
        <v>2187</v>
      </c>
      <c r="K630" s="134">
        <v>14458.4451885</v>
      </c>
      <c r="L630" s="42">
        <v>0.87564825689600001</v>
      </c>
      <c r="M630" s="42">
        <v>0.22947576656800001</v>
      </c>
      <c r="N630" s="134">
        <v>0</v>
      </c>
      <c r="O630" s="43" t="s">
        <v>666</v>
      </c>
      <c r="P630" s="43">
        <f t="shared" si="131"/>
        <v>13.24855801337714</v>
      </c>
      <c r="Q630" s="43">
        <f t="shared" si="132"/>
        <v>3.3291283999999997E-2</v>
      </c>
      <c r="R630" s="43">
        <f t="shared" si="133"/>
        <v>1.4340192E-2</v>
      </c>
      <c r="S630" s="43">
        <f t="shared" si="134"/>
        <v>0.87564825700000004</v>
      </c>
      <c r="T630" s="43">
        <f t="shared" si="135"/>
        <v>3.5591126800000001</v>
      </c>
      <c r="U630" s="43">
        <f t="shared" si="136"/>
        <v>8.8863540539999999</v>
      </c>
      <c r="V630" s="43">
        <f t="shared" si="137"/>
        <v>7.040925E-3</v>
      </c>
      <c r="W630" s="230">
        <f t="shared" si="138"/>
        <v>6.7201811258618918E-2</v>
      </c>
      <c r="X630" s="43">
        <f t="shared" si="139"/>
        <v>0.89431751900000001</v>
      </c>
      <c r="Y630" s="43">
        <v>71.829107960000002</v>
      </c>
      <c r="Z630" s="43">
        <f t="shared" si="128"/>
        <v>0</v>
      </c>
      <c r="AA630" s="43">
        <f t="shared" si="129"/>
        <v>58630</v>
      </c>
      <c r="AB630" s="43">
        <f t="shared" si="130"/>
        <v>21622</v>
      </c>
      <c r="AC630" s="43">
        <f t="shared" si="140"/>
        <v>2.5329828222222222E-2</v>
      </c>
      <c r="AD630" s="43">
        <f t="shared" si="141"/>
        <v>0.8846216263333333</v>
      </c>
      <c r="AF630" s="43">
        <v>13.24855801337714</v>
      </c>
      <c r="AG630" s="43">
        <v>3.3291283999999997E-2</v>
      </c>
      <c r="AH630" s="43">
        <v>1.4340192E-2</v>
      </c>
      <c r="AI630" s="43">
        <v>0.87564825700000004</v>
      </c>
      <c r="AJ630" s="43">
        <v>3.5591126800000001</v>
      </c>
      <c r="AK630" s="43">
        <v>8.8863540539999999</v>
      </c>
      <c r="AL630" s="43">
        <v>7.040925E-3</v>
      </c>
      <c r="AM630" s="230">
        <v>6.7201811258618918E-2</v>
      </c>
      <c r="AN630" s="43">
        <v>0.89431751900000001</v>
      </c>
    </row>
    <row r="631" spans="1:40" x14ac:dyDescent="0.25">
      <c r="A631" s="134">
        <v>621</v>
      </c>
      <c r="B631" s="134" t="s">
        <v>200</v>
      </c>
      <c r="C631" s="134" t="s">
        <v>61</v>
      </c>
      <c r="D631" s="134" t="s">
        <v>197</v>
      </c>
      <c r="E631" s="134">
        <v>485</v>
      </c>
      <c r="F631" s="134">
        <v>1087</v>
      </c>
      <c r="G631" s="134">
        <v>111</v>
      </c>
      <c r="H631" s="134">
        <v>224</v>
      </c>
      <c r="I631" s="200">
        <v>0.12528749544100001</v>
      </c>
      <c r="J631" s="134">
        <v>1311</v>
      </c>
      <c r="K631" s="134">
        <v>10463.933335</v>
      </c>
      <c r="L631" s="42">
        <v>0.88627837268999998</v>
      </c>
      <c r="M631" s="42">
        <v>0.31593794076199999</v>
      </c>
      <c r="N631" s="134">
        <v>1</v>
      </c>
      <c r="O631" s="43" t="s">
        <v>666</v>
      </c>
      <c r="P631" s="43">
        <f t="shared" si="131"/>
        <v>13.147008581686149</v>
      </c>
      <c r="Q631" s="43">
        <f t="shared" si="132"/>
        <v>2.9451035E-2</v>
      </c>
      <c r="R631" s="43">
        <f t="shared" si="133"/>
        <v>1.2386057000000001E-2</v>
      </c>
      <c r="S631" s="43">
        <f t="shared" si="134"/>
        <v>0.88627837300000001</v>
      </c>
      <c r="T631" s="43">
        <f t="shared" si="135"/>
        <v>3.5215430080000001</v>
      </c>
      <c r="U631" s="43">
        <f t="shared" si="136"/>
        <v>9.0295569439999994</v>
      </c>
      <c r="V631" s="43">
        <f t="shared" si="137"/>
        <v>4.8354269999999998E-3</v>
      </c>
      <c r="W631" s="230">
        <f t="shared" si="138"/>
        <v>5.0895137349460072E-2</v>
      </c>
      <c r="X631" s="43">
        <f t="shared" si="139"/>
        <v>0.90826948799999996</v>
      </c>
      <c r="Y631" s="43">
        <v>79.418271369999999</v>
      </c>
      <c r="Z631" s="43">
        <f t="shared" si="128"/>
        <v>0</v>
      </c>
      <c r="AA631" s="43">
        <f t="shared" si="129"/>
        <v>58630</v>
      </c>
      <c r="AB631" s="43">
        <f t="shared" si="130"/>
        <v>21622</v>
      </c>
      <c r="AC631" s="43">
        <f t="shared" si="140"/>
        <v>2.5329828222222222E-2</v>
      </c>
      <c r="AD631" s="43">
        <f t="shared" si="141"/>
        <v>0.8846216263333333</v>
      </c>
      <c r="AF631" s="43">
        <v>13.147008581686149</v>
      </c>
      <c r="AG631" s="43">
        <v>2.9451035E-2</v>
      </c>
      <c r="AH631" s="43">
        <v>1.2386057000000001E-2</v>
      </c>
      <c r="AI631" s="43">
        <v>0.88627837300000001</v>
      </c>
      <c r="AJ631" s="43">
        <v>3.5215430080000001</v>
      </c>
      <c r="AK631" s="43">
        <v>9.0295569439999994</v>
      </c>
      <c r="AL631" s="43">
        <v>4.8354269999999998E-3</v>
      </c>
      <c r="AM631" s="230">
        <v>5.0895137349460072E-2</v>
      </c>
      <c r="AN631" s="43">
        <v>0.90826948799999996</v>
      </c>
    </row>
    <row r="632" spans="1:40" x14ac:dyDescent="0.25">
      <c r="A632" s="134">
        <v>622</v>
      </c>
      <c r="B632" s="134" t="s">
        <v>200</v>
      </c>
      <c r="C632" s="134" t="s">
        <v>61</v>
      </c>
      <c r="D632" s="134" t="s">
        <v>197</v>
      </c>
      <c r="E632" s="134">
        <v>60</v>
      </c>
      <c r="F632" s="134">
        <v>134</v>
      </c>
      <c r="G632" s="134">
        <v>14</v>
      </c>
      <c r="H632" s="134">
        <v>23</v>
      </c>
      <c r="I632" s="200">
        <v>2.3750800588100002E-2</v>
      </c>
      <c r="J632" s="134">
        <v>157</v>
      </c>
      <c r="K632" s="134">
        <v>6610.3034892400001</v>
      </c>
      <c r="L632" s="42">
        <v>0.86125787764999995</v>
      </c>
      <c r="M632" s="42">
        <v>0.27710843373499999</v>
      </c>
      <c r="N632" s="134">
        <v>0</v>
      </c>
      <c r="O632" s="43" t="s">
        <v>666</v>
      </c>
      <c r="P632" s="43">
        <f t="shared" si="131"/>
        <v>11.588494676433106</v>
      </c>
      <c r="Q632" s="43">
        <f t="shared" si="132"/>
        <v>2.2980456999999999E-2</v>
      </c>
      <c r="R632" s="43">
        <f t="shared" si="133"/>
        <v>1.1649372999999999E-2</v>
      </c>
      <c r="S632" s="43">
        <f t="shared" si="134"/>
        <v>0.86125787799999998</v>
      </c>
      <c r="T632" s="43">
        <f t="shared" si="135"/>
        <v>3.2035040430000001</v>
      </c>
      <c r="U632" s="43">
        <f t="shared" si="136"/>
        <v>7.1788888890000004</v>
      </c>
      <c r="V632" s="43">
        <f t="shared" si="137"/>
        <v>1.7929720000000001E-3</v>
      </c>
      <c r="W632" s="230">
        <f t="shared" si="138"/>
        <v>3.9445374133397083E-2</v>
      </c>
      <c r="X632" s="43">
        <f t="shared" si="139"/>
        <v>0.84939039000000005</v>
      </c>
      <c r="Y632" s="43">
        <v>34.983399730000002</v>
      </c>
      <c r="Z632" s="43">
        <f t="shared" si="128"/>
        <v>0</v>
      </c>
      <c r="AA632" s="43">
        <f t="shared" si="129"/>
        <v>58630</v>
      </c>
      <c r="AB632" s="43">
        <f t="shared" si="130"/>
        <v>21622</v>
      </c>
      <c r="AC632" s="43">
        <f t="shared" si="140"/>
        <v>2.5329828222222222E-2</v>
      </c>
      <c r="AD632" s="43">
        <f t="shared" si="141"/>
        <v>0.8846216263333333</v>
      </c>
      <c r="AF632" s="43">
        <v>11.588494676433106</v>
      </c>
      <c r="AG632" s="43">
        <v>2.2980456999999999E-2</v>
      </c>
      <c r="AH632" s="43">
        <v>1.1649372999999999E-2</v>
      </c>
      <c r="AI632" s="43">
        <v>0.86125787799999998</v>
      </c>
      <c r="AJ632" s="43">
        <v>3.2035040430000001</v>
      </c>
      <c r="AK632" s="43">
        <v>7.1788888890000004</v>
      </c>
      <c r="AL632" s="43">
        <v>1.7929720000000001E-3</v>
      </c>
      <c r="AM632" s="230">
        <v>3.9445374133397083E-2</v>
      </c>
      <c r="AN632" s="43">
        <v>0.84939039000000005</v>
      </c>
    </row>
    <row r="633" spans="1:40" x14ac:dyDescent="0.25">
      <c r="A633" s="134">
        <v>623</v>
      </c>
      <c r="B633" s="134" t="s">
        <v>200</v>
      </c>
      <c r="C633" s="134" t="s">
        <v>61</v>
      </c>
      <c r="D633" s="134" t="s">
        <v>197</v>
      </c>
      <c r="E633" s="134">
        <v>352</v>
      </c>
      <c r="F633" s="134">
        <v>790</v>
      </c>
      <c r="G633" s="134">
        <v>63</v>
      </c>
      <c r="H633" s="134">
        <v>487</v>
      </c>
      <c r="I633" s="200">
        <v>0.10595565263999999</v>
      </c>
      <c r="J633" s="134">
        <v>1277</v>
      </c>
      <c r="K633" s="134">
        <v>12052.2121112</v>
      </c>
      <c r="L633" s="42">
        <v>0.866476416744</v>
      </c>
      <c r="M633" s="42">
        <v>0.58045292014299998</v>
      </c>
      <c r="N633" s="134">
        <v>0</v>
      </c>
      <c r="O633" s="43" t="s">
        <v>666</v>
      </c>
      <c r="P633" s="43">
        <f t="shared" si="131"/>
        <v>12.412102858999287</v>
      </c>
      <c r="Q633" s="43">
        <f t="shared" si="132"/>
        <v>2.5825733999999999E-2</v>
      </c>
      <c r="R633" s="43">
        <f t="shared" si="133"/>
        <v>1.1872149E-2</v>
      </c>
      <c r="S633" s="43">
        <f t="shared" si="134"/>
        <v>0.866476417</v>
      </c>
      <c r="T633" s="43">
        <f t="shared" si="135"/>
        <v>3.0037900870000001</v>
      </c>
      <c r="U633" s="43">
        <f t="shared" si="136"/>
        <v>7.6453768719999999</v>
      </c>
      <c r="V633" s="43">
        <f t="shared" si="137"/>
        <v>7.2566970000000003E-3</v>
      </c>
      <c r="W633" s="230">
        <f t="shared" si="138"/>
        <v>4.6687012546625981E-2</v>
      </c>
      <c r="X633" s="43">
        <f t="shared" si="139"/>
        <v>0.89504238700000005</v>
      </c>
      <c r="Y633" s="43">
        <v>109.65194099999999</v>
      </c>
      <c r="Z633" s="43">
        <f t="shared" si="128"/>
        <v>0</v>
      </c>
      <c r="AA633" s="43">
        <f t="shared" si="129"/>
        <v>58630</v>
      </c>
      <c r="AB633" s="43">
        <f t="shared" si="130"/>
        <v>21622</v>
      </c>
      <c r="AC633" s="43">
        <f t="shared" si="140"/>
        <v>2.5329828222222222E-2</v>
      </c>
      <c r="AD633" s="43">
        <f t="shared" si="141"/>
        <v>0.8846216263333333</v>
      </c>
      <c r="AF633" s="43">
        <v>12.412102858999287</v>
      </c>
      <c r="AG633" s="43">
        <v>2.5825733999999999E-2</v>
      </c>
      <c r="AH633" s="43">
        <v>1.1872149E-2</v>
      </c>
      <c r="AI633" s="43">
        <v>0.866476417</v>
      </c>
      <c r="AJ633" s="43">
        <v>3.0037900870000001</v>
      </c>
      <c r="AK633" s="43">
        <v>7.6453768719999999</v>
      </c>
      <c r="AL633" s="43">
        <v>7.2566970000000003E-3</v>
      </c>
      <c r="AM633" s="230">
        <v>4.6687012546625981E-2</v>
      </c>
      <c r="AN633" s="43">
        <v>0.89504238700000005</v>
      </c>
    </row>
    <row r="634" spans="1:40" x14ac:dyDescent="0.25">
      <c r="A634" s="134">
        <v>624</v>
      </c>
      <c r="B634" s="134" t="s">
        <v>200</v>
      </c>
      <c r="C634" s="134" t="s">
        <v>61</v>
      </c>
      <c r="D634" s="134" t="s">
        <v>197</v>
      </c>
      <c r="E634" s="134">
        <v>991</v>
      </c>
      <c r="F634" s="134">
        <v>2221</v>
      </c>
      <c r="G634" s="134">
        <v>213</v>
      </c>
      <c r="H634" s="134">
        <v>411</v>
      </c>
      <c r="I634" s="200">
        <v>0.35738770341499998</v>
      </c>
      <c r="J634" s="134">
        <v>2632</v>
      </c>
      <c r="K634" s="134">
        <v>7364.55108793</v>
      </c>
      <c r="L634" s="42">
        <v>0.881937839301</v>
      </c>
      <c r="M634" s="42">
        <v>0.29315263908700001</v>
      </c>
      <c r="N634" s="134">
        <v>1</v>
      </c>
      <c r="O634" s="43" t="s">
        <v>666</v>
      </c>
      <c r="P634" s="43">
        <f t="shared" si="131"/>
        <v>12.64969707550623</v>
      </c>
      <c r="Q634" s="43">
        <f t="shared" si="132"/>
        <v>2.7890370000000001E-2</v>
      </c>
      <c r="R634" s="43">
        <f t="shared" si="133"/>
        <v>1.2556886E-2</v>
      </c>
      <c r="S634" s="43">
        <f t="shared" si="134"/>
        <v>0.881937839</v>
      </c>
      <c r="T634" s="43">
        <f t="shared" si="135"/>
        <v>3.3477944389999998</v>
      </c>
      <c r="U634" s="43">
        <f t="shared" si="136"/>
        <v>8.3796288190000006</v>
      </c>
      <c r="V634" s="43">
        <f t="shared" si="137"/>
        <v>5.7181319999999999E-3</v>
      </c>
      <c r="W634" s="230">
        <f t="shared" si="138"/>
        <v>5.124753303446563E-2</v>
      </c>
      <c r="X634" s="43">
        <f t="shared" si="139"/>
        <v>0.91211721199999996</v>
      </c>
      <c r="Y634" s="43">
        <v>54.748717620000001</v>
      </c>
      <c r="Z634" s="43">
        <f t="shared" si="128"/>
        <v>0</v>
      </c>
      <c r="AA634" s="43">
        <f t="shared" si="129"/>
        <v>58630</v>
      </c>
      <c r="AB634" s="43">
        <f t="shared" si="130"/>
        <v>21622</v>
      </c>
      <c r="AC634" s="43">
        <f t="shared" si="140"/>
        <v>2.5329828222222222E-2</v>
      </c>
      <c r="AD634" s="43">
        <f t="shared" si="141"/>
        <v>0.8846216263333333</v>
      </c>
      <c r="AF634" s="43">
        <v>12.64969707550623</v>
      </c>
      <c r="AG634" s="43">
        <v>2.7890370000000001E-2</v>
      </c>
      <c r="AH634" s="43">
        <v>1.2556886E-2</v>
      </c>
      <c r="AI634" s="43">
        <v>0.881937839</v>
      </c>
      <c r="AJ634" s="43">
        <v>3.3477944389999998</v>
      </c>
      <c r="AK634" s="43">
        <v>8.3796288190000006</v>
      </c>
      <c r="AL634" s="43">
        <v>5.7181319999999999E-3</v>
      </c>
      <c r="AM634" s="230">
        <v>5.124753303446563E-2</v>
      </c>
      <c r="AN634" s="43">
        <v>0.91211721199999996</v>
      </c>
    </row>
    <row r="635" spans="1:40" x14ac:dyDescent="0.25">
      <c r="A635" s="134">
        <v>625</v>
      </c>
      <c r="B635" s="134" t="s">
        <v>198</v>
      </c>
      <c r="C635" s="134" t="s">
        <v>61</v>
      </c>
      <c r="D635" s="134" t="s">
        <v>197</v>
      </c>
      <c r="E635" s="134">
        <v>1475</v>
      </c>
      <c r="F635" s="134">
        <v>4668</v>
      </c>
      <c r="G635" s="134">
        <v>256</v>
      </c>
      <c r="H635" s="134">
        <v>575</v>
      </c>
      <c r="I635" s="200">
        <v>0.424583710374</v>
      </c>
      <c r="J635" s="134">
        <v>5243</v>
      </c>
      <c r="K635" s="134">
        <v>12348.566070499999</v>
      </c>
      <c r="L635" s="42">
        <v>0.87195194487399996</v>
      </c>
      <c r="M635" s="42">
        <v>0.28048780487800001</v>
      </c>
      <c r="N635" s="134">
        <v>0</v>
      </c>
      <c r="O635" s="43" t="s">
        <v>666</v>
      </c>
      <c r="P635" s="43">
        <f t="shared" si="131"/>
        <v>13.064010577832462</v>
      </c>
      <c r="Q635" s="43">
        <f t="shared" si="132"/>
        <v>3.1383029999999999E-2</v>
      </c>
      <c r="R635" s="43">
        <f t="shared" si="133"/>
        <v>1.4537497999999999E-2</v>
      </c>
      <c r="S635" s="43">
        <f t="shared" si="134"/>
        <v>0.87195194499999995</v>
      </c>
      <c r="T635" s="43">
        <f t="shared" si="135"/>
        <v>3.2532946250000001</v>
      </c>
      <c r="U635" s="43">
        <f t="shared" si="136"/>
        <v>8.7292604439999995</v>
      </c>
      <c r="V635" s="43">
        <f t="shared" si="137"/>
        <v>6.9536249999999997E-3</v>
      </c>
      <c r="W635" s="230">
        <f t="shared" si="138"/>
        <v>6.6482120731166577E-2</v>
      </c>
      <c r="X635" s="43">
        <f t="shared" si="139"/>
        <v>0.89324238600000005</v>
      </c>
      <c r="Y635" s="43">
        <v>106.16873750000001</v>
      </c>
      <c r="Z635" s="43">
        <f t="shared" si="128"/>
        <v>0</v>
      </c>
      <c r="AA635" s="43">
        <f t="shared" si="129"/>
        <v>29187</v>
      </c>
      <c r="AB635" s="43">
        <f t="shared" si="130"/>
        <v>9189</v>
      </c>
      <c r="AC635" s="43">
        <f t="shared" si="140"/>
        <v>3.4058654230769231E-2</v>
      </c>
      <c r="AD635" s="43">
        <f t="shared" si="141"/>
        <v>0.86762326330769235</v>
      </c>
      <c r="AF635" s="43">
        <v>13.064010577832462</v>
      </c>
      <c r="AG635" s="43">
        <v>3.1383029999999999E-2</v>
      </c>
      <c r="AH635" s="43">
        <v>1.4537497999999999E-2</v>
      </c>
      <c r="AI635" s="43">
        <v>0.87195194499999995</v>
      </c>
      <c r="AJ635" s="43">
        <v>3.2532946250000001</v>
      </c>
      <c r="AK635" s="43">
        <v>8.7292604439999995</v>
      </c>
      <c r="AL635" s="43">
        <v>6.9536249999999997E-3</v>
      </c>
      <c r="AM635" s="230">
        <v>6.6482120731166577E-2</v>
      </c>
      <c r="AN635" s="43">
        <v>0.89324238600000005</v>
      </c>
    </row>
    <row r="636" spans="1:40" x14ac:dyDescent="0.25">
      <c r="A636" s="134">
        <v>626</v>
      </c>
      <c r="B636" s="134" t="s">
        <v>198</v>
      </c>
      <c r="C636" s="134" t="s">
        <v>61</v>
      </c>
      <c r="D636" s="134" t="s">
        <v>197</v>
      </c>
      <c r="E636" s="134">
        <v>410</v>
      </c>
      <c r="F636" s="134">
        <v>1373</v>
      </c>
      <c r="G636" s="134">
        <v>108</v>
      </c>
      <c r="H636" s="134">
        <v>536</v>
      </c>
      <c r="I636" s="200">
        <v>0.16951769898300001</v>
      </c>
      <c r="J636" s="134">
        <v>1909</v>
      </c>
      <c r="K636" s="134">
        <v>11261.360975600001</v>
      </c>
      <c r="L636" s="42">
        <v>0.86840240272500002</v>
      </c>
      <c r="M636" s="42">
        <v>0.56659619450300003</v>
      </c>
      <c r="N636" s="134">
        <v>0</v>
      </c>
      <c r="O636" s="43" t="s">
        <v>666</v>
      </c>
      <c r="P636" s="43">
        <f t="shared" si="131"/>
        <v>12.40770905278875</v>
      </c>
      <c r="Q636" s="43">
        <f t="shared" si="132"/>
        <v>3.3883020999999999E-2</v>
      </c>
      <c r="R636" s="43">
        <f t="shared" si="133"/>
        <v>1.3738936E-2</v>
      </c>
      <c r="S636" s="43">
        <f t="shared" si="134"/>
        <v>0.86840240300000004</v>
      </c>
      <c r="T636" s="43">
        <f t="shared" si="135"/>
        <v>2.9464190509999999</v>
      </c>
      <c r="U636" s="43">
        <f t="shared" si="136"/>
        <v>7.5845432559999999</v>
      </c>
      <c r="V636" s="43">
        <f t="shared" si="137"/>
        <v>7.6484489999999999E-3</v>
      </c>
      <c r="W636" s="230">
        <f t="shared" si="138"/>
        <v>6.9681118492132238E-2</v>
      </c>
      <c r="X636" s="43">
        <f t="shared" si="139"/>
        <v>0.88708107400000002</v>
      </c>
      <c r="Y636" s="43">
        <v>104.9503861</v>
      </c>
      <c r="Z636" s="43">
        <f t="shared" si="128"/>
        <v>0</v>
      </c>
      <c r="AA636" s="43">
        <f t="shared" si="129"/>
        <v>29187</v>
      </c>
      <c r="AB636" s="43">
        <f t="shared" si="130"/>
        <v>9189</v>
      </c>
      <c r="AC636" s="43">
        <f t="shared" si="140"/>
        <v>3.4058654230769231E-2</v>
      </c>
      <c r="AD636" s="43">
        <f t="shared" si="141"/>
        <v>0.86762326330769235</v>
      </c>
      <c r="AF636" s="43">
        <v>12.40770905278875</v>
      </c>
      <c r="AG636" s="43">
        <v>3.3883020999999999E-2</v>
      </c>
      <c r="AH636" s="43">
        <v>1.3738936E-2</v>
      </c>
      <c r="AI636" s="43">
        <v>0.86840240300000004</v>
      </c>
      <c r="AJ636" s="43">
        <v>2.9464190509999999</v>
      </c>
      <c r="AK636" s="43">
        <v>7.5845432559999999</v>
      </c>
      <c r="AL636" s="43">
        <v>7.6484489999999999E-3</v>
      </c>
      <c r="AM636" s="230">
        <v>6.9681118492132238E-2</v>
      </c>
      <c r="AN636" s="43">
        <v>0.88708107400000002</v>
      </c>
    </row>
    <row r="637" spans="1:40" x14ac:dyDescent="0.25">
      <c r="A637" s="134">
        <v>627</v>
      </c>
      <c r="B637" s="134" t="s">
        <v>198</v>
      </c>
      <c r="C637" s="134" t="s">
        <v>61</v>
      </c>
      <c r="D637" s="134" t="s">
        <v>197</v>
      </c>
      <c r="E637" s="134">
        <v>858</v>
      </c>
      <c r="F637" s="134">
        <v>2874</v>
      </c>
      <c r="G637" s="134">
        <v>146</v>
      </c>
      <c r="H637" s="134">
        <v>278</v>
      </c>
      <c r="I637" s="200">
        <v>0.230497585152</v>
      </c>
      <c r="J637" s="134">
        <v>3152</v>
      </c>
      <c r="K637" s="134">
        <v>13674.763655000001</v>
      </c>
      <c r="L637" s="42">
        <v>0.85330175144499998</v>
      </c>
      <c r="M637" s="42">
        <v>0.244718309859</v>
      </c>
      <c r="N637" s="134">
        <v>0</v>
      </c>
      <c r="O637" s="43" t="s">
        <v>666</v>
      </c>
      <c r="P637" s="43">
        <f t="shared" si="131"/>
        <v>13.01952009714878</v>
      </c>
      <c r="Q637" s="43">
        <f t="shared" si="132"/>
        <v>4.1570318000000002E-2</v>
      </c>
      <c r="R637" s="43">
        <f t="shared" si="133"/>
        <v>2.5543072E-2</v>
      </c>
      <c r="S637" s="43">
        <f t="shared" si="134"/>
        <v>0.85330175100000005</v>
      </c>
      <c r="T637" s="43">
        <f t="shared" si="135"/>
        <v>2.997101024</v>
      </c>
      <c r="U637" s="43">
        <f t="shared" si="136"/>
        <v>8.7717222219999993</v>
      </c>
      <c r="V637" s="43">
        <f t="shared" si="137"/>
        <v>6.2664210000000003E-3</v>
      </c>
      <c r="W637" s="230">
        <f t="shared" si="138"/>
        <v>7.8632346535905479E-2</v>
      </c>
      <c r="X637" s="43">
        <f t="shared" si="139"/>
        <v>0.88989504399999997</v>
      </c>
      <c r="Y637" s="43">
        <v>83.219994380000003</v>
      </c>
      <c r="Z637" s="43">
        <f t="shared" si="128"/>
        <v>0</v>
      </c>
      <c r="AA637" s="43">
        <f t="shared" si="129"/>
        <v>29187</v>
      </c>
      <c r="AB637" s="43">
        <f t="shared" si="130"/>
        <v>9189</v>
      </c>
      <c r="AC637" s="43">
        <f t="shared" si="140"/>
        <v>3.4058654230769231E-2</v>
      </c>
      <c r="AD637" s="43">
        <f t="shared" si="141"/>
        <v>0.86762326330769235</v>
      </c>
      <c r="AF637" s="43">
        <v>13.01952009714878</v>
      </c>
      <c r="AG637" s="43">
        <v>4.1570318000000002E-2</v>
      </c>
      <c r="AH637" s="43">
        <v>2.5543072E-2</v>
      </c>
      <c r="AI637" s="43">
        <v>0.85330175100000005</v>
      </c>
      <c r="AJ637" s="43">
        <v>2.997101024</v>
      </c>
      <c r="AK637" s="43">
        <v>8.7717222219999993</v>
      </c>
      <c r="AL637" s="43">
        <v>6.2664210000000003E-3</v>
      </c>
      <c r="AM637" s="230">
        <v>7.8632346535905479E-2</v>
      </c>
      <c r="AN637" s="43">
        <v>0.88989504399999997</v>
      </c>
    </row>
    <row r="638" spans="1:40" x14ac:dyDescent="0.25">
      <c r="A638" s="134">
        <v>628</v>
      </c>
      <c r="B638" s="134" t="s">
        <v>198</v>
      </c>
      <c r="C638" s="134" t="s">
        <v>61</v>
      </c>
      <c r="D638" s="134" t="s">
        <v>197</v>
      </c>
      <c r="E638" s="134">
        <v>415</v>
      </c>
      <c r="F638" s="134">
        <v>1389</v>
      </c>
      <c r="G638" s="134">
        <v>75</v>
      </c>
      <c r="H638" s="134">
        <v>87</v>
      </c>
      <c r="I638" s="200">
        <v>0.118093519065</v>
      </c>
      <c r="J638" s="134">
        <v>1476</v>
      </c>
      <c r="K638" s="134">
        <v>12498.569029800001</v>
      </c>
      <c r="L638" s="42">
        <v>0.86069366085800003</v>
      </c>
      <c r="M638" s="42">
        <v>0.17330677290800001</v>
      </c>
      <c r="N638" s="134">
        <v>0</v>
      </c>
      <c r="O638" s="43" t="s">
        <v>666</v>
      </c>
      <c r="P638" s="43">
        <f t="shared" si="131"/>
        <v>12.432267362077912</v>
      </c>
      <c r="Q638" s="43">
        <f t="shared" si="132"/>
        <v>4.0678515999999998E-2</v>
      </c>
      <c r="R638" s="43">
        <f t="shared" si="133"/>
        <v>1.5261205E-2</v>
      </c>
      <c r="S638" s="43">
        <f t="shared" si="134"/>
        <v>0.860693661</v>
      </c>
      <c r="T638" s="43">
        <f t="shared" si="135"/>
        <v>2.9800298870000002</v>
      </c>
      <c r="U638" s="43">
        <f t="shared" si="136"/>
        <v>8.1046824120000007</v>
      </c>
      <c r="V638" s="43">
        <f t="shared" si="137"/>
        <v>4.7074220000000002E-3</v>
      </c>
      <c r="W638" s="230">
        <f t="shared" si="138"/>
        <v>8.2036797676608098E-2</v>
      </c>
      <c r="X638" s="43">
        <f t="shared" si="139"/>
        <v>0.878803836</v>
      </c>
      <c r="Y638" s="43">
        <v>82.719522019999999</v>
      </c>
      <c r="Z638" s="43">
        <f t="shared" si="128"/>
        <v>0</v>
      </c>
      <c r="AA638" s="43">
        <f t="shared" si="129"/>
        <v>29187</v>
      </c>
      <c r="AB638" s="43">
        <f t="shared" si="130"/>
        <v>9189</v>
      </c>
      <c r="AC638" s="43">
        <f t="shared" si="140"/>
        <v>3.4058654230769231E-2</v>
      </c>
      <c r="AD638" s="43">
        <f t="shared" si="141"/>
        <v>0.86762326330769235</v>
      </c>
      <c r="AF638" s="43">
        <v>12.432267362077912</v>
      </c>
      <c r="AG638" s="43">
        <v>4.0678515999999998E-2</v>
      </c>
      <c r="AH638" s="43">
        <v>1.5261205E-2</v>
      </c>
      <c r="AI638" s="43">
        <v>0.860693661</v>
      </c>
      <c r="AJ638" s="43">
        <v>2.9800298870000002</v>
      </c>
      <c r="AK638" s="43">
        <v>8.1046824120000007</v>
      </c>
      <c r="AL638" s="43">
        <v>4.7074220000000002E-3</v>
      </c>
      <c r="AM638" s="230">
        <v>8.2036797676608098E-2</v>
      </c>
      <c r="AN638" s="43">
        <v>0.878803836</v>
      </c>
    </row>
    <row r="639" spans="1:40" x14ac:dyDescent="0.25">
      <c r="A639" s="134">
        <v>629</v>
      </c>
      <c r="B639" s="134" t="s">
        <v>198</v>
      </c>
      <c r="C639" s="134" t="s">
        <v>61</v>
      </c>
      <c r="D639" s="134" t="s">
        <v>197</v>
      </c>
      <c r="E639" s="134">
        <v>0</v>
      </c>
      <c r="F639" s="134">
        <v>0</v>
      </c>
      <c r="G639" s="134">
        <v>206</v>
      </c>
      <c r="H639" s="134">
        <v>335</v>
      </c>
      <c r="I639" s="200">
        <v>0.321674560645</v>
      </c>
      <c r="J639" s="134">
        <v>335</v>
      </c>
      <c r="K639" s="134">
        <v>1041.42521973</v>
      </c>
      <c r="L639" s="42">
        <v>0.944488807604</v>
      </c>
      <c r="M639" s="42">
        <v>1</v>
      </c>
      <c r="N639" s="134">
        <v>0</v>
      </c>
      <c r="O639" s="43" t="s">
        <v>665</v>
      </c>
      <c r="P639" s="43">
        <f t="shared" si="131"/>
        <v>14.737951525728533</v>
      </c>
      <c r="Q639" s="43">
        <f t="shared" si="132"/>
        <v>1.2647794E-2</v>
      </c>
      <c r="R639" s="43">
        <f t="shared" si="133"/>
        <v>6.3882950000000004E-3</v>
      </c>
      <c r="S639" s="43">
        <f t="shared" si="134"/>
        <v>0.94448880800000001</v>
      </c>
      <c r="T639" s="43">
        <f t="shared" si="135"/>
        <v>5.845238095</v>
      </c>
      <c r="U639" s="43">
        <f t="shared" si="136"/>
        <v>10.40201761</v>
      </c>
      <c r="V639" s="43">
        <f t="shared" si="137"/>
        <v>6.0327870000000004E-3</v>
      </c>
      <c r="W639" s="230">
        <f t="shared" si="138"/>
        <v>2.0546448087431697E-3</v>
      </c>
      <c r="X639" s="43">
        <f t="shared" si="139"/>
        <v>0.95252459</v>
      </c>
      <c r="Y639" s="43">
        <v>32.025467489999997</v>
      </c>
      <c r="Z639" s="43">
        <f t="shared" si="128"/>
        <v>0</v>
      </c>
      <c r="AA639" s="43">
        <f t="shared" si="129"/>
        <v>29187</v>
      </c>
      <c r="AB639" s="43">
        <f t="shared" si="130"/>
        <v>9189</v>
      </c>
      <c r="AC639" s="43">
        <f t="shared" si="140"/>
        <v>3.4058654230769231E-2</v>
      </c>
      <c r="AD639" s="43">
        <f t="shared" si="141"/>
        <v>0.86762326330769235</v>
      </c>
      <c r="AF639" s="43">
        <v>14.737951525728533</v>
      </c>
      <c r="AG639" s="43">
        <v>1.2647794E-2</v>
      </c>
      <c r="AH639" s="43">
        <v>6.3882950000000004E-3</v>
      </c>
      <c r="AI639" s="43">
        <v>0.94448880800000001</v>
      </c>
      <c r="AJ639" s="43">
        <v>5.845238095</v>
      </c>
      <c r="AK639" s="43">
        <v>10.40201761</v>
      </c>
      <c r="AL639" s="43">
        <v>6.0327870000000004E-3</v>
      </c>
      <c r="AM639" s="230">
        <v>2.0546448087431697E-3</v>
      </c>
      <c r="AN639" s="43">
        <v>0.95252459</v>
      </c>
    </row>
    <row r="640" spans="1:40" x14ac:dyDescent="0.25">
      <c r="A640" s="134">
        <v>630</v>
      </c>
      <c r="B640" s="134" t="s">
        <v>198</v>
      </c>
      <c r="C640" s="134" t="s">
        <v>61</v>
      </c>
      <c r="D640" s="134" t="s">
        <v>197</v>
      </c>
      <c r="E640" s="134">
        <v>1103</v>
      </c>
      <c r="F640" s="134">
        <v>3436</v>
      </c>
      <c r="G640" s="134">
        <v>215</v>
      </c>
      <c r="H640" s="134">
        <v>1047</v>
      </c>
      <c r="I640" s="200">
        <v>0.335550212322</v>
      </c>
      <c r="J640" s="134">
        <v>4483</v>
      </c>
      <c r="K640" s="134">
        <v>13360.1465157</v>
      </c>
      <c r="L640" s="42">
        <v>0.88735462499499995</v>
      </c>
      <c r="M640" s="42">
        <v>0.48697674418600001</v>
      </c>
      <c r="N640" s="134">
        <v>0</v>
      </c>
      <c r="O640" s="43" t="s">
        <v>666</v>
      </c>
      <c r="P640" s="43">
        <f t="shared" si="131"/>
        <v>13.891618194714665</v>
      </c>
      <c r="Q640" s="43">
        <f t="shared" si="132"/>
        <v>2.9235644000000002E-2</v>
      </c>
      <c r="R640" s="43">
        <f t="shared" si="133"/>
        <v>1.3662964999999999E-2</v>
      </c>
      <c r="S640" s="43">
        <f t="shared" si="134"/>
        <v>0.88735462499999995</v>
      </c>
      <c r="T640" s="43">
        <f t="shared" si="135"/>
        <v>3.59972643</v>
      </c>
      <c r="U640" s="43">
        <f t="shared" si="136"/>
        <v>9.9498278760000005</v>
      </c>
      <c r="V640" s="43">
        <f t="shared" si="137"/>
        <v>6.8869580000000003E-3</v>
      </c>
      <c r="W640" s="230">
        <f t="shared" si="138"/>
        <v>5.1281941531481398E-2</v>
      </c>
      <c r="X640" s="43">
        <f t="shared" si="139"/>
        <v>0.90698968499999999</v>
      </c>
      <c r="Y640" s="43">
        <v>125.09056030000001</v>
      </c>
      <c r="Z640" s="43">
        <f t="shared" si="128"/>
        <v>0</v>
      </c>
      <c r="AA640" s="43">
        <f t="shared" si="129"/>
        <v>29187</v>
      </c>
      <c r="AB640" s="43">
        <f t="shared" si="130"/>
        <v>9189</v>
      </c>
      <c r="AC640" s="43">
        <f t="shared" si="140"/>
        <v>3.4058654230769231E-2</v>
      </c>
      <c r="AD640" s="43">
        <f t="shared" si="141"/>
        <v>0.86762326330769235</v>
      </c>
      <c r="AF640" s="43">
        <v>13.891618194714665</v>
      </c>
      <c r="AG640" s="43">
        <v>2.9235644000000002E-2</v>
      </c>
      <c r="AH640" s="43">
        <v>1.3662964999999999E-2</v>
      </c>
      <c r="AI640" s="43">
        <v>0.88735462499999995</v>
      </c>
      <c r="AJ640" s="43">
        <v>3.59972643</v>
      </c>
      <c r="AK640" s="43">
        <v>9.9498278760000005</v>
      </c>
      <c r="AL640" s="43">
        <v>6.8869580000000003E-3</v>
      </c>
      <c r="AM640" s="230">
        <v>5.1281941531481398E-2</v>
      </c>
      <c r="AN640" s="43">
        <v>0.90698968499999999</v>
      </c>
    </row>
    <row r="641" spans="1:40" x14ac:dyDescent="0.25">
      <c r="A641" s="134">
        <v>631</v>
      </c>
      <c r="B641" s="134" t="s">
        <v>198</v>
      </c>
      <c r="C641" s="134" t="s">
        <v>61</v>
      </c>
      <c r="D641" s="134" t="s">
        <v>197</v>
      </c>
      <c r="E641" s="134">
        <v>526</v>
      </c>
      <c r="F641" s="134">
        <v>1639</v>
      </c>
      <c r="G641" s="134">
        <v>169</v>
      </c>
      <c r="H641" s="134">
        <v>367</v>
      </c>
      <c r="I641" s="200">
        <v>0.26368086324000001</v>
      </c>
      <c r="J641" s="134">
        <v>2006</v>
      </c>
      <c r="K641" s="134">
        <v>7607.68140451</v>
      </c>
      <c r="L641" s="42">
        <v>0.77989299279299995</v>
      </c>
      <c r="M641" s="42">
        <v>0.41097424412099998</v>
      </c>
      <c r="N641" s="134">
        <v>0</v>
      </c>
      <c r="O641" s="43" t="s">
        <v>666</v>
      </c>
      <c r="P641" s="43">
        <f t="shared" si="131"/>
        <v>13.532061135217919</v>
      </c>
      <c r="Q641" s="43">
        <f t="shared" si="132"/>
        <v>4.1736678999999999E-2</v>
      </c>
      <c r="R641" s="43">
        <f t="shared" si="133"/>
        <v>9.4488378999999997E-2</v>
      </c>
      <c r="S641" s="43">
        <f t="shared" si="134"/>
        <v>0.77989299300000003</v>
      </c>
      <c r="T641" s="43">
        <f t="shared" si="135"/>
        <v>3.1427401920000002</v>
      </c>
      <c r="U641" s="43">
        <f t="shared" si="136"/>
        <v>9.2871720369999995</v>
      </c>
      <c r="V641" s="43">
        <f t="shared" si="137"/>
        <v>5.4901719999999998E-3</v>
      </c>
      <c r="W641" s="230">
        <f t="shared" si="138"/>
        <v>5.3476098034457659E-2</v>
      </c>
      <c r="X641" s="43">
        <f t="shared" si="139"/>
        <v>0.91033729699999999</v>
      </c>
      <c r="Y641" s="43">
        <v>62.576801510000003</v>
      </c>
      <c r="Z641" s="43">
        <f t="shared" si="128"/>
        <v>0</v>
      </c>
      <c r="AA641" s="43">
        <f t="shared" si="129"/>
        <v>29187</v>
      </c>
      <c r="AB641" s="43">
        <f t="shared" si="130"/>
        <v>9189</v>
      </c>
      <c r="AC641" s="43">
        <f t="shared" si="140"/>
        <v>3.4058654230769231E-2</v>
      </c>
      <c r="AD641" s="43">
        <f t="shared" si="141"/>
        <v>0.86762326330769235</v>
      </c>
      <c r="AF641" s="43">
        <v>13.532061135217919</v>
      </c>
      <c r="AG641" s="43">
        <v>4.1736678999999999E-2</v>
      </c>
      <c r="AH641" s="43">
        <v>9.4488378999999997E-2</v>
      </c>
      <c r="AI641" s="43">
        <v>0.77989299300000003</v>
      </c>
      <c r="AJ641" s="43">
        <v>3.1427401920000002</v>
      </c>
      <c r="AK641" s="43">
        <v>9.2871720369999995</v>
      </c>
      <c r="AL641" s="43">
        <v>5.4901719999999998E-3</v>
      </c>
      <c r="AM641" s="230">
        <v>5.3476098034457659E-2</v>
      </c>
      <c r="AN641" s="43">
        <v>0.91033729699999999</v>
      </c>
    </row>
    <row r="642" spans="1:40" x14ac:dyDescent="0.25">
      <c r="A642" s="134">
        <v>632</v>
      </c>
      <c r="B642" s="134" t="s">
        <v>198</v>
      </c>
      <c r="C642" s="134" t="s">
        <v>61</v>
      </c>
      <c r="D642" s="134" t="s">
        <v>197</v>
      </c>
      <c r="E642" s="134">
        <v>982</v>
      </c>
      <c r="F642" s="134">
        <v>3140</v>
      </c>
      <c r="G642" s="134">
        <v>208</v>
      </c>
      <c r="H642" s="134">
        <v>108</v>
      </c>
      <c r="I642" s="200">
        <v>0.33556750963600002</v>
      </c>
      <c r="J642" s="134">
        <v>3248</v>
      </c>
      <c r="K642" s="134">
        <v>9679.1253823299994</v>
      </c>
      <c r="L642" s="42">
        <v>0.88379410978399997</v>
      </c>
      <c r="M642" s="42">
        <v>9.90825688073E-2</v>
      </c>
      <c r="N642" s="134">
        <v>0</v>
      </c>
      <c r="O642" s="43" t="s">
        <v>666</v>
      </c>
      <c r="P642" s="43">
        <f t="shared" si="131"/>
        <v>13.703657773888803</v>
      </c>
      <c r="Q642" s="43">
        <f t="shared" si="132"/>
        <v>3.1374383999999998E-2</v>
      </c>
      <c r="R642" s="43">
        <f t="shared" si="133"/>
        <v>1.5726178E-2</v>
      </c>
      <c r="S642" s="43">
        <f t="shared" si="134"/>
        <v>0.88379410999999997</v>
      </c>
      <c r="T642" s="43">
        <f t="shared" si="135"/>
        <v>3.4980806709999999</v>
      </c>
      <c r="U642" s="43">
        <f t="shared" si="136"/>
        <v>9.8462484359999998</v>
      </c>
      <c r="V642" s="43">
        <f t="shared" si="137"/>
        <v>3.2713949999999999E-3</v>
      </c>
      <c r="W642" s="230">
        <f t="shared" si="138"/>
        <v>6.985390335144788E-2</v>
      </c>
      <c r="X642" s="43">
        <f t="shared" si="139"/>
        <v>0.90927844599999996</v>
      </c>
      <c r="Y642" s="43">
        <v>160.56251649999999</v>
      </c>
      <c r="Z642" s="43">
        <f t="shared" si="128"/>
        <v>0</v>
      </c>
      <c r="AA642" s="43">
        <f t="shared" si="129"/>
        <v>29187</v>
      </c>
      <c r="AB642" s="43">
        <f t="shared" si="130"/>
        <v>9189</v>
      </c>
      <c r="AC642" s="43">
        <f t="shared" si="140"/>
        <v>3.4058654230769231E-2</v>
      </c>
      <c r="AD642" s="43">
        <f t="shared" si="141"/>
        <v>0.86762326330769235</v>
      </c>
      <c r="AF642" s="43">
        <v>13.703657773888803</v>
      </c>
      <c r="AG642" s="43">
        <v>3.1374383999999998E-2</v>
      </c>
      <c r="AH642" s="43">
        <v>1.5726178E-2</v>
      </c>
      <c r="AI642" s="43">
        <v>0.88379410999999997</v>
      </c>
      <c r="AJ642" s="43">
        <v>3.4980806709999999</v>
      </c>
      <c r="AK642" s="43">
        <v>9.8462484359999998</v>
      </c>
      <c r="AL642" s="43">
        <v>3.2713949999999999E-3</v>
      </c>
      <c r="AM642" s="230">
        <v>6.985390335144788E-2</v>
      </c>
      <c r="AN642" s="43">
        <v>0.90927844599999996</v>
      </c>
    </row>
    <row r="643" spans="1:40" x14ac:dyDescent="0.25">
      <c r="A643" s="134">
        <v>633</v>
      </c>
      <c r="B643" s="134" t="s">
        <v>198</v>
      </c>
      <c r="C643" s="134" t="s">
        <v>61</v>
      </c>
      <c r="D643" s="134" t="s">
        <v>197</v>
      </c>
      <c r="E643" s="134">
        <v>449</v>
      </c>
      <c r="F643" s="134">
        <v>1435</v>
      </c>
      <c r="G643" s="134">
        <v>109</v>
      </c>
      <c r="H643" s="134">
        <v>116</v>
      </c>
      <c r="I643" s="200">
        <v>0.174714207195</v>
      </c>
      <c r="J643" s="134">
        <v>1551</v>
      </c>
      <c r="K643" s="134">
        <v>8877.35476638</v>
      </c>
      <c r="L643" s="42">
        <v>0.873279498333</v>
      </c>
      <c r="M643" s="42">
        <v>0.205309734513</v>
      </c>
      <c r="N643" s="134">
        <v>0</v>
      </c>
      <c r="O643" s="43" t="s">
        <v>666</v>
      </c>
      <c r="P643" s="43">
        <f t="shared" si="131"/>
        <v>13.037163611240951</v>
      </c>
      <c r="Q643" s="43">
        <f t="shared" si="132"/>
        <v>3.0706127999999999E-2</v>
      </c>
      <c r="R643" s="43">
        <f t="shared" si="133"/>
        <v>1.548306E-2</v>
      </c>
      <c r="S643" s="43">
        <f t="shared" si="134"/>
        <v>0.87327949800000004</v>
      </c>
      <c r="T643" s="43">
        <f t="shared" si="135"/>
        <v>3.1150464709999999</v>
      </c>
      <c r="U643" s="43">
        <f t="shared" si="136"/>
        <v>8.9864830789999992</v>
      </c>
      <c r="V643" s="43">
        <f t="shared" si="137"/>
        <v>4.1391220000000003E-3</v>
      </c>
      <c r="W643" s="230">
        <f t="shared" si="138"/>
        <v>6.4290393663271994E-2</v>
      </c>
      <c r="X643" s="43">
        <f t="shared" si="139"/>
        <v>0.89775772700000001</v>
      </c>
      <c r="Y643" s="43">
        <v>136.86237629999999</v>
      </c>
      <c r="Z643" s="43">
        <f t="shared" si="128"/>
        <v>0</v>
      </c>
      <c r="AA643" s="43">
        <f t="shared" si="129"/>
        <v>29187</v>
      </c>
      <c r="AB643" s="43">
        <f t="shared" si="130"/>
        <v>9189</v>
      </c>
      <c r="AC643" s="43">
        <f t="shared" si="140"/>
        <v>3.4058654230769231E-2</v>
      </c>
      <c r="AD643" s="43">
        <f t="shared" si="141"/>
        <v>0.86762326330769235</v>
      </c>
      <c r="AF643" s="43">
        <v>13.037163611240951</v>
      </c>
      <c r="AG643" s="43">
        <v>3.0706127999999999E-2</v>
      </c>
      <c r="AH643" s="43">
        <v>1.548306E-2</v>
      </c>
      <c r="AI643" s="43">
        <v>0.87327949800000004</v>
      </c>
      <c r="AJ643" s="43">
        <v>3.1150464709999999</v>
      </c>
      <c r="AK643" s="43">
        <v>8.9864830789999992</v>
      </c>
      <c r="AL643" s="43">
        <v>4.1391220000000003E-3</v>
      </c>
      <c r="AM643" s="230">
        <v>6.4290393663271994E-2</v>
      </c>
      <c r="AN643" s="43">
        <v>0.89775772700000001</v>
      </c>
    </row>
    <row r="644" spans="1:40" x14ac:dyDescent="0.25">
      <c r="A644" s="134">
        <v>634</v>
      </c>
      <c r="B644" s="134" t="s">
        <v>198</v>
      </c>
      <c r="C644" s="134" t="s">
        <v>61</v>
      </c>
      <c r="D644" s="134" t="s">
        <v>197</v>
      </c>
      <c r="E644" s="134">
        <v>970</v>
      </c>
      <c r="F644" s="134">
        <v>2965</v>
      </c>
      <c r="G644" s="134">
        <v>178</v>
      </c>
      <c r="H644" s="134">
        <v>551</v>
      </c>
      <c r="I644" s="200">
        <v>0.282275169396</v>
      </c>
      <c r="J644" s="134">
        <v>3516</v>
      </c>
      <c r="K644" s="134">
        <v>12455.930883000001</v>
      </c>
      <c r="L644" s="42">
        <v>0.87070909710699995</v>
      </c>
      <c r="M644" s="42">
        <v>0.362261669954</v>
      </c>
      <c r="N644" s="134">
        <v>0</v>
      </c>
      <c r="O644" s="43" t="s">
        <v>666</v>
      </c>
      <c r="P644" s="43">
        <f t="shared" si="131"/>
        <v>12.783920974374439</v>
      </c>
      <c r="Q644" s="43">
        <f t="shared" si="132"/>
        <v>3.4337056999999997E-2</v>
      </c>
      <c r="R644" s="43">
        <f t="shared" si="133"/>
        <v>1.5916331999999998E-2</v>
      </c>
      <c r="S644" s="43">
        <f t="shared" si="134"/>
        <v>0.87070909699999999</v>
      </c>
      <c r="T644" s="43">
        <f t="shared" si="135"/>
        <v>3.253961721</v>
      </c>
      <c r="U644" s="43">
        <f t="shared" si="136"/>
        <v>8.4988777389999992</v>
      </c>
      <c r="V644" s="43">
        <f t="shared" si="137"/>
        <v>7.8749960000000004E-3</v>
      </c>
      <c r="W644" s="230">
        <f t="shared" si="138"/>
        <v>6.5332328758148525E-2</v>
      </c>
      <c r="X644" s="43">
        <f t="shared" si="139"/>
        <v>0.89730402600000003</v>
      </c>
      <c r="Y644" s="43">
        <v>95.187619729999994</v>
      </c>
      <c r="Z644" s="43">
        <f t="shared" si="128"/>
        <v>0</v>
      </c>
      <c r="AA644" s="43">
        <f t="shared" si="129"/>
        <v>29187</v>
      </c>
      <c r="AB644" s="43">
        <f t="shared" si="130"/>
        <v>9189</v>
      </c>
      <c r="AC644" s="43">
        <f t="shared" si="140"/>
        <v>3.4058654230769231E-2</v>
      </c>
      <c r="AD644" s="43">
        <f t="shared" si="141"/>
        <v>0.86762326330769235</v>
      </c>
      <c r="AF644" s="43">
        <v>12.783920974374439</v>
      </c>
      <c r="AG644" s="43">
        <v>3.4337056999999997E-2</v>
      </c>
      <c r="AH644" s="43">
        <v>1.5916331999999998E-2</v>
      </c>
      <c r="AI644" s="43">
        <v>0.87070909699999999</v>
      </c>
      <c r="AJ644" s="43">
        <v>3.253961721</v>
      </c>
      <c r="AK644" s="43">
        <v>8.4988777389999992</v>
      </c>
      <c r="AL644" s="43">
        <v>7.8749960000000004E-3</v>
      </c>
      <c r="AM644" s="230">
        <v>6.5332328758148525E-2</v>
      </c>
      <c r="AN644" s="43">
        <v>0.89730402600000003</v>
      </c>
    </row>
    <row r="645" spans="1:40" x14ac:dyDescent="0.25">
      <c r="A645" s="134">
        <v>635</v>
      </c>
      <c r="B645" s="134" t="s">
        <v>198</v>
      </c>
      <c r="C645" s="134" t="s">
        <v>61</v>
      </c>
      <c r="D645" s="134" t="s">
        <v>197</v>
      </c>
      <c r="E645" s="134">
        <v>781</v>
      </c>
      <c r="F645" s="134">
        <v>2386</v>
      </c>
      <c r="G645" s="134">
        <v>124</v>
      </c>
      <c r="H645" s="134">
        <v>128</v>
      </c>
      <c r="I645" s="200">
        <v>0.19530428363300001</v>
      </c>
      <c r="J645" s="134">
        <v>2514</v>
      </c>
      <c r="K645" s="134">
        <v>12872.221506</v>
      </c>
      <c r="L645" s="42">
        <v>0.86964778965699996</v>
      </c>
      <c r="M645" s="42">
        <v>0.140814081408</v>
      </c>
      <c r="N645" s="134">
        <v>0</v>
      </c>
      <c r="O645" s="43" t="s">
        <v>666</v>
      </c>
      <c r="P645" s="43">
        <f t="shared" si="131"/>
        <v>13.065135096408389</v>
      </c>
      <c r="Q645" s="43">
        <f t="shared" si="132"/>
        <v>3.5311031E-2</v>
      </c>
      <c r="R645" s="43">
        <f t="shared" si="133"/>
        <v>1.5901733000000001E-2</v>
      </c>
      <c r="S645" s="43">
        <f t="shared" si="134"/>
        <v>0.86964779000000003</v>
      </c>
      <c r="T645" s="43">
        <f t="shared" si="135"/>
        <v>3.3634056129999998</v>
      </c>
      <c r="U645" s="43">
        <f t="shared" si="136"/>
        <v>8.5342801959999992</v>
      </c>
      <c r="V645" s="43">
        <f t="shared" si="137"/>
        <v>5.1742580000000002E-3</v>
      </c>
      <c r="W645" s="230">
        <f t="shared" si="138"/>
        <v>7.4702711599391028E-2</v>
      </c>
      <c r="X645" s="43">
        <f t="shared" si="139"/>
        <v>0.89254412999999999</v>
      </c>
      <c r="Y645" s="43">
        <v>98.300540569999995</v>
      </c>
      <c r="Z645" s="43">
        <f t="shared" si="128"/>
        <v>0</v>
      </c>
      <c r="AA645" s="43">
        <f t="shared" si="129"/>
        <v>29187</v>
      </c>
      <c r="AB645" s="43">
        <f t="shared" si="130"/>
        <v>9189</v>
      </c>
      <c r="AC645" s="43">
        <f t="shared" si="140"/>
        <v>3.4058654230769231E-2</v>
      </c>
      <c r="AD645" s="43">
        <f t="shared" si="141"/>
        <v>0.86762326330769235</v>
      </c>
      <c r="AF645" s="43">
        <v>13.065135096408389</v>
      </c>
      <c r="AG645" s="43">
        <v>3.5311031E-2</v>
      </c>
      <c r="AH645" s="43">
        <v>1.5901733000000001E-2</v>
      </c>
      <c r="AI645" s="43">
        <v>0.86964779000000003</v>
      </c>
      <c r="AJ645" s="43">
        <v>3.3634056129999998</v>
      </c>
      <c r="AK645" s="43">
        <v>8.5342801959999992</v>
      </c>
      <c r="AL645" s="43">
        <v>5.1742580000000002E-3</v>
      </c>
      <c r="AM645" s="230">
        <v>7.4702711599391028E-2</v>
      </c>
      <c r="AN645" s="43">
        <v>0.89254412999999999</v>
      </c>
    </row>
    <row r="646" spans="1:40" x14ac:dyDescent="0.25">
      <c r="A646" s="134">
        <v>636</v>
      </c>
      <c r="B646" s="134" t="s">
        <v>198</v>
      </c>
      <c r="C646" s="134" t="s">
        <v>61</v>
      </c>
      <c r="D646" s="134" t="s">
        <v>197</v>
      </c>
      <c r="E646" s="134">
        <v>865</v>
      </c>
      <c r="F646" s="134">
        <v>2753</v>
      </c>
      <c r="G646" s="134">
        <v>121</v>
      </c>
      <c r="H646" s="134">
        <v>464</v>
      </c>
      <c r="I646" s="200">
        <v>0.17543735705399999</v>
      </c>
      <c r="J646" s="134">
        <v>3217</v>
      </c>
      <c r="K646" s="134">
        <v>18337.029547300001</v>
      </c>
      <c r="L646" s="42">
        <v>0.85231498690399998</v>
      </c>
      <c r="M646" s="42">
        <v>0.349134687735</v>
      </c>
      <c r="N646" s="134">
        <v>0</v>
      </c>
      <c r="O646" s="43" t="s">
        <v>664</v>
      </c>
      <c r="P646" s="43">
        <f t="shared" si="131"/>
        <v>12.879193836524559</v>
      </c>
      <c r="Q646" s="43">
        <f t="shared" si="132"/>
        <v>4.3445938000000003E-2</v>
      </c>
      <c r="R646" s="43">
        <f t="shared" si="133"/>
        <v>1.5413260999999999E-2</v>
      </c>
      <c r="S646" s="43">
        <f t="shared" si="134"/>
        <v>0.85231498699999997</v>
      </c>
      <c r="T646" s="43">
        <f t="shared" si="135"/>
        <v>3.423414417</v>
      </c>
      <c r="U646" s="43">
        <f t="shared" si="136"/>
        <v>8.6449422899999995</v>
      </c>
      <c r="V646" s="43">
        <f t="shared" si="137"/>
        <v>9.1335949999999996E-3</v>
      </c>
      <c r="W646" s="230">
        <f t="shared" si="138"/>
        <v>7.9399939376261788E-2</v>
      </c>
      <c r="X646" s="43">
        <f t="shared" si="139"/>
        <v>0.86894406000000002</v>
      </c>
      <c r="Y646" s="43">
        <v>68.767270980000006</v>
      </c>
      <c r="Z646" s="43">
        <f t="shared" si="128"/>
        <v>0</v>
      </c>
      <c r="AA646" s="43">
        <f t="shared" si="129"/>
        <v>29187</v>
      </c>
      <c r="AB646" s="43">
        <f t="shared" si="130"/>
        <v>9189</v>
      </c>
      <c r="AC646" s="43">
        <f t="shared" si="140"/>
        <v>3.4058654230769231E-2</v>
      </c>
      <c r="AD646" s="43">
        <f t="shared" si="141"/>
        <v>0.86762326330769235</v>
      </c>
      <c r="AF646" s="43">
        <v>12.879193836524559</v>
      </c>
      <c r="AG646" s="43">
        <v>4.3445938000000003E-2</v>
      </c>
      <c r="AH646" s="43">
        <v>1.5413260999999999E-2</v>
      </c>
      <c r="AI646" s="43">
        <v>0.85231498699999997</v>
      </c>
      <c r="AJ646" s="43">
        <v>3.423414417</v>
      </c>
      <c r="AK646" s="43">
        <v>8.6449422899999995</v>
      </c>
      <c r="AL646" s="43">
        <v>9.1335949999999996E-3</v>
      </c>
      <c r="AM646" s="230">
        <v>7.9399939376261788E-2</v>
      </c>
      <c r="AN646" s="43">
        <v>0.86894406000000002</v>
      </c>
    </row>
    <row r="647" spans="1:40" x14ac:dyDescent="0.25">
      <c r="A647" s="134">
        <v>637</v>
      </c>
      <c r="B647" s="134" t="s">
        <v>202</v>
      </c>
      <c r="C647" s="134" t="s">
        <v>61</v>
      </c>
      <c r="D647" s="134" t="s">
        <v>197</v>
      </c>
      <c r="E647" s="134">
        <v>199</v>
      </c>
      <c r="F647" s="134">
        <v>635</v>
      </c>
      <c r="G647" s="134">
        <v>49</v>
      </c>
      <c r="H647" s="134">
        <v>274</v>
      </c>
      <c r="I647" s="200">
        <v>0.106648430307</v>
      </c>
      <c r="J647" s="134">
        <v>909</v>
      </c>
      <c r="K647" s="134">
        <v>8523.3321988999996</v>
      </c>
      <c r="L647" s="42">
        <v>0.86007757765299997</v>
      </c>
      <c r="M647" s="42">
        <v>0.57928118393200001</v>
      </c>
      <c r="N647" s="134">
        <v>0</v>
      </c>
      <c r="O647" s="43" t="s">
        <v>666</v>
      </c>
      <c r="P647" s="43">
        <f t="shared" si="131"/>
        <v>11.916809035730592</v>
      </c>
      <c r="Q647" s="43">
        <f t="shared" si="132"/>
        <v>2.9587756E-2</v>
      </c>
      <c r="R647" s="43">
        <f t="shared" si="133"/>
        <v>1.4451093E-2</v>
      </c>
      <c r="S647" s="43">
        <f t="shared" si="134"/>
        <v>0.86007757799999995</v>
      </c>
      <c r="T647" s="43">
        <f t="shared" si="135"/>
        <v>2.8846715330000001</v>
      </c>
      <c r="U647" s="43">
        <f t="shared" si="136"/>
        <v>7.377174417</v>
      </c>
      <c r="V647" s="43">
        <f t="shared" si="137"/>
        <v>7.3246429999999996E-3</v>
      </c>
      <c r="W647" s="230">
        <f t="shared" si="138"/>
        <v>5.1421477343265055E-2</v>
      </c>
      <c r="X647" s="43">
        <f t="shared" si="139"/>
        <v>0.88119180600000002</v>
      </c>
      <c r="Y647" s="43">
        <v>81.130977310000006</v>
      </c>
      <c r="Z647" s="43">
        <f t="shared" si="128"/>
        <v>0</v>
      </c>
      <c r="AA647" s="43">
        <f t="shared" si="129"/>
        <v>28430</v>
      </c>
      <c r="AB647" s="43">
        <f t="shared" si="130"/>
        <v>9374</v>
      </c>
      <c r="AC647" s="43">
        <f t="shared" si="140"/>
        <v>4.4377737888888887E-2</v>
      </c>
      <c r="AD647" s="43">
        <f t="shared" si="141"/>
        <v>0.82399259644444456</v>
      </c>
      <c r="AF647" s="43">
        <v>11.916809035730592</v>
      </c>
      <c r="AG647" s="43">
        <v>2.9587756E-2</v>
      </c>
      <c r="AH647" s="43">
        <v>1.4451093E-2</v>
      </c>
      <c r="AI647" s="43">
        <v>0.86007757799999995</v>
      </c>
      <c r="AJ647" s="43">
        <v>2.8846715330000001</v>
      </c>
      <c r="AK647" s="43">
        <v>7.377174417</v>
      </c>
      <c r="AL647" s="43">
        <v>7.3246429999999996E-3</v>
      </c>
      <c r="AM647" s="230">
        <v>5.1421477343265055E-2</v>
      </c>
      <c r="AN647" s="43">
        <v>0.88119180600000002</v>
      </c>
    </row>
    <row r="648" spans="1:40" x14ac:dyDescent="0.25">
      <c r="A648" s="134">
        <v>638</v>
      </c>
      <c r="B648" s="134" t="s">
        <v>202</v>
      </c>
      <c r="C648" s="134" t="s">
        <v>61</v>
      </c>
      <c r="D648" s="134" t="s">
        <v>197</v>
      </c>
      <c r="E648" s="134">
        <v>254</v>
      </c>
      <c r="F648" s="134">
        <v>811</v>
      </c>
      <c r="G648" s="134">
        <v>54</v>
      </c>
      <c r="H648" s="134">
        <v>333</v>
      </c>
      <c r="I648" s="200">
        <v>0.11775961428499999</v>
      </c>
      <c r="J648" s="134">
        <v>1144</v>
      </c>
      <c r="K648" s="134">
        <v>9714.7057328999999</v>
      </c>
      <c r="L648" s="42">
        <v>0.86828554599200003</v>
      </c>
      <c r="M648" s="42">
        <v>0.56729131175500003</v>
      </c>
      <c r="N648" s="134">
        <v>0</v>
      </c>
      <c r="O648" s="43" t="s">
        <v>666</v>
      </c>
      <c r="P648" s="43">
        <f t="shared" si="131"/>
        <v>12.663284507544144</v>
      </c>
      <c r="Q648" s="43">
        <f t="shared" si="132"/>
        <v>3.1375287000000002E-2</v>
      </c>
      <c r="R648" s="43">
        <f t="shared" si="133"/>
        <v>1.469722E-2</v>
      </c>
      <c r="S648" s="43">
        <f t="shared" si="134"/>
        <v>0.86828554599999996</v>
      </c>
      <c r="T648" s="43">
        <f t="shared" si="135"/>
        <v>3.1099951400000001</v>
      </c>
      <c r="U648" s="43">
        <f t="shared" si="136"/>
        <v>7.9734221930000002</v>
      </c>
      <c r="V648" s="43">
        <f t="shared" si="137"/>
        <v>7.6846750000000002E-3</v>
      </c>
      <c r="W648" s="230">
        <f t="shared" si="138"/>
        <v>5.4026186260967689E-2</v>
      </c>
      <c r="X648" s="43">
        <f t="shared" si="139"/>
        <v>0.89054687700000001</v>
      </c>
      <c r="Y648" s="43">
        <v>81.781742719999997</v>
      </c>
      <c r="Z648" s="43">
        <f t="shared" si="128"/>
        <v>0</v>
      </c>
      <c r="AA648" s="43">
        <f t="shared" si="129"/>
        <v>28430</v>
      </c>
      <c r="AB648" s="43">
        <f t="shared" si="130"/>
        <v>9374</v>
      </c>
      <c r="AC648" s="43">
        <f t="shared" si="140"/>
        <v>4.4377737888888887E-2</v>
      </c>
      <c r="AD648" s="43">
        <f t="shared" si="141"/>
        <v>0.82399259644444456</v>
      </c>
      <c r="AF648" s="43">
        <v>12.663284507544144</v>
      </c>
      <c r="AG648" s="43">
        <v>3.1375287000000002E-2</v>
      </c>
      <c r="AH648" s="43">
        <v>1.469722E-2</v>
      </c>
      <c r="AI648" s="43">
        <v>0.86828554599999996</v>
      </c>
      <c r="AJ648" s="43">
        <v>3.1099951400000001</v>
      </c>
      <c r="AK648" s="43">
        <v>7.9734221930000002</v>
      </c>
      <c r="AL648" s="43">
        <v>7.6846750000000002E-3</v>
      </c>
      <c r="AM648" s="230">
        <v>5.4026186260967689E-2</v>
      </c>
      <c r="AN648" s="43">
        <v>0.89054687700000001</v>
      </c>
    </row>
    <row r="649" spans="1:40" x14ac:dyDescent="0.25">
      <c r="A649" s="134">
        <v>639</v>
      </c>
      <c r="B649" s="134" t="s">
        <v>202</v>
      </c>
      <c r="C649" s="134" t="s">
        <v>61</v>
      </c>
      <c r="D649" s="134" t="s">
        <v>197</v>
      </c>
      <c r="E649" s="134">
        <v>254</v>
      </c>
      <c r="F649" s="134">
        <v>811</v>
      </c>
      <c r="G649" s="134">
        <v>52</v>
      </c>
      <c r="H649" s="134">
        <v>144</v>
      </c>
      <c r="I649" s="200">
        <v>0.111686897698</v>
      </c>
      <c r="J649" s="134">
        <v>955</v>
      </c>
      <c r="K649" s="134">
        <v>8550.6896483100008</v>
      </c>
      <c r="L649" s="42">
        <v>0.85939207556499997</v>
      </c>
      <c r="M649" s="42">
        <v>0.36180904522599999</v>
      </c>
      <c r="N649" s="134">
        <v>0</v>
      </c>
      <c r="O649" s="43" t="s">
        <v>666</v>
      </c>
      <c r="P649" s="43">
        <f t="shared" si="131"/>
        <v>11.946047102621463</v>
      </c>
      <c r="Q649" s="43">
        <f t="shared" si="132"/>
        <v>3.6717097999999997E-2</v>
      </c>
      <c r="R649" s="43">
        <f t="shared" si="133"/>
        <v>1.4393586E-2</v>
      </c>
      <c r="S649" s="43">
        <f t="shared" si="134"/>
        <v>0.859392076</v>
      </c>
      <c r="T649" s="43">
        <f t="shared" si="135"/>
        <v>2.9253048779999999</v>
      </c>
      <c r="U649" s="43">
        <f t="shared" si="136"/>
        <v>7.2042899409999999</v>
      </c>
      <c r="V649" s="43">
        <f t="shared" si="137"/>
        <v>6.2466809999999996E-3</v>
      </c>
      <c r="W649" s="230">
        <f t="shared" si="138"/>
        <v>7.4454363824890624E-2</v>
      </c>
      <c r="X649" s="43">
        <f t="shared" si="139"/>
        <v>0.86664474800000002</v>
      </c>
      <c r="Y649" s="43">
        <v>72.499186100000003</v>
      </c>
      <c r="Z649" s="43">
        <f t="shared" si="128"/>
        <v>0</v>
      </c>
      <c r="AA649" s="43">
        <f t="shared" si="129"/>
        <v>28430</v>
      </c>
      <c r="AB649" s="43">
        <f t="shared" si="130"/>
        <v>9374</v>
      </c>
      <c r="AC649" s="43">
        <f t="shared" si="140"/>
        <v>4.4377737888888887E-2</v>
      </c>
      <c r="AD649" s="43">
        <f t="shared" si="141"/>
        <v>0.82399259644444456</v>
      </c>
      <c r="AF649" s="43">
        <v>11.946047102621463</v>
      </c>
      <c r="AG649" s="43">
        <v>3.6717097999999997E-2</v>
      </c>
      <c r="AH649" s="43">
        <v>1.4393586E-2</v>
      </c>
      <c r="AI649" s="43">
        <v>0.859392076</v>
      </c>
      <c r="AJ649" s="43">
        <v>2.9253048779999999</v>
      </c>
      <c r="AK649" s="43">
        <v>7.2042899409999999</v>
      </c>
      <c r="AL649" s="43">
        <v>6.2466809999999996E-3</v>
      </c>
      <c r="AM649" s="230">
        <v>7.4454363824890624E-2</v>
      </c>
      <c r="AN649" s="43">
        <v>0.86664474800000002</v>
      </c>
    </row>
    <row r="650" spans="1:40" x14ac:dyDescent="0.25">
      <c r="A650" s="134">
        <v>640</v>
      </c>
      <c r="B650" s="134" t="s">
        <v>202</v>
      </c>
      <c r="C650" s="134" t="s">
        <v>61</v>
      </c>
      <c r="D650" s="134" t="s">
        <v>197</v>
      </c>
      <c r="E650" s="134">
        <v>340</v>
      </c>
      <c r="F650" s="134">
        <v>1087</v>
      </c>
      <c r="G650" s="134">
        <v>91</v>
      </c>
      <c r="H650" s="134">
        <v>207</v>
      </c>
      <c r="I650" s="200">
        <v>0.19583492851100001</v>
      </c>
      <c r="J650" s="134">
        <v>1294</v>
      </c>
      <c r="K650" s="134">
        <v>6607.6057516399997</v>
      </c>
      <c r="L650" s="42">
        <v>0.71906839245200005</v>
      </c>
      <c r="M650" s="42">
        <v>0.378427787934</v>
      </c>
      <c r="N650" s="134">
        <v>0</v>
      </c>
      <c r="O650" s="43" t="s">
        <v>666</v>
      </c>
      <c r="P650" s="43">
        <f t="shared" si="131"/>
        <v>12.282809291050482</v>
      </c>
      <c r="Q650" s="43">
        <f t="shared" si="132"/>
        <v>4.2944431999999998E-2</v>
      </c>
      <c r="R650" s="43">
        <f t="shared" si="133"/>
        <v>0.11695443699999999</v>
      </c>
      <c r="S650" s="43">
        <f t="shared" si="134"/>
        <v>0.71906839199999995</v>
      </c>
      <c r="T650" s="43">
        <f t="shared" si="135"/>
        <v>2.5617666510000001</v>
      </c>
      <c r="U650" s="43">
        <f t="shared" si="136"/>
        <v>7.5162136879999997</v>
      </c>
      <c r="V650" s="43">
        <f t="shared" si="137"/>
        <v>6.3151709999999996E-3</v>
      </c>
      <c r="W650" s="230">
        <f t="shared" si="138"/>
        <v>6.3298575414892061E-2</v>
      </c>
      <c r="X650" s="43">
        <f t="shared" si="139"/>
        <v>0.88370171799999997</v>
      </c>
      <c r="Y650" s="43">
        <v>63.95755802</v>
      </c>
      <c r="Z650" s="43">
        <f t="shared" si="128"/>
        <v>0</v>
      </c>
      <c r="AA650" s="43">
        <f t="shared" si="129"/>
        <v>28430</v>
      </c>
      <c r="AB650" s="43">
        <f t="shared" si="130"/>
        <v>9374</v>
      </c>
      <c r="AC650" s="43">
        <f t="shared" si="140"/>
        <v>4.4377737888888887E-2</v>
      </c>
      <c r="AD650" s="43">
        <f t="shared" si="141"/>
        <v>0.82399259644444456</v>
      </c>
      <c r="AF650" s="43">
        <v>12.282809291050482</v>
      </c>
      <c r="AG650" s="43">
        <v>4.2944431999999998E-2</v>
      </c>
      <c r="AH650" s="43">
        <v>0.11695443699999999</v>
      </c>
      <c r="AI650" s="43">
        <v>0.71906839199999995</v>
      </c>
      <c r="AJ650" s="43">
        <v>2.5617666510000001</v>
      </c>
      <c r="AK650" s="43">
        <v>7.5162136879999997</v>
      </c>
      <c r="AL650" s="43">
        <v>6.3151709999999996E-3</v>
      </c>
      <c r="AM650" s="230">
        <v>6.3298575414892061E-2</v>
      </c>
      <c r="AN650" s="43">
        <v>0.88370171799999997</v>
      </c>
    </row>
    <row r="651" spans="1:40" x14ac:dyDescent="0.25">
      <c r="A651" s="134">
        <v>641</v>
      </c>
      <c r="B651" s="134" t="s">
        <v>202</v>
      </c>
      <c r="C651" s="134" t="s">
        <v>61</v>
      </c>
      <c r="D651" s="134" t="s">
        <v>197</v>
      </c>
      <c r="E651" s="134">
        <v>663</v>
      </c>
      <c r="F651" s="134">
        <v>2017</v>
      </c>
      <c r="G651" s="134">
        <v>39</v>
      </c>
      <c r="H651" s="134">
        <v>181</v>
      </c>
      <c r="I651" s="200">
        <v>8.0327820630499994E-2</v>
      </c>
      <c r="J651" s="134">
        <v>2198</v>
      </c>
      <c r="K651" s="134">
        <v>27362.873569200001</v>
      </c>
      <c r="L651" s="42">
        <v>0.78310491285799999</v>
      </c>
      <c r="M651" s="42">
        <v>0.21445497630300001</v>
      </c>
      <c r="N651" s="134">
        <v>0</v>
      </c>
      <c r="O651" s="43" t="s">
        <v>664</v>
      </c>
      <c r="P651" s="43">
        <f t="shared" si="131"/>
        <v>14.370447516075897</v>
      </c>
      <c r="Q651" s="43">
        <f t="shared" si="132"/>
        <v>7.7071721999999995E-2</v>
      </c>
      <c r="R651" s="43">
        <f t="shared" si="133"/>
        <v>1.7728678000000001E-2</v>
      </c>
      <c r="S651" s="43">
        <f t="shared" si="134"/>
        <v>0.78310491299999996</v>
      </c>
      <c r="T651" s="43">
        <f t="shared" si="135"/>
        <v>3.1339321199999999</v>
      </c>
      <c r="U651" s="43">
        <f t="shared" si="136"/>
        <v>8.5257380909999991</v>
      </c>
      <c r="V651" s="43">
        <f t="shared" si="137"/>
        <v>1.4117449000000001E-2</v>
      </c>
      <c r="W651" s="230">
        <f t="shared" si="138"/>
        <v>0.14739037906403421</v>
      </c>
      <c r="X651" s="43">
        <f t="shared" si="139"/>
        <v>0.77406814300000004</v>
      </c>
      <c r="Y651" s="43">
        <v>124.2981673</v>
      </c>
      <c r="Z651" s="43">
        <f t="shared" ref="Z651:Z714" si="142">IF(B651="Berkeley",1,0)</f>
        <v>0</v>
      </c>
      <c r="AA651" s="43">
        <f t="shared" ref="AA651:AA714" si="143">SUMIFS(F:F,B:B,B651)</f>
        <v>28430</v>
      </c>
      <c r="AB651" s="43">
        <f t="shared" ref="AB651:AB714" si="144">SUMIFS(E:E,B:B,B651)</f>
        <v>9374</v>
      </c>
      <c r="AC651" s="43">
        <f t="shared" si="140"/>
        <v>4.4377737888888887E-2</v>
      </c>
      <c r="AD651" s="43">
        <f t="shared" si="141"/>
        <v>0.82399259644444456</v>
      </c>
      <c r="AF651" s="43">
        <v>14.370447516075897</v>
      </c>
      <c r="AG651" s="43">
        <v>7.7071721999999995E-2</v>
      </c>
      <c r="AH651" s="43">
        <v>1.7728678000000001E-2</v>
      </c>
      <c r="AI651" s="43">
        <v>0.78310491299999996</v>
      </c>
      <c r="AJ651" s="43">
        <v>3.1339321199999999</v>
      </c>
      <c r="AK651" s="43">
        <v>8.5257380909999991</v>
      </c>
      <c r="AL651" s="43">
        <v>1.4117449000000001E-2</v>
      </c>
      <c r="AM651" s="230">
        <v>0.14739037906403421</v>
      </c>
      <c r="AN651" s="43">
        <v>0.77406814300000004</v>
      </c>
    </row>
    <row r="652" spans="1:40" x14ac:dyDescent="0.25">
      <c r="A652" s="134">
        <v>642</v>
      </c>
      <c r="B652" s="134" t="s">
        <v>202</v>
      </c>
      <c r="C652" s="134" t="s">
        <v>61</v>
      </c>
      <c r="D652" s="134" t="s">
        <v>197</v>
      </c>
      <c r="E652" s="134">
        <v>474</v>
      </c>
      <c r="F652" s="134">
        <v>1443</v>
      </c>
      <c r="G652" s="134">
        <v>108</v>
      </c>
      <c r="H652" s="134">
        <v>33</v>
      </c>
      <c r="I652" s="200">
        <v>9.4323737871100002E-2</v>
      </c>
      <c r="J652" s="134">
        <v>1476</v>
      </c>
      <c r="K652" s="134">
        <v>15648.234827300001</v>
      </c>
      <c r="L652" s="42">
        <v>0.83536332581600004</v>
      </c>
      <c r="M652" s="42">
        <v>6.5088757396399993E-2</v>
      </c>
      <c r="N652" s="134">
        <v>1</v>
      </c>
      <c r="O652" s="43" t="s">
        <v>664</v>
      </c>
      <c r="P652" s="43">
        <f t="shared" ref="P652:P715" si="145">IF(OR(IFERROR(AF652=0,TRUE),ISERROR(AF652)),AVERAGEIFS(AF:AF,$B:$B,$B652,AF:AF,"&gt;0"),AF652)</f>
        <v>13.10707981975581</v>
      </c>
      <c r="Q652" s="43">
        <f t="shared" ref="Q652:Q715" si="146">IF(OR(IFERROR(AG652=0,TRUE),ISERROR(AG652)),AVERAGEIFS(AG:AG,$B:$B,$B652,AG:AG,"&gt;0"),AG652)</f>
        <v>5.8744030000000003E-2</v>
      </c>
      <c r="R652" s="43">
        <f t="shared" ref="R652:R715" si="147">IF(OR(IFERROR(AH652=0,TRUE),ISERROR(AH652)),AVERAGEIFS(AH:AH,$B:$B,$B652,AH:AH,"&gt;0"),AH652)</f>
        <v>1.5637437000000001E-2</v>
      </c>
      <c r="S652" s="43">
        <f t="shared" ref="S652:S715" si="148">IF(OR(IFERROR(AI652=0,TRUE),ISERROR(AI652)),AVERAGEIFS(AI:AI,$B:$B,$B652,AI:AI,"&gt;0"),AI652)</f>
        <v>0.83536332599999996</v>
      </c>
      <c r="T652" s="43">
        <f t="shared" ref="T652:T715" si="149">IF(OR(IFERROR(AJ652=0,TRUE),ISERROR(AJ652)),AVERAGEIFS(AJ:AJ,$B:$B,$B652,AJ:AJ,"&gt;0"),AJ652)</f>
        <v>3.1204819279999998</v>
      </c>
      <c r="U652" s="43">
        <f t="shared" ref="U652:U715" si="150">IF(OR(IFERROR(AK652=0,TRUE),ISERROR(AK652)),AVERAGEIFS(AK:AK,$B:$B,$B652,AK:AK,"&gt;0"),AK652)</f>
        <v>8.3293418579999994</v>
      </c>
      <c r="V652" s="43">
        <f t="shared" ref="V652:V715" si="151">IF(OR(IFERROR(AL652=0,TRUE),ISERROR(AL652)),AVERAGEIFS(AL:AL,$B:$B,$B652,AL:AL,"&gt;0"),AL652)</f>
        <v>4.1686539999999999E-3</v>
      </c>
      <c r="W652" s="230">
        <f t="shared" ref="W652:W715" si="152">IF(OR(IFERROR(AM652=0,TRUE),ISERROR(AM652)),AVERAGEIFS(AM:AM,$B:$B,$B652,AM:AM,"&gt;0"),AM652)</f>
        <v>0.12481232225813858</v>
      </c>
      <c r="X652" s="43">
        <f t="shared" ref="X652:X715" si="153">IF(OR(IFERROR(AN652=0,TRUE),ISERROR(AN652)),AVERAGEIFS(AN:AN,$B:$B,$B652,AN:AN,"&gt;0"),AN652)</f>
        <v>0.832141028</v>
      </c>
      <c r="Y652" s="43">
        <v>109.2235451</v>
      </c>
      <c r="Z652" s="43">
        <f t="shared" si="142"/>
        <v>0</v>
      </c>
      <c r="AA652" s="43">
        <f t="shared" si="143"/>
        <v>28430</v>
      </c>
      <c r="AB652" s="43">
        <f t="shared" si="144"/>
        <v>9374</v>
      </c>
      <c r="AC652" s="43">
        <f t="shared" ref="AC652:AC715" si="154">AVERAGEIFS(Q:Q,B:B,B652,N:N,0,Q:Q,"&gt;0")</f>
        <v>4.4377737888888887E-2</v>
      </c>
      <c r="AD652" s="43">
        <f t="shared" ref="AD652:AD715" si="155">AVERAGEIFS(S:S,B:B,B652,N:N,0,S:S,"&gt;0")</f>
        <v>0.82399259644444456</v>
      </c>
      <c r="AF652" s="43">
        <v>13.10707981975581</v>
      </c>
      <c r="AG652" s="43">
        <v>5.8744030000000003E-2</v>
      </c>
      <c r="AH652" s="43">
        <v>1.5637437000000001E-2</v>
      </c>
      <c r="AI652" s="43">
        <v>0.83536332599999996</v>
      </c>
      <c r="AJ652" s="43">
        <v>3.1204819279999998</v>
      </c>
      <c r="AK652" s="43">
        <v>8.3293418579999994</v>
      </c>
      <c r="AL652" s="43">
        <v>4.1686539999999999E-3</v>
      </c>
      <c r="AM652" s="230">
        <v>0.12481232225813858</v>
      </c>
      <c r="AN652" s="43">
        <v>0.832141028</v>
      </c>
    </row>
    <row r="653" spans="1:40" x14ac:dyDescent="0.25">
      <c r="A653" s="134">
        <v>643</v>
      </c>
      <c r="B653" s="134" t="s">
        <v>202</v>
      </c>
      <c r="C653" s="134" t="s">
        <v>61</v>
      </c>
      <c r="D653" s="134" t="s">
        <v>197</v>
      </c>
      <c r="E653" s="134">
        <v>465</v>
      </c>
      <c r="F653" s="134">
        <v>1416</v>
      </c>
      <c r="G653" s="134">
        <v>65</v>
      </c>
      <c r="H653" s="134">
        <v>171</v>
      </c>
      <c r="I653" s="200">
        <v>5.3673062073499998E-2</v>
      </c>
      <c r="J653" s="134">
        <v>1587</v>
      </c>
      <c r="K653" s="134">
        <v>29567.9049916</v>
      </c>
      <c r="L653" s="42">
        <v>0.82022242836299997</v>
      </c>
      <c r="M653" s="42">
        <v>0.26886792452800001</v>
      </c>
      <c r="N653" s="134">
        <v>1</v>
      </c>
      <c r="O653" s="43" t="s">
        <v>664</v>
      </c>
      <c r="P653" s="43">
        <f t="shared" si="145"/>
        <v>12.725516806236921</v>
      </c>
      <c r="Q653" s="43">
        <f t="shared" si="146"/>
        <v>5.4761007E-2</v>
      </c>
      <c r="R653" s="43">
        <f t="shared" si="147"/>
        <v>1.5518337E-2</v>
      </c>
      <c r="S653" s="43">
        <f t="shared" si="148"/>
        <v>0.820222428</v>
      </c>
      <c r="T653" s="43">
        <f t="shared" si="149"/>
        <v>3.0650032829999998</v>
      </c>
      <c r="U653" s="43">
        <f t="shared" si="150"/>
        <v>7.718733222</v>
      </c>
      <c r="V653" s="43">
        <f t="shared" si="151"/>
        <v>1.0738347000000001E-2</v>
      </c>
      <c r="W653" s="230">
        <f t="shared" si="152"/>
        <v>0.11457445345799533</v>
      </c>
      <c r="X653" s="43">
        <f t="shared" si="153"/>
        <v>0.81090334100000006</v>
      </c>
      <c r="Y653" s="43">
        <v>127.29628750000001</v>
      </c>
      <c r="Z653" s="43">
        <f t="shared" si="142"/>
        <v>0</v>
      </c>
      <c r="AA653" s="43">
        <f t="shared" si="143"/>
        <v>28430</v>
      </c>
      <c r="AB653" s="43">
        <f t="shared" si="144"/>
        <v>9374</v>
      </c>
      <c r="AC653" s="43">
        <f t="shared" si="154"/>
        <v>4.4377737888888887E-2</v>
      </c>
      <c r="AD653" s="43">
        <f t="shared" si="155"/>
        <v>0.82399259644444456</v>
      </c>
      <c r="AF653" s="43">
        <v>12.725516806236921</v>
      </c>
      <c r="AG653" s="43">
        <v>5.4761007E-2</v>
      </c>
      <c r="AH653" s="43">
        <v>1.5518337E-2</v>
      </c>
      <c r="AI653" s="43">
        <v>0.820222428</v>
      </c>
      <c r="AJ653" s="43">
        <v>3.0650032829999998</v>
      </c>
      <c r="AK653" s="43">
        <v>7.718733222</v>
      </c>
      <c r="AL653" s="43">
        <v>1.0738347000000001E-2</v>
      </c>
      <c r="AM653" s="230">
        <v>0.11457445345799533</v>
      </c>
      <c r="AN653" s="43">
        <v>0.81090334100000006</v>
      </c>
    </row>
    <row r="654" spans="1:40" x14ac:dyDescent="0.25">
      <c r="A654" s="134">
        <v>644</v>
      </c>
      <c r="B654" s="134" t="s">
        <v>202</v>
      </c>
      <c r="C654" s="134" t="s">
        <v>61</v>
      </c>
      <c r="D654" s="134" t="s">
        <v>197</v>
      </c>
      <c r="E654" s="134">
        <v>1514</v>
      </c>
      <c r="F654" s="134">
        <v>4608</v>
      </c>
      <c r="G654" s="134">
        <v>74</v>
      </c>
      <c r="H654" s="134">
        <v>183</v>
      </c>
      <c r="I654" s="200">
        <v>0.15179650105100001</v>
      </c>
      <c r="J654" s="134">
        <v>4791</v>
      </c>
      <c r="K654" s="134">
        <v>31561.9923175</v>
      </c>
      <c r="L654" s="42">
        <v>0.77837690984100005</v>
      </c>
      <c r="M654" s="42">
        <v>0.10783736004699999</v>
      </c>
      <c r="N654" s="134">
        <v>1</v>
      </c>
      <c r="O654" s="43" t="s">
        <v>664</v>
      </c>
      <c r="P654" s="43">
        <f t="shared" si="145"/>
        <v>14.360283866288702</v>
      </c>
      <c r="Q654" s="43">
        <f t="shared" si="146"/>
        <v>8.0582688E-2</v>
      </c>
      <c r="R654" s="43">
        <f t="shared" si="147"/>
        <v>1.7695382999999999E-2</v>
      </c>
      <c r="S654" s="43">
        <f t="shared" si="148"/>
        <v>0.77837690999999998</v>
      </c>
      <c r="T654" s="43">
        <f t="shared" si="149"/>
        <v>3.1450462639999999</v>
      </c>
      <c r="U654" s="43">
        <f t="shared" si="150"/>
        <v>8.3499829610000003</v>
      </c>
      <c r="V654" s="43">
        <f t="shared" si="151"/>
        <v>1.3209054E-2</v>
      </c>
      <c r="W654" s="230">
        <f t="shared" si="152"/>
        <v>0.17005665557536359</v>
      </c>
      <c r="X654" s="43">
        <f t="shared" si="153"/>
        <v>0.76279246899999997</v>
      </c>
      <c r="Y654" s="43">
        <v>52.724496459999997</v>
      </c>
      <c r="Z654" s="43">
        <f t="shared" si="142"/>
        <v>0</v>
      </c>
      <c r="AA654" s="43">
        <f t="shared" si="143"/>
        <v>28430</v>
      </c>
      <c r="AB654" s="43">
        <f t="shared" si="144"/>
        <v>9374</v>
      </c>
      <c r="AC654" s="43">
        <f t="shared" si="154"/>
        <v>4.4377737888888887E-2</v>
      </c>
      <c r="AD654" s="43">
        <f t="shared" si="155"/>
        <v>0.82399259644444456</v>
      </c>
      <c r="AF654" s="43">
        <v>14.360283866288702</v>
      </c>
      <c r="AG654" s="43">
        <v>8.0582688E-2</v>
      </c>
      <c r="AH654" s="43">
        <v>1.7695382999999999E-2</v>
      </c>
      <c r="AI654" s="43">
        <v>0.77837690999999998</v>
      </c>
      <c r="AJ654" s="43">
        <v>3.1450462639999999</v>
      </c>
      <c r="AK654" s="43">
        <v>8.3499829610000003</v>
      </c>
      <c r="AL654" s="43">
        <v>1.3209054E-2</v>
      </c>
      <c r="AM654" s="230">
        <v>0.17005665557536359</v>
      </c>
      <c r="AN654" s="43">
        <v>0.76279246899999997</v>
      </c>
    </row>
    <row r="655" spans="1:40" x14ac:dyDescent="0.25">
      <c r="A655" s="134">
        <v>645</v>
      </c>
      <c r="B655" s="134" t="s">
        <v>202</v>
      </c>
      <c r="C655" s="134" t="s">
        <v>61</v>
      </c>
      <c r="D655" s="134" t="s">
        <v>197</v>
      </c>
      <c r="E655" s="134">
        <v>428</v>
      </c>
      <c r="F655" s="134">
        <v>1254</v>
      </c>
      <c r="G655" s="134">
        <v>86</v>
      </c>
      <c r="H655" s="134">
        <v>177</v>
      </c>
      <c r="I655" s="200">
        <v>0.137875469374</v>
      </c>
      <c r="J655" s="134">
        <v>1431</v>
      </c>
      <c r="K655" s="134">
        <v>10378.931121600001</v>
      </c>
      <c r="L655" s="42">
        <v>0.83910728437799997</v>
      </c>
      <c r="M655" s="42">
        <v>0.29256198347099999</v>
      </c>
      <c r="N655" s="134">
        <v>0</v>
      </c>
      <c r="O655" s="43" t="s">
        <v>664</v>
      </c>
      <c r="P655" s="43">
        <f t="shared" si="145"/>
        <v>12.70095097422487</v>
      </c>
      <c r="Q655" s="43">
        <f t="shared" si="146"/>
        <v>4.0227160999999997E-2</v>
      </c>
      <c r="R655" s="43">
        <f t="shared" si="147"/>
        <v>1.5655180000000001E-2</v>
      </c>
      <c r="S655" s="43">
        <f t="shared" si="148"/>
        <v>0.83910728400000001</v>
      </c>
      <c r="T655" s="43">
        <f t="shared" si="149"/>
        <v>2.9880452750000002</v>
      </c>
      <c r="U655" s="43">
        <f t="shared" si="150"/>
        <v>7.9449418129999998</v>
      </c>
      <c r="V655" s="43">
        <f t="shared" si="151"/>
        <v>7.26248E-3</v>
      </c>
      <c r="W655" s="230">
        <f t="shared" si="152"/>
        <v>7.3719806763285031E-2</v>
      </c>
      <c r="X655" s="43">
        <f t="shared" si="153"/>
        <v>0.86367149799999998</v>
      </c>
      <c r="Y655" s="43">
        <v>91.559731819999996</v>
      </c>
      <c r="Z655" s="43">
        <f t="shared" si="142"/>
        <v>0</v>
      </c>
      <c r="AA655" s="43">
        <f t="shared" si="143"/>
        <v>28430</v>
      </c>
      <c r="AB655" s="43">
        <f t="shared" si="144"/>
        <v>9374</v>
      </c>
      <c r="AC655" s="43">
        <f t="shared" si="154"/>
        <v>4.4377737888888887E-2</v>
      </c>
      <c r="AD655" s="43">
        <f t="shared" si="155"/>
        <v>0.82399259644444456</v>
      </c>
      <c r="AF655" s="43">
        <v>12.70095097422487</v>
      </c>
      <c r="AG655" s="43">
        <v>4.0227160999999997E-2</v>
      </c>
      <c r="AH655" s="43">
        <v>1.5655180000000001E-2</v>
      </c>
      <c r="AI655" s="43">
        <v>0.83910728400000001</v>
      </c>
      <c r="AJ655" s="43">
        <v>2.9880452750000002</v>
      </c>
      <c r="AK655" s="43">
        <v>7.9449418129999998</v>
      </c>
      <c r="AL655" s="43">
        <v>7.26248E-3</v>
      </c>
      <c r="AM655" s="230">
        <v>7.3719806763285031E-2</v>
      </c>
      <c r="AN655" s="43">
        <v>0.86367149799999998</v>
      </c>
    </row>
    <row r="656" spans="1:40" x14ac:dyDescent="0.25">
      <c r="A656" s="134">
        <v>646</v>
      </c>
      <c r="B656" s="134" t="s">
        <v>202</v>
      </c>
      <c r="C656" s="134" t="s">
        <v>61</v>
      </c>
      <c r="D656" s="134" t="s">
        <v>197</v>
      </c>
      <c r="E656" s="134">
        <v>929</v>
      </c>
      <c r="F656" s="134">
        <v>2725</v>
      </c>
      <c r="G656" s="134">
        <v>130</v>
      </c>
      <c r="H656" s="134">
        <v>490</v>
      </c>
      <c r="I656" s="200">
        <v>0.20733840526899999</v>
      </c>
      <c r="J656" s="134">
        <v>3215</v>
      </c>
      <c r="K656" s="134">
        <v>15506.0515481</v>
      </c>
      <c r="L656" s="42">
        <v>0.84252736454199995</v>
      </c>
      <c r="M656" s="42">
        <v>0.34531360112800003</v>
      </c>
      <c r="N656" s="134">
        <v>0</v>
      </c>
      <c r="O656" s="43" t="s">
        <v>664</v>
      </c>
      <c r="P656" s="43">
        <f t="shared" si="145"/>
        <v>13.462587786798018</v>
      </c>
      <c r="Q656" s="43">
        <f t="shared" si="146"/>
        <v>4.3268885E-2</v>
      </c>
      <c r="R656" s="43">
        <f t="shared" si="147"/>
        <v>1.6408585E-2</v>
      </c>
      <c r="S656" s="43">
        <f t="shared" si="148"/>
        <v>0.84252736500000003</v>
      </c>
      <c r="T656" s="43">
        <f t="shared" si="149"/>
        <v>3.1454361959999999</v>
      </c>
      <c r="U656" s="43">
        <f t="shared" si="150"/>
        <v>8.6362378359999994</v>
      </c>
      <c r="V656" s="43">
        <f t="shared" si="151"/>
        <v>8.6225539999999993E-3</v>
      </c>
      <c r="W656" s="230">
        <f t="shared" si="152"/>
        <v>8.2906308040009841E-2</v>
      </c>
      <c r="X656" s="43">
        <f t="shared" si="153"/>
        <v>0.86477656700000005</v>
      </c>
      <c r="Y656" s="43">
        <v>77.470964980000005</v>
      </c>
      <c r="Z656" s="43">
        <f t="shared" si="142"/>
        <v>0</v>
      </c>
      <c r="AA656" s="43">
        <f t="shared" si="143"/>
        <v>28430</v>
      </c>
      <c r="AB656" s="43">
        <f t="shared" si="144"/>
        <v>9374</v>
      </c>
      <c r="AC656" s="43">
        <f t="shared" si="154"/>
        <v>4.4377737888888887E-2</v>
      </c>
      <c r="AD656" s="43">
        <f t="shared" si="155"/>
        <v>0.82399259644444456</v>
      </c>
      <c r="AF656" s="43">
        <v>13.462587786798018</v>
      </c>
      <c r="AG656" s="43">
        <v>4.3268885E-2</v>
      </c>
      <c r="AH656" s="43">
        <v>1.6408585E-2</v>
      </c>
      <c r="AI656" s="43">
        <v>0.84252736500000003</v>
      </c>
      <c r="AJ656" s="43">
        <v>3.1454361959999999</v>
      </c>
      <c r="AK656" s="43">
        <v>8.6362378359999994</v>
      </c>
      <c r="AL656" s="43">
        <v>8.6225539999999993E-3</v>
      </c>
      <c r="AM656" s="230">
        <v>8.2906308040009841E-2</v>
      </c>
      <c r="AN656" s="43">
        <v>0.86477656700000005</v>
      </c>
    </row>
    <row r="657" spans="1:40" x14ac:dyDescent="0.25">
      <c r="A657" s="134">
        <v>647</v>
      </c>
      <c r="B657" s="134" t="s">
        <v>202</v>
      </c>
      <c r="C657" s="134" t="s">
        <v>61</v>
      </c>
      <c r="D657" s="134" t="s">
        <v>197</v>
      </c>
      <c r="E657" s="134">
        <v>472</v>
      </c>
      <c r="F657" s="134">
        <v>1386</v>
      </c>
      <c r="G657" s="134">
        <v>66</v>
      </c>
      <c r="H657" s="134">
        <v>220</v>
      </c>
      <c r="I657" s="200">
        <v>0.10587145024899999</v>
      </c>
      <c r="J657" s="134">
        <v>1606</v>
      </c>
      <c r="K657" s="134">
        <v>15169.339762699999</v>
      </c>
      <c r="L657" s="42">
        <v>0.83125397471899998</v>
      </c>
      <c r="M657" s="42">
        <v>0.31791907514500001</v>
      </c>
      <c r="N657" s="134">
        <v>0</v>
      </c>
      <c r="O657" s="43" t="s">
        <v>664</v>
      </c>
      <c r="P657" s="43">
        <f t="shared" si="145"/>
        <v>13.224078126950458</v>
      </c>
      <c r="Q657" s="43">
        <f t="shared" si="146"/>
        <v>4.4434678999999998E-2</v>
      </c>
      <c r="R657" s="43">
        <f t="shared" si="147"/>
        <v>1.6038213999999999E-2</v>
      </c>
      <c r="S657" s="43">
        <f t="shared" si="148"/>
        <v>0.83125397499999998</v>
      </c>
      <c r="T657" s="43">
        <f t="shared" si="149"/>
        <v>2.9881894149999999</v>
      </c>
      <c r="U657" s="43">
        <f t="shared" si="150"/>
        <v>8.2657047810000002</v>
      </c>
      <c r="V657" s="43">
        <f t="shared" si="151"/>
        <v>8.6758819999999993E-3</v>
      </c>
      <c r="W657" s="230">
        <f t="shared" si="152"/>
        <v>8.3704127320658933E-2</v>
      </c>
      <c r="X657" s="43">
        <f t="shared" si="153"/>
        <v>0.85009694099999999</v>
      </c>
      <c r="Y657" s="43">
        <v>92.993492910000001</v>
      </c>
      <c r="Z657" s="43">
        <f t="shared" si="142"/>
        <v>0</v>
      </c>
      <c r="AA657" s="43">
        <f t="shared" si="143"/>
        <v>28430</v>
      </c>
      <c r="AB657" s="43">
        <f t="shared" si="144"/>
        <v>9374</v>
      </c>
      <c r="AC657" s="43">
        <f t="shared" si="154"/>
        <v>4.4377737888888887E-2</v>
      </c>
      <c r="AD657" s="43">
        <f t="shared" si="155"/>
        <v>0.82399259644444456</v>
      </c>
      <c r="AF657" s="43">
        <v>13.224078126950458</v>
      </c>
      <c r="AG657" s="43">
        <v>4.4434678999999998E-2</v>
      </c>
      <c r="AH657" s="43">
        <v>1.6038213999999999E-2</v>
      </c>
      <c r="AI657" s="43">
        <v>0.83125397499999998</v>
      </c>
      <c r="AJ657" s="43">
        <v>2.9881894149999999</v>
      </c>
      <c r="AK657" s="43">
        <v>8.2657047810000002</v>
      </c>
      <c r="AL657" s="43">
        <v>8.6758819999999993E-3</v>
      </c>
      <c r="AM657" s="230">
        <v>8.3704127320658933E-2</v>
      </c>
      <c r="AN657" s="43">
        <v>0.85009694099999999</v>
      </c>
    </row>
    <row r="658" spans="1:40" x14ac:dyDescent="0.25">
      <c r="A658" s="134">
        <v>648</v>
      </c>
      <c r="B658" s="134" t="s">
        <v>202</v>
      </c>
      <c r="C658" s="134" t="s">
        <v>61</v>
      </c>
      <c r="D658" s="134" t="s">
        <v>197</v>
      </c>
      <c r="E658" s="134">
        <v>647</v>
      </c>
      <c r="F658" s="134">
        <v>1952</v>
      </c>
      <c r="G658" s="134">
        <v>86</v>
      </c>
      <c r="H658" s="134">
        <v>289</v>
      </c>
      <c r="I658" s="200">
        <v>0.13139513356400001</v>
      </c>
      <c r="J658" s="134">
        <v>2241</v>
      </c>
      <c r="K658" s="134">
        <v>17055.426173</v>
      </c>
      <c r="L658" s="42">
        <v>0.83140267301500004</v>
      </c>
      <c r="M658" s="42">
        <v>0.30876068376100002</v>
      </c>
      <c r="N658" s="134">
        <v>1</v>
      </c>
      <c r="O658" s="43" t="s">
        <v>664</v>
      </c>
      <c r="P658" s="43">
        <f t="shared" si="145"/>
        <v>12.71393469282447</v>
      </c>
      <c r="Q658" s="43">
        <f t="shared" si="146"/>
        <v>4.9759348000000002E-2</v>
      </c>
      <c r="R658" s="43">
        <f t="shared" si="147"/>
        <v>1.5808517000000001E-2</v>
      </c>
      <c r="S658" s="43">
        <f t="shared" si="148"/>
        <v>0.83140267300000004</v>
      </c>
      <c r="T658" s="43">
        <f t="shared" si="149"/>
        <v>3.198343597</v>
      </c>
      <c r="U658" s="43">
        <f t="shared" si="150"/>
        <v>8.0024756739999994</v>
      </c>
      <c r="V658" s="43">
        <f t="shared" si="151"/>
        <v>8.9455950000000006E-3</v>
      </c>
      <c r="W658" s="230">
        <f t="shared" si="152"/>
        <v>8.9860375541646595E-2</v>
      </c>
      <c r="X658" s="43">
        <f t="shared" si="153"/>
        <v>0.85215214299999997</v>
      </c>
      <c r="Y658" s="43">
        <v>85.040389529999999</v>
      </c>
      <c r="Z658" s="43">
        <f t="shared" si="142"/>
        <v>0</v>
      </c>
      <c r="AA658" s="43">
        <f t="shared" si="143"/>
        <v>28430</v>
      </c>
      <c r="AB658" s="43">
        <f t="shared" si="144"/>
        <v>9374</v>
      </c>
      <c r="AC658" s="43">
        <f t="shared" si="154"/>
        <v>4.4377737888888887E-2</v>
      </c>
      <c r="AD658" s="43">
        <f t="shared" si="155"/>
        <v>0.82399259644444456</v>
      </c>
      <c r="AF658" s="43">
        <v>12.71393469282447</v>
      </c>
      <c r="AG658" s="43">
        <v>4.9759348000000002E-2</v>
      </c>
      <c r="AH658" s="43">
        <v>1.5808517000000001E-2</v>
      </c>
      <c r="AI658" s="43">
        <v>0.83140267300000004</v>
      </c>
      <c r="AJ658" s="43">
        <v>3.198343597</v>
      </c>
      <c r="AK658" s="43">
        <v>8.0024756739999994</v>
      </c>
      <c r="AL658" s="43">
        <v>8.9455950000000006E-3</v>
      </c>
      <c r="AM658" s="230">
        <v>8.9860375541646595E-2</v>
      </c>
      <c r="AN658" s="43">
        <v>0.85215214299999997</v>
      </c>
    </row>
    <row r="659" spans="1:40" x14ac:dyDescent="0.25">
      <c r="A659" s="134">
        <v>649</v>
      </c>
      <c r="B659" s="134" t="s">
        <v>202</v>
      </c>
      <c r="C659" s="134" t="s">
        <v>61</v>
      </c>
      <c r="D659" s="134" t="s">
        <v>197</v>
      </c>
      <c r="E659" s="134">
        <v>1641</v>
      </c>
      <c r="F659" s="134">
        <v>4954</v>
      </c>
      <c r="G659" s="134">
        <v>117</v>
      </c>
      <c r="H659" s="134">
        <v>292</v>
      </c>
      <c r="I659" s="200">
        <v>0.179995810684</v>
      </c>
      <c r="J659" s="134">
        <v>5246</v>
      </c>
      <c r="K659" s="134">
        <v>29145.1227674</v>
      </c>
      <c r="L659" s="42">
        <v>0.81311623946800005</v>
      </c>
      <c r="M659" s="42">
        <v>0.15106052767700001</v>
      </c>
      <c r="N659" s="134">
        <v>0</v>
      </c>
      <c r="O659" s="43" t="s">
        <v>664</v>
      </c>
      <c r="P659" s="43">
        <f t="shared" si="145"/>
        <v>12.794670165708753</v>
      </c>
      <c r="Q659" s="43">
        <f t="shared" si="146"/>
        <v>5.3772621E-2</v>
      </c>
      <c r="R659" s="43">
        <f t="shared" si="147"/>
        <v>1.7794821999999998E-2</v>
      </c>
      <c r="S659" s="43">
        <f t="shared" si="148"/>
        <v>0.81311623899999996</v>
      </c>
      <c r="T659" s="43">
        <f t="shared" si="149"/>
        <v>3.0496846689999999</v>
      </c>
      <c r="U659" s="43">
        <f t="shared" si="150"/>
        <v>8.2717426859999996</v>
      </c>
      <c r="V659" s="43">
        <f t="shared" si="151"/>
        <v>9.9495509999999992E-3</v>
      </c>
      <c r="W659" s="230">
        <f t="shared" si="152"/>
        <v>0.11674881374460079</v>
      </c>
      <c r="X659" s="43">
        <f t="shared" si="153"/>
        <v>0.83050453899999999</v>
      </c>
      <c r="Y659" s="43">
        <v>78.410211250000003</v>
      </c>
      <c r="Z659" s="43">
        <f t="shared" si="142"/>
        <v>0</v>
      </c>
      <c r="AA659" s="43">
        <f t="shared" si="143"/>
        <v>28430</v>
      </c>
      <c r="AB659" s="43">
        <f t="shared" si="144"/>
        <v>9374</v>
      </c>
      <c r="AC659" s="43">
        <f t="shared" si="154"/>
        <v>4.4377737888888887E-2</v>
      </c>
      <c r="AD659" s="43">
        <f t="shared" si="155"/>
        <v>0.82399259644444456</v>
      </c>
      <c r="AF659" s="43">
        <v>12.794670165708753</v>
      </c>
      <c r="AG659" s="43">
        <v>5.3772621E-2</v>
      </c>
      <c r="AH659" s="43">
        <v>1.7794821999999998E-2</v>
      </c>
      <c r="AI659" s="43">
        <v>0.81311623899999996</v>
      </c>
      <c r="AJ659" s="43">
        <v>3.0496846689999999</v>
      </c>
      <c r="AK659" s="43">
        <v>8.2717426859999996</v>
      </c>
      <c r="AL659" s="43">
        <v>9.9495509999999992E-3</v>
      </c>
      <c r="AM659" s="230">
        <v>0.11674881374460079</v>
      </c>
      <c r="AN659" s="43">
        <v>0.83050453899999999</v>
      </c>
    </row>
    <row r="660" spans="1:40" x14ac:dyDescent="0.25">
      <c r="A660" s="134">
        <v>650</v>
      </c>
      <c r="B660" s="134" t="s">
        <v>203</v>
      </c>
      <c r="C660" s="134" t="s">
        <v>61</v>
      </c>
      <c r="D660" s="134" t="s">
        <v>197</v>
      </c>
      <c r="E660" s="134">
        <v>258</v>
      </c>
      <c r="F660" s="134">
        <v>693</v>
      </c>
      <c r="G660" s="134">
        <v>57</v>
      </c>
      <c r="H660" s="134">
        <v>291</v>
      </c>
      <c r="I660" s="200">
        <v>9.0659689101599994E-2</v>
      </c>
      <c r="J660" s="134">
        <v>984</v>
      </c>
      <c r="K660" s="134">
        <v>10853.776466200001</v>
      </c>
      <c r="L660" s="42">
        <v>0.86152935244700002</v>
      </c>
      <c r="M660" s="42">
        <v>0.530054644809</v>
      </c>
      <c r="N660" s="134">
        <v>0</v>
      </c>
      <c r="O660" s="43" t="s">
        <v>666</v>
      </c>
      <c r="P660" s="43">
        <f t="shared" si="145"/>
        <v>12.281203022738179</v>
      </c>
      <c r="Q660" s="43">
        <f t="shared" si="146"/>
        <v>2.4687417999999999E-2</v>
      </c>
      <c r="R660" s="43">
        <f t="shared" si="147"/>
        <v>1.3567209E-2</v>
      </c>
      <c r="S660" s="43">
        <f t="shared" si="148"/>
        <v>0.86152935200000003</v>
      </c>
      <c r="T660" s="43">
        <f t="shared" si="149"/>
        <v>2.8588475959999999</v>
      </c>
      <c r="U660" s="43">
        <f t="shared" si="150"/>
        <v>7.1765611309999997</v>
      </c>
      <c r="V660" s="43">
        <f t="shared" si="151"/>
        <v>7.5013700000000003E-3</v>
      </c>
      <c r="W660" s="230">
        <f t="shared" si="152"/>
        <v>4.6609633781448861E-2</v>
      </c>
      <c r="X660" s="43">
        <f t="shared" si="153"/>
        <v>0.887331957</v>
      </c>
      <c r="Y660" s="43">
        <v>66.919478839999996</v>
      </c>
      <c r="Z660" s="43">
        <f t="shared" si="142"/>
        <v>0</v>
      </c>
      <c r="AA660" s="43">
        <f t="shared" si="143"/>
        <v>11913</v>
      </c>
      <c r="AB660" s="43">
        <f t="shared" si="144"/>
        <v>3709</v>
      </c>
      <c r="AC660" s="43">
        <f t="shared" si="154"/>
        <v>3.3371233571428571E-2</v>
      </c>
      <c r="AD660" s="43">
        <f t="shared" si="155"/>
        <v>0.85814072571428568</v>
      </c>
      <c r="AF660" s="43">
        <v>12.281203022738179</v>
      </c>
      <c r="AG660" s="43">
        <v>2.4687417999999999E-2</v>
      </c>
      <c r="AH660" s="43">
        <v>1.3567209E-2</v>
      </c>
      <c r="AI660" s="43">
        <v>0.86152935200000003</v>
      </c>
      <c r="AJ660" s="43">
        <v>2.8588475959999999</v>
      </c>
      <c r="AK660" s="43">
        <v>7.1765611309999997</v>
      </c>
      <c r="AL660" s="43">
        <v>7.5013700000000003E-3</v>
      </c>
      <c r="AM660" s="230">
        <v>4.6609633781448861E-2</v>
      </c>
      <c r="AN660" s="43">
        <v>0.887331957</v>
      </c>
    </row>
    <row r="661" spans="1:40" x14ac:dyDescent="0.25">
      <c r="A661" s="134">
        <v>651</v>
      </c>
      <c r="B661" s="134" t="s">
        <v>203</v>
      </c>
      <c r="C661" s="134" t="s">
        <v>61</v>
      </c>
      <c r="D661" s="134" t="s">
        <v>197</v>
      </c>
      <c r="E661" s="134">
        <v>225</v>
      </c>
      <c r="F661" s="134">
        <v>603</v>
      </c>
      <c r="G661" s="134">
        <v>51</v>
      </c>
      <c r="H661" s="134">
        <v>279</v>
      </c>
      <c r="I661" s="200">
        <v>5.1669897384100001E-2</v>
      </c>
      <c r="J661" s="134">
        <v>882</v>
      </c>
      <c r="K661" s="134">
        <v>17069.900360799998</v>
      </c>
      <c r="L661" s="42">
        <v>0.85978382636499995</v>
      </c>
      <c r="M661" s="42">
        <v>0.55357142857099995</v>
      </c>
      <c r="N661" s="134">
        <v>0</v>
      </c>
      <c r="O661" s="43" t="s">
        <v>664</v>
      </c>
      <c r="P661" s="43">
        <f t="shared" si="145"/>
        <v>12.399195339326978</v>
      </c>
      <c r="Q661" s="43">
        <f t="shared" si="146"/>
        <v>3.1587131999999997E-2</v>
      </c>
      <c r="R661" s="43">
        <f t="shared" si="147"/>
        <v>1.3473766E-2</v>
      </c>
      <c r="S661" s="43">
        <f t="shared" si="148"/>
        <v>0.85978382600000003</v>
      </c>
      <c r="T661" s="43">
        <f t="shared" si="149"/>
        <v>2.9336618649999999</v>
      </c>
      <c r="U661" s="43">
        <f t="shared" si="150"/>
        <v>7.1672421919999998</v>
      </c>
      <c r="V661" s="43">
        <f t="shared" si="151"/>
        <v>7.4549359999999997E-3</v>
      </c>
      <c r="W661" s="230">
        <f t="shared" si="152"/>
        <v>5.9593325178295291E-2</v>
      </c>
      <c r="X661" s="43">
        <f t="shared" si="153"/>
        <v>0.87349689600000002</v>
      </c>
      <c r="Y661" s="43">
        <v>62.931786469999999</v>
      </c>
      <c r="Z661" s="43">
        <f t="shared" si="142"/>
        <v>0</v>
      </c>
      <c r="AA661" s="43">
        <f t="shared" si="143"/>
        <v>11913</v>
      </c>
      <c r="AB661" s="43">
        <f t="shared" si="144"/>
        <v>3709</v>
      </c>
      <c r="AC661" s="43">
        <f t="shared" si="154"/>
        <v>3.3371233571428571E-2</v>
      </c>
      <c r="AD661" s="43">
        <f t="shared" si="155"/>
        <v>0.85814072571428568</v>
      </c>
      <c r="AF661" s="43">
        <v>12.399195339326978</v>
      </c>
      <c r="AG661" s="43">
        <v>3.1587131999999997E-2</v>
      </c>
      <c r="AH661" s="43">
        <v>1.3473766E-2</v>
      </c>
      <c r="AI661" s="43">
        <v>0.85978382600000003</v>
      </c>
      <c r="AJ661" s="43">
        <v>2.9336618649999999</v>
      </c>
      <c r="AK661" s="43">
        <v>7.1672421919999998</v>
      </c>
      <c r="AL661" s="43">
        <v>7.4549359999999997E-3</v>
      </c>
      <c r="AM661" s="230">
        <v>5.9593325178295291E-2</v>
      </c>
      <c r="AN661" s="43">
        <v>0.87349689600000002</v>
      </c>
    </row>
    <row r="662" spans="1:40" x14ac:dyDescent="0.25">
      <c r="A662" s="134">
        <v>652</v>
      </c>
      <c r="B662" s="134" t="s">
        <v>203</v>
      </c>
      <c r="C662" s="134" t="s">
        <v>61</v>
      </c>
      <c r="D662" s="134" t="s">
        <v>197</v>
      </c>
      <c r="E662" s="134">
        <v>435</v>
      </c>
      <c r="F662" s="134">
        <v>1432</v>
      </c>
      <c r="G662" s="134">
        <v>99</v>
      </c>
      <c r="H662" s="134">
        <v>91</v>
      </c>
      <c r="I662" s="200">
        <v>0.18801727751700001</v>
      </c>
      <c r="J662" s="134">
        <v>1523</v>
      </c>
      <c r="K662" s="134">
        <v>8100.3193967699999</v>
      </c>
      <c r="L662" s="42">
        <v>0.85921589348000005</v>
      </c>
      <c r="M662" s="42">
        <v>0.17300380228100001</v>
      </c>
      <c r="N662" s="134">
        <v>0</v>
      </c>
      <c r="O662" s="43" t="s">
        <v>666</v>
      </c>
      <c r="P662" s="43">
        <f t="shared" si="145"/>
        <v>12.962184919262443</v>
      </c>
      <c r="Q662" s="43">
        <f t="shared" si="146"/>
        <v>3.5713833E-2</v>
      </c>
      <c r="R662" s="43">
        <f t="shared" si="147"/>
        <v>1.6257001E-2</v>
      </c>
      <c r="S662" s="43">
        <f t="shared" si="148"/>
        <v>0.85921589300000001</v>
      </c>
      <c r="T662" s="43">
        <f t="shared" si="149"/>
        <v>3.1370999089999998</v>
      </c>
      <c r="U662" s="43">
        <f t="shared" si="150"/>
        <v>8.2716781380000004</v>
      </c>
      <c r="V662" s="43">
        <f t="shared" si="151"/>
        <v>4.9322029999999996E-3</v>
      </c>
      <c r="W662" s="230">
        <f t="shared" si="152"/>
        <v>7.4779661016949162E-2</v>
      </c>
      <c r="X662" s="43">
        <f t="shared" si="153"/>
        <v>0.87996610200000003</v>
      </c>
      <c r="Y662" s="43">
        <v>98.827047390000004</v>
      </c>
      <c r="Z662" s="43">
        <f t="shared" si="142"/>
        <v>0</v>
      </c>
      <c r="AA662" s="43">
        <f t="shared" si="143"/>
        <v>11913</v>
      </c>
      <c r="AB662" s="43">
        <f t="shared" si="144"/>
        <v>3709</v>
      </c>
      <c r="AC662" s="43">
        <f t="shared" si="154"/>
        <v>3.3371233571428571E-2</v>
      </c>
      <c r="AD662" s="43">
        <f t="shared" si="155"/>
        <v>0.85814072571428568</v>
      </c>
      <c r="AF662" s="43">
        <v>12.962184919262443</v>
      </c>
      <c r="AG662" s="43">
        <v>3.5713833E-2</v>
      </c>
      <c r="AH662" s="43">
        <v>1.6257001E-2</v>
      </c>
      <c r="AI662" s="43">
        <v>0.85921589300000001</v>
      </c>
      <c r="AJ662" s="43">
        <v>3.1370999089999998</v>
      </c>
      <c r="AK662" s="43">
        <v>8.2716781380000004</v>
      </c>
      <c r="AL662" s="43">
        <v>4.9322029999999996E-3</v>
      </c>
      <c r="AM662" s="230">
        <v>7.4779661016949162E-2</v>
      </c>
      <c r="AN662" s="43">
        <v>0.87996610200000003</v>
      </c>
    </row>
    <row r="663" spans="1:40" x14ac:dyDescent="0.25">
      <c r="A663" s="134">
        <v>653</v>
      </c>
      <c r="B663" s="134" t="s">
        <v>203</v>
      </c>
      <c r="C663" s="134" t="s">
        <v>61</v>
      </c>
      <c r="D663" s="134" t="s">
        <v>197</v>
      </c>
      <c r="E663" s="134">
        <v>1025</v>
      </c>
      <c r="F663" s="134">
        <v>3373</v>
      </c>
      <c r="G663" s="134">
        <v>180</v>
      </c>
      <c r="H663" s="134">
        <v>376</v>
      </c>
      <c r="I663" s="200">
        <v>0.28211293620400002</v>
      </c>
      <c r="J663" s="134">
        <v>3749</v>
      </c>
      <c r="K663" s="134">
        <v>13289.0042209</v>
      </c>
      <c r="L663" s="42">
        <v>0.86621868065399998</v>
      </c>
      <c r="M663" s="42">
        <v>0.26837972876499999</v>
      </c>
      <c r="N663" s="134">
        <v>0</v>
      </c>
      <c r="O663" s="43" t="s">
        <v>666</v>
      </c>
      <c r="P663" s="43">
        <f t="shared" si="145"/>
        <v>12.784491554276581</v>
      </c>
      <c r="Q663" s="43">
        <f t="shared" si="146"/>
        <v>3.209157E-2</v>
      </c>
      <c r="R663" s="43">
        <f t="shared" si="147"/>
        <v>1.6184166999999999E-2</v>
      </c>
      <c r="S663" s="43">
        <f t="shared" si="148"/>
        <v>0.86621868099999999</v>
      </c>
      <c r="T663" s="43">
        <f t="shared" si="149"/>
        <v>3.2355275209999999</v>
      </c>
      <c r="U663" s="43">
        <f t="shared" si="150"/>
        <v>8.4587907120000008</v>
      </c>
      <c r="V663" s="43">
        <f t="shared" si="151"/>
        <v>7.4935239999999997E-3</v>
      </c>
      <c r="W663" s="230">
        <f t="shared" si="152"/>
        <v>6.5552536804195358E-2</v>
      </c>
      <c r="X663" s="43">
        <f t="shared" si="153"/>
        <v>0.89211474099999999</v>
      </c>
      <c r="Y663" s="43">
        <v>152.64054139999999</v>
      </c>
      <c r="Z663" s="43">
        <f t="shared" si="142"/>
        <v>0</v>
      </c>
      <c r="AA663" s="43">
        <f t="shared" si="143"/>
        <v>11913</v>
      </c>
      <c r="AB663" s="43">
        <f t="shared" si="144"/>
        <v>3709</v>
      </c>
      <c r="AC663" s="43">
        <f t="shared" si="154"/>
        <v>3.3371233571428571E-2</v>
      </c>
      <c r="AD663" s="43">
        <f t="shared" si="155"/>
        <v>0.85814072571428568</v>
      </c>
      <c r="AF663" s="43">
        <v>12.784491554276581</v>
      </c>
      <c r="AG663" s="43">
        <v>3.209157E-2</v>
      </c>
      <c r="AH663" s="43">
        <v>1.6184166999999999E-2</v>
      </c>
      <c r="AI663" s="43">
        <v>0.86621868099999999</v>
      </c>
      <c r="AJ663" s="43">
        <v>3.2355275209999999</v>
      </c>
      <c r="AK663" s="43">
        <v>8.4587907120000008</v>
      </c>
      <c r="AL663" s="43">
        <v>7.4935239999999997E-3</v>
      </c>
      <c r="AM663" s="230">
        <v>6.5552536804195358E-2</v>
      </c>
      <c r="AN663" s="43">
        <v>0.89211474099999999</v>
      </c>
    </row>
    <row r="664" spans="1:40" x14ac:dyDescent="0.25">
      <c r="A664" s="134">
        <v>654</v>
      </c>
      <c r="B664" s="134" t="s">
        <v>203</v>
      </c>
      <c r="C664" s="134" t="s">
        <v>61</v>
      </c>
      <c r="D664" s="134" t="s">
        <v>197</v>
      </c>
      <c r="E664" s="134">
        <v>1074</v>
      </c>
      <c r="F664" s="134">
        <v>3535</v>
      </c>
      <c r="G664" s="134">
        <v>128</v>
      </c>
      <c r="H664" s="134">
        <v>530</v>
      </c>
      <c r="I664" s="200">
        <v>0.23694175458899999</v>
      </c>
      <c r="J664" s="134">
        <v>4065</v>
      </c>
      <c r="K664" s="134">
        <v>17156.115042099998</v>
      </c>
      <c r="L664" s="42">
        <v>0.85924779494799997</v>
      </c>
      <c r="M664" s="42">
        <v>0.33042394014999998</v>
      </c>
      <c r="N664" s="134">
        <v>0</v>
      </c>
      <c r="O664" s="43" t="s">
        <v>664</v>
      </c>
      <c r="P664" s="43">
        <f t="shared" si="145"/>
        <v>12.807646744554759</v>
      </c>
      <c r="Q664" s="43">
        <f t="shared" si="146"/>
        <v>3.3617864999999997E-2</v>
      </c>
      <c r="R664" s="43">
        <f t="shared" si="147"/>
        <v>1.7122417000000001E-2</v>
      </c>
      <c r="S664" s="43">
        <f t="shared" si="148"/>
        <v>0.85924779500000004</v>
      </c>
      <c r="T664" s="43">
        <f t="shared" si="149"/>
        <v>3.3195206270000002</v>
      </c>
      <c r="U664" s="43">
        <f t="shared" si="150"/>
        <v>8.6249160679999992</v>
      </c>
      <c r="V664" s="43">
        <f t="shared" si="151"/>
        <v>9.5902880000000006E-3</v>
      </c>
      <c r="W664" s="230">
        <f t="shared" si="152"/>
        <v>6.4682025106911303E-2</v>
      </c>
      <c r="X664" s="43">
        <f t="shared" si="153"/>
        <v>0.88266519499999996</v>
      </c>
      <c r="Y664" s="43">
        <v>90.426906049999999</v>
      </c>
      <c r="Z664" s="43">
        <f t="shared" si="142"/>
        <v>0</v>
      </c>
      <c r="AA664" s="43">
        <f t="shared" si="143"/>
        <v>11913</v>
      </c>
      <c r="AB664" s="43">
        <f t="shared" si="144"/>
        <v>3709</v>
      </c>
      <c r="AC664" s="43">
        <f t="shared" si="154"/>
        <v>3.3371233571428571E-2</v>
      </c>
      <c r="AD664" s="43">
        <f t="shared" si="155"/>
        <v>0.85814072571428568</v>
      </c>
      <c r="AF664" s="43">
        <v>12.807646744554759</v>
      </c>
      <c r="AG664" s="43">
        <v>3.3617864999999997E-2</v>
      </c>
      <c r="AH664" s="43">
        <v>1.7122417000000001E-2</v>
      </c>
      <c r="AI664" s="43">
        <v>0.85924779500000004</v>
      </c>
      <c r="AJ664" s="43">
        <v>3.3195206270000002</v>
      </c>
      <c r="AK664" s="43">
        <v>8.6249160679999992</v>
      </c>
      <c r="AL664" s="43">
        <v>9.5902880000000006E-3</v>
      </c>
      <c r="AM664" s="230">
        <v>6.4682025106911303E-2</v>
      </c>
      <c r="AN664" s="43">
        <v>0.88266519499999996</v>
      </c>
    </row>
    <row r="665" spans="1:40" x14ac:dyDescent="0.25">
      <c r="A665" s="134">
        <v>655</v>
      </c>
      <c r="B665" s="134" t="s">
        <v>196</v>
      </c>
      <c r="C665" s="134" t="s">
        <v>61</v>
      </c>
      <c r="D665" s="134" t="s">
        <v>197</v>
      </c>
      <c r="E665" s="134">
        <v>1559</v>
      </c>
      <c r="F665" s="134">
        <v>4378</v>
      </c>
      <c r="G665" s="134">
        <v>250</v>
      </c>
      <c r="H665" s="134">
        <v>845</v>
      </c>
      <c r="I665" s="200">
        <v>0.39594807784899999</v>
      </c>
      <c r="J665" s="134">
        <v>5223</v>
      </c>
      <c r="K665" s="134">
        <v>13191.1235139</v>
      </c>
      <c r="L665" s="42">
        <v>0.87146302233600004</v>
      </c>
      <c r="M665" s="42">
        <v>0.35149750415999997</v>
      </c>
      <c r="N665" s="134">
        <v>0</v>
      </c>
      <c r="O665" s="43" t="s">
        <v>666</v>
      </c>
      <c r="P665" s="43">
        <f t="shared" si="145"/>
        <v>13.463253323958977</v>
      </c>
      <c r="Q665" s="43">
        <f t="shared" si="146"/>
        <v>2.8758268999999999E-2</v>
      </c>
      <c r="R665" s="43">
        <f t="shared" si="147"/>
        <v>1.3317000000000001E-2</v>
      </c>
      <c r="S665" s="43">
        <f t="shared" si="148"/>
        <v>0.87146302200000003</v>
      </c>
      <c r="T665" s="43">
        <f t="shared" si="149"/>
        <v>3.31429602</v>
      </c>
      <c r="U665" s="43">
        <f t="shared" si="150"/>
        <v>9.1359313610000008</v>
      </c>
      <c r="V665" s="43">
        <f t="shared" si="151"/>
        <v>5.9655899999999998E-3</v>
      </c>
      <c r="W665" s="230">
        <f t="shared" si="152"/>
        <v>5.602779162020987E-2</v>
      </c>
      <c r="X665" s="43">
        <f t="shared" si="153"/>
        <v>0.90090810300000002</v>
      </c>
      <c r="Y665" s="43">
        <v>90.162937749999998</v>
      </c>
      <c r="Z665" s="43">
        <f t="shared" si="142"/>
        <v>0</v>
      </c>
      <c r="AA665" s="43">
        <f t="shared" si="143"/>
        <v>167507</v>
      </c>
      <c r="AB665" s="43">
        <f t="shared" si="144"/>
        <v>52467</v>
      </c>
      <c r="AC665" s="43">
        <f t="shared" si="154"/>
        <v>2.7401368684900142E-2</v>
      </c>
      <c r="AD665" s="43">
        <f t="shared" si="155"/>
        <v>0.88062297462500005</v>
      </c>
      <c r="AF665" s="43">
        <v>13.463253323958977</v>
      </c>
      <c r="AG665" s="43">
        <v>2.8758268999999999E-2</v>
      </c>
      <c r="AH665" s="43">
        <v>1.3317000000000001E-2</v>
      </c>
      <c r="AI665" s="43">
        <v>0.87146302200000003</v>
      </c>
      <c r="AJ665" s="43">
        <v>3.31429602</v>
      </c>
      <c r="AK665" s="43">
        <v>9.1359313610000008</v>
      </c>
      <c r="AL665" s="43">
        <v>5.9655899999999998E-3</v>
      </c>
      <c r="AM665" s="230">
        <v>5.602779162020987E-2</v>
      </c>
      <c r="AN665" s="43">
        <v>0.90090810300000002</v>
      </c>
    </row>
    <row r="666" spans="1:40" x14ac:dyDescent="0.25">
      <c r="A666" s="134">
        <v>656</v>
      </c>
      <c r="B666" s="134" t="s">
        <v>196</v>
      </c>
      <c r="C666" s="134" t="s">
        <v>61</v>
      </c>
      <c r="D666" s="134" t="s">
        <v>197</v>
      </c>
      <c r="E666" s="134">
        <v>461</v>
      </c>
      <c r="F666" s="134">
        <v>1033</v>
      </c>
      <c r="G666" s="134">
        <v>65</v>
      </c>
      <c r="H666" s="134">
        <v>245</v>
      </c>
      <c r="I666" s="200">
        <v>0.109506539234</v>
      </c>
      <c r="J666" s="134">
        <v>1278</v>
      </c>
      <c r="K666" s="134">
        <v>11670.5359236</v>
      </c>
      <c r="L666" s="42">
        <v>0.86039909307600004</v>
      </c>
      <c r="M666" s="42">
        <v>0.347025495751</v>
      </c>
      <c r="N666" s="134">
        <v>0</v>
      </c>
      <c r="O666" s="43" t="s">
        <v>664</v>
      </c>
      <c r="P666" s="43">
        <f t="shared" si="145"/>
        <v>12.507662669508001</v>
      </c>
      <c r="Q666" s="43">
        <f t="shared" si="146"/>
        <v>3.2535691999999998E-2</v>
      </c>
      <c r="R666" s="43">
        <f t="shared" si="147"/>
        <v>1.2441031999999999E-2</v>
      </c>
      <c r="S666" s="43">
        <f t="shared" si="148"/>
        <v>0.86039909299999995</v>
      </c>
      <c r="T666" s="43">
        <f t="shared" si="149"/>
        <v>3.1524867059999999</v>
      </c>
      <c r="U666" s="43">
        <f t="shared" si="150"/>
        <v>7.8392350679999998</v>
      </c>
      <c r="V666" s="43">
        <f t="shared" si="151"/>
        <v>6.1616220000000003E-3</v>
      </c>
      <c r="W666" s="230">
        <f t="shared" si="152"/>
        <v>6.1360667840308927E-2</v>
      </c>
      <c r="X666" s="43">
        <f t="shared" si="153"/>
        <v>0.88003293800000004</v>
      </c>
      <c r="Y666" s="43">
        <v>113.4116423</v>
      </c>
      <c r="Z666" s="43">
        <f t="shared" si="142"/>
        <v>0</v>
      </c>
      <c r="AA666" s="43">
        <f t="shared" si="143"/>
        <v>167507</v>
      </c>
      <c r="AB666" s="43">
        <f t="shared" si="144"/>
        <v>52467</v>
      </c>
      <c r="AC666" s="43">
        <f t="shared" si="154"/>
        <v>2.7401368684900142E-2</v>
      </c>
      <c r="AD666" s="43">
        <f t="shared" si="155"/>
        <v>0.88062297462500005</v>
      </c>
      <c r="AF666" s="43">
        <v>12.507662669508001</v>
      </c>
      <c r="AG666" s="43">
        <v>3.2535691999999998E-2</v>
      </c>
      <c r="AH666" s="43">
        <v>1.2441031999999999E-2</v>
      </c>
      <c r="AI666" s="43">
        <v>0.86039909299999995</v>
      </c>
      <c r="AJ666" s="43">
        <v>3.1524867059999999</v>
      </c>
      <c r="AK666" s="43">
        <v>7.8392350679999998</v>
      </c>
      <c r="AL666" s="43">
        <v>6.1616220000000003E-3</v>
      </c>
      <c r="AM666" s="230">
        <v>6.1360667840308927E-2</v>
      </c>
      <c r="AN666" s="43">
        <v>0.88003293800000004</v>
      </c>
    </row>
    <row r="667" spans="1:40" x14ac:dyDescent="0.25">
      <c r="A667" s="134">
        <v>657</v>
      </c>
      <c r="B667" s="134" t="s">
        <v>196</v>
      </c>
      <c r="C667" s="134" t="s">
        <v>61</v>
      </c>
      <c r="D667" s="134" t="s">
        <v>197</v>
      </c>
      <c r="E667" s="134">
        <v>51</v>
      </c>
      <c r="F667" s="134">
        <v>119</v>
      </c>
      <c r="G667" s="134">
        <v>27</v>
      </c>
      <c r="H667" s="134">
        <v>56</v>
      </c>
      <c r="I667" s="200">
        <v>1.09327346176E-2</v>
      </c>
      <c r="J667" s="134">
        <v>175</v>
      </c>
      <c r="K667" s="134">
        <v>16006.9741122</v>
      </c>
      <c r="L667" s="42">
        <v>0.84602177965299996</v>
      </c>
      <c r="M667" s="42">
        <v>0.52336448598100005</v>
      </c>
      <c r="N667" s="134">
        <v>1</v>
      </c>
      <c r="O667" s="43" t="s">
        <v>664</v>
      </c>
      <c r="P667" s="43">
        <f t="shared" si="145"/>
        <v>11.469924107198194</v>
      </c>
      <c r="Q667" s="43">
        <f t="shared" si="146"/>
        <v>2.6194446999999999E-2</v>
      </c>
      <c r="R667" s="43">
        <f t="shared" si="147"/>
        <v>1.2606691E-2</v>
      </c>
      <c r="S667" s="43">
        <f t="shared" si="148"/>
        <v>0.84602177999999995</v>
      </c>
      <c r="T667" s="43">
        <f t="shared" si="149"/>
        <v>2.708984375</v>
      </c>
      <c r="U667" s="43">
        <f t="shared" si="150"/>
        <v>6.1239248670000004</v>
      </c>
      <c r="V667" s="43">
        <f t="shared" si="151"/>
        <v>3.5122930000000001E-3</v>
      </c>
      <c r="W667" s="230">
        <f t="shared" si="152"/>
        <v>3.7882589061716009E-2</v>
      </c>
      <c r="X667" s="43">
        <f t="shared" si="153"/>
        <v>0.82563973899999998</v>
      </c>
      <c r="Y667" s="43">
        <v>129.8483871</v>
      </c>
      <c r="Z667" s="43">
        <f t="shared" si="142"/>
        <v>0</v>
      </c>
      <c r="AA667" s="43">
        <f t="shared" si="143"/>
        <v>167507</v>
      </c>
      <c r="AB667" s="43">
        <f t="shared" si="144"/>
        <v>52467</v>
      </c>
      <c r="AC667" s="43">
        <f t="shared" si="154"/>
        <v>2.7401368684900142E-2</v>
      </c>
      <c r="AD667" s="43">
        <f t="shared" si="155"/>
        <v>0.88062297462500005</v>
      </c>
      <c r="AF667" s="43">
        <v>11.469924107198194</v>
      </c>
      <c r="AG667" s="43">
        <v>2.6194446999999999E-2</v>
      </c>
      <c r="AH667" s="43">
        <v>1.2606691E-2</v>
      </c>
      <c r="AI667" s="43">
        <v>0.84602177999999995</v>
      </c>
      <c r="AJ667" s="43">
        <v>2.708984375</v>
      </c>
      <c r="AK667" s="43">
        <v>6.1239248670000004</v>
      </c>
      <c r="AL667" s="43">
        <v>3.5122930000000001E-3</v>
      </c>
      <c r="AM667" s="230">
        <v>3.7882589061716009E-2</v>
      </c>
      <c r="AN667" s="43">
        <v>0.82563973899999998</v>
      </c>
    </row>
    <row r="668" spans="1:40" x14ac:dyDescent="0.25">
      <c r="A668" s="134">
        <v>658</v>
      </c>
      <c r="B668" s="134" t="s">
        <v>196</v>
      </c>
      <c r="C668" s="134" t="s">
        <v>61</v>
      </c>
      <c r="D668" s="134" t="s">
        <v>197</v>
      </c>
      <c r="E668" s="134">
        <v>89</v>
      </c>
      <c r="F668" s="134">
        <v>210</v>
      </c>
      <c r="G668" s="134">
        <v>9</v>
      </c>
      <c r="H668" s="134">
        <v>134</v>
      </c>
      <c r="I668" s="200">
        <v>1.5734814667E-2</v>
      </c>
      <c r="J668" s="134">
        <v>344</v>
      </c>
      <c r="K668" s="134">
        <v>21862.348383600001</v>
      </c>
      <c r="L668" s="42">
        <v>0.83052532059799999</v>
      </c>
      <c r="M668" s="42">
        <v>0.60089686098700001</v>
      </c>
      <c r="N668" s="134">
        <v>1</v>
      </c>
      <c r="O668" s="43" t="s">
        <v>664</v>
      </c>
      <c r="P668" s="43">
        <f t="shared" si="145"/>
        <v>11.960801294540715</v>
      </c>
      <c r="Q668" s="43">
        <f t="shared" si="146"/>
        <v>3.7902111000000002E-2</v>
      </c>
      <c r="R668" s="43">
        <f t="shared" si="147"/>
        <v>1.3163317000000001E-2</v>
      </c>
      <c r="S668" s="43">
        <f t="shared" si="148"/>
        <v>0.83052532099999998</v>
      </c>
      <c r="T668" s="43">
        <f t="shared" si="149"/>
        <v>2.8703703699999998</v>
      </c>
      <c r="U668" s="43">
        <f t="shared" si="150"/>
        <v>6.3597495860000004</v>
      </c>
      <c r="V668" s="43">
        <f t="shared" si="151"/>
        <v>8.2554329999999995E-3</v>
      </c>
      <c r="W668" s="230">
        <f t="shared" si="152"/>
        <v>7.4116790093480642E-2</v>
      </c>
      <c r="X668" s="43">
        <f t="shared" si="153"/>
        <v>0.812492412</v>
      </c>
      <c r="Y668" s="43">
        <v>133.0910346</v>
      </c>
      <c r="Z668" s="43">
        <f t="shared" si="142"/>
        <v>0</v>
      </c>
      <c r="AA668" s="43">
        <f t="shared" si="143"/>
        <v>167507</v>
      </c>
      <c r="AB668" s="43">
        <f t="shared" si="144"/>
        <v>52467</v>
      </c>
      <c r="AC668" s="43">
        <f t="shared" si="154"/>
        <v>2.7401368684900142E-2</v>
      </c>
      <c r="AD668" s="43">
        <f t="shared" si="155"/>
        <v>0.88062297462500005</v>
      </c>
      <c r="AF668" s="43">
        <v>11.960801294540715</v>
      </c>
      <c r="AG668" s="43">
        <v>3.7902111000000002E-2</v>
      </c>
      <c r="AH668" s="43">
        <v>1.3163317000000001E-2</v>
      </c>
      <c r="AI668" s="43">
        <v>0.83052532099999998</v>
      </c>
      <c r="AJ668" s="43">
        <v>2.8703703699999998</v>
      </c>
      <c r="AK668" s="43">
        <v>6.3597495860000004</v>
      </c>
      <c r="AL668" s="43">
        <v>8.2554329999999995E-3</v>
      </c>
      <c r="AM668" s="230">
        <v>7.4116790093480642E-2</v>
      </c>
      <c r="AN668" s="43">
        <v>0.812492412</v>
      </c>
    </row>
    <row r="669" spans="1:40" x14ac:dyDescent="0.25">
      <c r="A669" s="134">
        <v>659</v>
      </c>
      <c r="B669" s="134" t="s">
        <v>196</v>
      </c>
      <c r="C669" s="134" t="s">
        <v>61</v>
      </c>
      <c r="D669" s="134" t="s">
        <v>197</v>
      </c>
      <c r="E669" s="134">
        <v>85</v>
      </c>
      <c r="F669" s="134">
        <v>198</v>
      </c>
      <c r="G669" s="134">
        <v>14</v>
      </c>
      <c r="H669" s="134">
        <v>246</v>
      </c>
      <c r="I669" s="200">
        <v>2.4819807235100001E-2</v>
      </c>
      <c r="J669" s="134">
        <v>444</v>
      </c>
      <c r="K669" s="134">
        <v>17888.938290099999</v>
      </c>
      <c r="L669" s="42">
        <v>0.83270570347600004</v>
      </c>
      <c r="M669" s="42">
        <v>0.74320241691800004</v>
      </c>
      <c r="N669" s="134">
        <v>1</v>
      </c>
      <c r="O669" s="43" t="s">
        <v>664</v>
      </c>
      <c r="P669" s="43">
        <f t="shared" si="145"/>
        <v>12.159468557665441</v>
      </c>
      <c r="Q669" s="43">
        <f t="shared" si="146"/>
        <v>4.1883243000000001E-2</v>
      </c>
      <c r="R669" s="43">
        <f t="shared" si="147"/>
        <v>1.2092924999999999E-2</v>
      </c>
      <c r="S669" s="43">
        <f t="shared" si="148"/>
        <v>0.83270570300000002</v>
      </c>
      <c r="T669" s="43">
        <f t="shared" si="149"/>
        <v>2.7627494459999999</v>
      </c>
      <c r="U669" s="43">
        <f t="shared" si="150"/>
        <v>6.67085186</v>
      </c>
      <c r="V669" s="43">
        <f t="shared" si="151"/>
        <v>8.2921450000000008E-3</v>
      </c>
      <c r="W669" s="230">
        <f t="shared" si="152"/>
        <v>7.9040888852579552E-2</v>
      </c>
      <c r="X669" s="43">
        <f t="shared" si="153"/>
        <v>0.81532617100000004</v>
      </c>
      <c r="Y669" s="43">
        <v>131.60484869999999</v>
      </c>
      <c r="Z669" s="43">
        <f t="shared" si="142"/>
        <v>0</v>
      </c>
      <c r="AA669" s="43">
        <f t="shared" si="143"/>
        <v>167507</v>
      </c>
      <c r="AB669" s="43">
        <f t="shared" si="144"/>
        <v>52467</v>
      </c>
      <c r="AC669" s="43">
        <f t="shared" si="154"/>
        <v>2.7401368684900142E-2</v>
      </c>
      <c r="AD669" s="43">
        <f t="shared" si="155"/>
        <v>0.88062297462500005</v>
      </c>
      <c r="AF669" s="43">
        <v>12.159468557665441</v>
      </c>
      <c r="AG669" s="43">
        <v>4.1883243000000001E-2</v>
      </c>
      <c r="AH669" s="43">
        <v>1.2092924999999999E-2</v>
      </c>
      <c r="AI669" s="43">
        <v>0.83270570300000002</v>
      </c>
      <c r="AJ669" s="43">
        <v>2.7627494459999999</v>
      </c>
      <c r="AK669" s="43">
        <v>6.67085186</v>
      </c>
      <c r="AL669" s="43">
        <v>8.2921450000000008E-3</v>
      </c>
      <c r="AM669" s="230">
        <v>7.9040888852579552E-2</v>
      </c>
      <c r="AN669" s="43">
        <v>0.81532617100000004</v>
      </c>
    </row>
    <row r="670" spans="1:40" x14ac:dyDescent="0.25">
      <c r="A670" s="134">
        <v>660</v>
      </c>
      <c r="B670" s="134" t="s">
        <v>196</v>
      </c>
      <c r="C670" s="134" t="s">
        <v>61</v>
      </c>
      <c r="D670" s="134" t="s">
        <v>197</v>
      </c>
      <c r="E670" s="134">
        <v>134</v>
      </c>
      <c r="F670" s="134">
        <v>315</v>
      </c>
      <c r="G670" s="134">
        <v>21</v>
      </c>
      <c r="H670" s="134">
        <v>369</v>
      </c>
      <c r="I670" s="200">
        <v>3.7420130654499999E-2</v>
      </c>
      <c r="J670" s="134">
        <v>684</v>
      </c>
      <c r="K670" s="134">
        <v>18278.931367599998</v>
      </c>
      <c r="L670" s="42">
        <v>0.83514226041700002</v>
      </c>
      <c r="M670" s="42">
        <v>0.73359840954300004</v>
      </c>
      <c r="N670" s="134">
        <v>1</v>
      </c>
      <c r="O670" s="43" t="s">
        <v>664</v>
      </c>
      <c r="P670" s="43">
        <f t="shared" si="145"/>
        <v>12.330710236665693</v>
      </c>
      <c r="Q670" s="43">
        <f t="shared" si="146"/>
        <v>4.2113192000000001E-2</v>
      </c>
      <c r="R670" s="43">
        <f t="shared" si="147"/>
        <v>1.2000548E-2</v>
      </c>
      <c r="S670" s="43">
        <f t="shared" si="148"/>
        <v>0.83514226000000003</v>
      </c>
      <c r="T670" s="43">
        <f t="shared" si="149"/>
        <v>2.8437202660000001</v>
      </c>
      <c r="U670" s="43">
        <f t="shared" si="150"/>
        <v>6.7684247490000002</v>
      </c>
      <c r="V670" s="43">
        <f t="shared" si="151"/>
        <v>8.2144739999999994E-3</v>
      </c>
      <c r="W670" s="230">
        <f t="shared" si="152"/>
        <v>8.0903328050713152E-2</v>
      </c>
      <c r="X670" s="43">
        <f t="shared" si="153"/>
        <v>0.82849973600000004</v>
      </c>
      <c r="Y670" s="43">
        <v>133.06412829999999</v>
      </c>
      <c r="Z670" s="43">
        <f t="shared" si="142"/>
        <v>0</v>
      </c>
      <c r="AA670" s="43">
        <f t="shared" si="143"/>
        <v>167507</v>
      </c>
      <c r="AB670" s="43">
        <f t="shared" si="144"/>
        <v>52467</v>
      </c>
      <c r="AC670" s="43">
        <f t="shared" si="154"/>
        <v>2.7401368684900142E-2</v>
      </c>
      <c r="AD670" s="43">
        <f t="shared" si="155"/>
        <v>0.88062297462500005</v>
      </c>
      <c r="AF670" s="43">
        <v>12.330710236665693</v>
      </c>
      <c r="AG670" s="43">
        <v>4.2113192000000001E-2</v>
      </c>
      <c r="AH670" s="43">
        <v>1.2000548E-2</v>
      </c>
      <c r="AI670" s="43">
        <v>0.83514226000000003</v>
      </c>
      <c r="AJ670" s="43">
        <v>2.8437202660000001</v>
      </c>
      <c r="AK670" s="43">
        <v>6.7684247490000002</v>
      </c>
      <c r="AL670" s="43">
        <v>8.2144739999999994E-3</v>
      </c>
      <c r="AM670" s="230">
        <v>8.0903328050713152E-2</v>
      </c>
      <c r="AN670" s="43">
        <v>0.82849973600000004</v>
      </c>
    </row>
    <row r="671" spans="1:40" x14ac:dyDescent="0.25">
      <c r="A671" s="134">
        <v>661</v>
      </c>
      <c r="B671" s="134" t="s">
        <v>196</v>
      </c>
      <c r="C671" s="134" t="s">
        <v>61</v>
      </c>
      <c r="D671" s="134" t="s">
        <v>197</v>
      </c>
      <c r="E671" s="134">
        <v>55</v>
      </c>
      <c r="F671" s="134">
        <v>129</v>
      </c>
      <c r="G671" s="134">
        <v>16</v>
      </c>
      <c r="H671" s="134">
        <v>193</v>
      </c>
      <c r="I671" s="200">
        <v>2.81158146935E-2</v>
      </c>
      <c r="J671" s="134">
        <v>322</v>
      </c>
      <c r="K671" s="134">
        <v>11452.6291879</v>
      </c>
      <c r="L671" s="42">
        <v>0.84598627993700004</v>
      </c>
      <c r="M671" s="42">
        <v>0.77822580645200001</v>
      </c>
      <c r="N671" s="134">
        <v>1</v>
      </c>
      <c r="O671" s="43" t="s">
        <v>664</v>
      </c>
      <c r="P671" s="43">
        <f t="shared" si="145"/>
        <v>11.766245395540974</v>
      </c>
      <c r="Q671" s="43">
        <f t="shared" si="146"/>
        <v>3.0485016E-2</v>
      </c>
      <c r="R671" s="43">
        <f t="shared" si="147"/>
        <v>1.1469491E-2</v>
      </c>
      <c r="S671" s="43">
        <f t="shared" si="148"/>
        <v>0.84598627999999998</v>
      </c>
      <c r="T671" s="43">
        <f t="shared" si="149"/>
        <v>2.78717814</v>
      </c>
      <c r="U671" s="43">
        <f t="shared" si="150"/>
        <v>6.5834914739999997</v>
      </c>
      <c r="V671" s="43">
        <f t="shared" si="151"/>
        <v>6.6384019999999998E-3</v>
      </c>
      <c r="W671" s="230">
        <f t="shared" si="152"/>
        <v>5.0317973892669864E-2</v>
      </c>
      <c r="X671" s="43">
        <f t="shared" si="153"/>
        <v>0.84659154299999995</v>
      </c>
      <c r="Y671" s="43">
        <v>132.28434419999999</v>
      </c>
      <c r="Z671" s="43">
        <f t="shared" si="142"/>
        <v>0</v>
      </c>
      <c r="AA671" s="43">
        <f t="shared" si="143"/>
        <v>167507</v>
      </c>
      <c r="AB671" s="43">
        <f t="shared" si="144"/>
        <v>52467</v>
      </c>
      <c r="AC671" s="43">
        <f t="shared" si="154"/>
        <v>2.7401368684900142E-2</v>
      </c>
      <c r="AD671" s="43">
        <f t="shared" si="155"/>
        <v>0.88062297462500005</v>
      </c>
      <c r="AF671" s="43">
        <v>11.766245395540974</v>
      </c>
      <c r="AG671" s="43">
        <v>3.0485016E-2</v>
      </c>
      <c r="AH671" s="43">
        <v>1.1469491E-2</v>
      </c>
      <c r="AI671" s="43">
        <v>0.84598627999999998</v>
      </c>
      <c r="AJ671" s="43">
        <v>2.78717814</v>
      </c>
      <c r="AK671" s="43">
        <v>6.5834914739999997</v>
      </c>
      <c r="AL671" s="43">
        <v>6.6384019999999998E-3</v>
      </c>
      <c r="AM671" s="230">
        <v>5.0317973892669864E-2</v>
      </c>
      <c r="AN671" s="43">
        <v>0.84659154299999995</v>
      </c>
    </row>
    <row r="672" spans="1:40" x14ac:dyDescent="0.25">
      <c r="A672" s="134">
        <v>662</v>
      </c>
      <c r="B672" s="134" t="s">
        <v>196</v>
      </c>
      <c r="C672" s="134" t="s">
        <v>61</v>
      </c>
      <c r="D672" s="134" t="s">
        <v>197</v>
      </c>
      <c r="E672" s="134">
        <v>31</v>
      </c>
      <c r="F672" s="134">
        <v>73</v>
      </c>
      <c r="G672" s="134">
        <v>12</v>
      </c>
      <c r="H672" s="134">
        <v>139</v>
      </c>
      <c r="I672" s="200">
        <v>2.1503182644900001E-2</v>
      </c>
      <c r="J672" s="134">
        <v>212</v>
      </c>
      <c r="K672" s="134">
        <v>9859.0056877099996</v>
      </c>
      <c r="L672" s="42">
        <v>0.82581727962600004</v>
      </c>
      <c r="M672" s="42">
        <v>0.81764705882400002</v>
      </c>
      <c r="N672" s="134">
        <v>1</v>
      </c>
      <c r="O672" s="43" t="s">
        <v>664</v>
      </c>
      <c r="P672" s="43">
        <f t="shared" si="145"/>
        <v>11.58242907355468</v>
      </c>
      <c r="Q672" s="43">
        <f t="shared" si="146"/>
        <v>4.1009924000000003E-2</v>
      </c>
      <c r="R672" s="43">
        <f t="shared" si="147"/>
        <v>1.0921385E-2</v>
      </c>
      <c r="S672" s="43">
        <f t="shared" si="148"/>
        <v>0.82581727999999999</v>
      </c>
      <c r="T672" s="43">
        <f t="shared" si="149"/>
        <v>2.802441731</v>
      </c>
      <c r="U672" s="43">
        <f t="shared" si="150"/>
        <v>6.7532685219999999</v>
      </c>
      <c r="V672" s="43">
        <f t="shared" si="151"/>
        <v>5.4147179999999998E-3</v>
      </c>
      <c r="W672" s="230">
        <f t="shared" si="152"/>
        <v>6.0874559028632376E-2</v>
      </c>
      <c r="X672" s="43">
        <f t="shared" si="153"/>
        <v>0.81130527500000005</v>
      </c>
      <c r="Y672" s="43">
        <v>127.8914465</v>
      </c>
      <c r="Z672" s="43">
        <f t="shared" si="142"/>
        <v>0</v>
      </c>
      <c r="AA672" s="43">
        <f t="shared" si="143"/>
        <v>167507</v>
      </c>
      <c r="AB672" s="43">
        <f t="shared" si="144"/>
        <v>52467</v>
      </c>
      <c r="AC672" s="43">
        <f t="shared" si="154"/>
        <v>2.7401368684900142E-2</v>
      </c>
      <c r="AD672" s="43">
        <f t="shared" si="155"/>
        <v>0.88062297462500005</v>
      </c>
      <c r="AF672" s="43">
        <v>11.58242907355468</v>
      </c>
      <c r="AG672" s="43">
        <v>4.1009924000000003E-2</v>
      </c>
      <c r="AH672" s="43">
        <v>1.0921385E-2</v>
      </c>
      <c r="AI672" s="43">
        <v>0.82581727999999999</v>
      </c>
      <c r="AJ672" s="43">
        <v>2.802441731</v>
      </c>
      <c r="AK672" s="43">
        <v>6.7532685219999999</v>
      </c>
      <c r="AL672" s="43">
        <v>5.4147179999999998E-3</v>
      </c>
      <c r="AM672" s="230">
        <v>6.0874559028632376E-2</v>
      </c>
      <c r="AN672" s="43">
        <v>0.81130527500000005</v>
      </c>
    </row>
    <row r="673" spans="1:40" x14ac:dyDescent="0.25">
      <c r="A673" s="134">
        <v>663</v>
      </c>
      <c r="B673" s="134" t="s">
        <v>196</v>
      </c>
      <c r="C673" s="134" t="s">
        <v>61</v>
      </c>
      <c r="D673" s="134" t="s">
        <v>197</v>
      </c>
      <c r="E673" s="134">
        <v>75</v>
      </c>
      <c r="F673" s="134">
        <v>175</v>
      </c>
      <c r="G673" s="134">
        <v>13</v>
      </c>
      <c r="H673" s="134">
        <v>134</v>
      </c>
      <c r="I673" s="200">
        <v>2.3849199976300001E-2</v>
      </c>
      <c r="J673" s="134">
        <v>309</v>
      </c>
      <c r="K673" s="134">
        <v>12956.4094522</v>
      </c>
      <c r="L673" s="42">
        <v>0.84034534374000003</v>
      </c>
      <c r="M673" s="42">
        <v>0.64114832535900002</v>
      </c>
      <c r="N673" s="134">
        <v>1</v>
      </c>
      <c r="O673" s="43" t="s">
        <v>664</v>
      </c>
      <c r="P673" s="43">
        <f t="shared" si="145"/>
        <v>11.86329460722799</v>
      </c>
      <c r="Q673" s="43">
        <f t="shared" si="146"/>
        <v>3.4280445E-2</v>
      </c>
      <c r="R673" s="43">
        <f t="shared" si="147"/>
        <v>1.2576179E-2</v>
      </c>
      <c r="S673" s="43">
        <f t="shared" si="148"/>
        <v>0.84034534400000005</v>
      </c>
      <c r="T673" s="43">
        <f t="shared" si="149"/>
        <v>2.810207337</v>
      </c>
      <c r="U673" s="43">
        <f t="shared" si="150"/>
        <v>6.5012416249999996</v>
      </c>
      <c r="V673" s="43">
        <f t="shared" si="151"/>
        <v>6.3079049999999999E-3</v>
      </c>
      <c r="W673" s="230">
        <f t="shared" si="152"/>
        <v>5.6508311978447988E-2</v>
      </c>
      <c r="X673" s="43">
        <f t="shared" si="153"/>
        <v>0.83343189399999995</v>
      </c>
      <c r="Y673" s="43">
        <v>134.04340880000001</v>
      </c>
      <c r="Z673" s="43">
        <f t="shared" si="142"/>
        <v>0</v>
      </c>
      <c r="AA673" s="43">
        <f t="shared" si="143"/>
        <v>167507</v>
      </c>
      <c r="AB673" s="43">
        <f t="shared" si="144"/>
        <v>52467</v>
      </c>
      <c r="AC673" s="43">
        <f t="shared" si="154"/>
        <v>2.7401368684900142E-2</v>
      </c>
      <c r="AD673" s="43">
        <f t="shared" si="155"/>
        <v>0.88062297462500005</v>
      </c>
      <c r="AF673" s="43">
        <v>11.86329460722799</v>
      </c>
      <c r="AG673" s="43">
        <v>3.4280445E-2</v>
      </c>
      <c r="AH673" s="43">
        <v>1.2576179E-2</v>
      </c>
      <c r="AI673" s="43">
        <v>0.84034534400000005</v>
      </c>
      <c r="AJ673" s="43">
        <v>2.810207337</v>
      </c>
      <c r="AK673" s="43">
        <v>6.5012416249999996</v>
      </c>
      <c r="AL673" s="43">
        <v>6.3079049999999999E-3</v>
      </c>
      <c r="AM673" s="230">
        <v>5.6508311978447988E-2</v>
      </c>
      <c r="AN673" s="43">
        <v>0.83343189399999995</v>
      </c>
    </row>
    <row r="674" spans="1:40" x14ac:dyDescent="0.25">
      <c r="A674" s="134">
        <v>664</v>
      </c>
      <c r="B674" s="134" t="s">
        <v>196</v>
      </c>
      <c r="C674" s="134" t="s">
        <v>61</v>
      </c>
      <c r="D674" s="134" t="s">
        <v>197</v>
      </c>
      <c r="E674" s="134">
        <v>47</v>
      </c>
      <c r="F674" s="134">
        <v>110</v>
      </c>
      <c r="G674" s="134">
        <v>13</v>
      </c>
      <c r="H674" s="134">
        <v>237</v>
      </c>
      <c r="I674" s="200">
        <v>2.34198658143E-2</v>
      </c>
      <c r="J674" s="134">
        <v>347</v>
      </c>
      <c r="K674" s="134">
        <v>14816.4811341</v>
      </c>
      <c r="L674" s="42">
        <v>0.84486313699399995</v>
      </c>
      <c r="M674" s="42">
        <v>0.83450704225399996</v>
      </c>
      <c r="N674" s="134">
        <v>1</v>
      </c>
      <c r="O674" s="43" t="s">
        <v>664</v>
      </c>
      <c r="P674" s="43">
        <f t="shared" si="145"/>
        <v>12.023004648847023</v>
      </c>
      <c r="Q674" s="43">
        <f t="shared" si="146"/>
        <v>3.6340428000000001E-2</v>
      </c>
      <c r="R674" s="43">
        <f t="shared" si="147"/>
        <v>1.11716E-2</v>
      </c>
      <c r="S674" s="43">
        <f t="shared" si="148"/>
        <v>0.84486313700000004</v>
      </c>
      <c r="T674" s="43">
        <f t="shared" si="149"/>
        <v>2.7927486529999999</v>
      </c>
      <c r="U674" s="43">
        <f t="shared" si="150"/>
        <v>6.6665828579999999</v>
      </c>
      <c r="V674" s="43">
        <f t="shared" si="151"/>
        <v>6.9775439999999996E-3</v>
      </c>
      <c r="W674" s="230">
        <f t="shared" si="152"/>
        <v>6.2306520564100049E-2</v>
      </c>
      <c r="X674" s="43">
        <f t="shared" si="153"/>
        <v>0.83524151099999999</v>
      </c>
      <c r="Y674" s="43">
        <v>131.73194480000001</v>
      </c>
      <c r="Z674" s="43">
        <f t="shared" si="142"/>
        <v>0</v>
      </c>
      <c r="AA674" s="43">
        <f t="shared" si="143"/>
        <v>167507</v>
      </c>
      <c r="AB674" s="43">
        <f t="shared" si="144"/>
        <v>52467</v>
      </c>
      <c r="AC674" s="43">
        <f t="shared" si="154"/>
        <v>2.7401368684900142E-2</v>
      </c>
      <c r="AD674" s="43">
        <f t="shared" si="155"/>
        <v>0.88062297462500005</v>
      </c>
      <c r="AF674" s="43">
        <v>12.023004648847023</v>
      </c>
      <c r="AG674" s="43">
        <v>3.6340428000000001E-2</v>
      </c>
      <c r="AH674" s="43">
        <v>1.11716E-2</v>
      </c>
      <c r="AI674" s="43">
        <v>0.84486313700000004</v>
      </c>
      <c r="AJ674" s="43">
        <v>2.7927486529999999</v>
      </c>
      <c r="AK674" s="43">
        <v>6.6665828579999999</v>
      </c>
      <c r="AL674" s="43">
        <v>6.9775439999999996E-3</v>
      </c>
      <c r="AM674" s="230">
        <v>6.2306520564100049E-2</v>
      </c>
      <c r="AN674" s="43">
        <v>0.83524151099999999</v>
      </c>
    </row>
    <row r="675" spans="1:40" x14ac:dyDescent="0.25">
      <c r="A675" s="134">
        <v>665</v>
      </c>
      <c r="B675" s="134" t="s">
        <v>196</v>
      </c>
      <c r="C675" s="134" t="s">
        <v>61</v>
      </c>
      <c r="D675" s="134" t="s">
        <v>197</v>
      </c>
      <c r="E675" s="134">
        <v>60</v>
      </c>
      <c r="F675" s="134">
        <v>141</v>
      </c>
      <c r="G675" s="134">
        <v>11</v>
      </c>
      <c r="H675" s="134">
        <v>290</v>
      </c>
      <c r="I675" s="200">
        <v>1.89033054885E-2</v>
      </c>
      <c r="J675" s="134">
        <v>431</v>
      </c>
      <c r="K675" s="134">
        <v>22800.2451879</v>
      </c>
      <c r="L675" s="42">
        <v>0.853955614847</v>
      </c>
      <c r="M675" s="42">
        <v>0.82857142857099997</v>
      </c>
      <c r="N675" s="134">
        <v>1</v>
      </c>
      <c r="O675" s="43" t="s">
        <v>664</v>
      </c>
      <c r="P675" s="43">
        <f t="shared" si="145"/>
        <v>12.004522044169624</v>
      </c>
      <c r="Q675" s="43">
        <f t="shared" si="146"/>
        <v>2.7862313999999999E-2</v>
      </c>
      <c r="R675" s="43">
        <f t="shared" si="147"/>
        <v>1.0978168999999999E-2</v>
      </c>
      <c r="S675" s="43">
        <f t="shared" si="148"/>
        <v>0.85395561499999995</v>
      </c>
      <c r="T675" s="43">
        <f t="shared" si="149"/>
        <v>2.7787301590000002</v>
      </c>
      <c r="U675" s="43">
        <f t="shared" si="150"/>
        <v>6.3335536499999998</v>
      </c>
      <c r="V675" s="43">
        <f t="shared" si="151"/>
        <v>7.4792569999999996E-3</v>
      </c>
      <c r="W675" s="230">
        <f t="shared" si="152"/>
        <v>5.5510108682949637E-2</v>
      </c>
      <c r="X675" s="43">
        <f t="shared" si="153"/>
        <v>0.84877877800000001</v>
      </c>
      <c r="Y675" s="43">
        <v>132.50477459999999</v>
      </c>
      <c r="Z675" s="43">
        <f t="shared" si="142"/>
        <v>0</v>
      </c>
      <c r="AA675" s="43">
        <f t="shared" si="143"/>
        <v>167507</v>
      </c>
      <c r="AB675" s="43">
        <f t="shared" si="144"/>
        <v>52467</v>
      </c>
      <c r="AC675" s="43">
        <f t="shared" si="154"/>
        <v>2.7401368684900142E-2</v>
      </c>
      <c r="AD675" s="43">
        <f t="shared" si="155"/>
        <v>0.88062297462500005</v>
      </c>
      <c r="AF675" s="43">
        <v>12.004522044169624</v>
      </c>
      <c r="AG675" s="43">
        <v>2.7862313999999999E-2</v>
      </c>
      <c r="AH675" s="43">
        <v>1.0978168999999999E-2</v>
      </c>
      <c r="AI675" s="43">
        <v>0.85395561499999995</v>
      </c>
      <c r="AJ675" s="43">
        <v>2.7787301590000002</v>
      </c>
      <c r="AK675" s="43">
        <v>6.3335536499999998</v>
      </c>
      <c r="AL675" s="43">
        <v>7.4792569999999996E-3</v>
      </c>
      <c r="AM675" s="230">
        <v>5.5510108682949637E-2</v>
      </c>
      <c r="AN675" s="43">
        <v>0.84877877800000001</v>
      </c>
    </row>
    <row r="676" spans="1:40" x14ac:dyDescent="0.25">
      <c r="A676" s="134">
        <v>666</v>
      </c>
      <c r="B676" s="134" t="s">
        <v>196</v>
      </c>
      <c r="C676" s="134" t="s">
        <v>61</v>
      </c>
      <c r="D676" s="134" t="s">
        <v>197</v>
      </c>
      <c r="E676" s="134">
        <v>413</v>
      </c>
      <c r="F676" s="134">
        <v>968</v>
      </c>
      <c r="G676" s="134">
        <v>25</v>
      </c>
      <c r="H676" s="134">
        <v>275</v>
      </c>
      <c r="I676" s="200">
        <v>4.5037753636699998E-2</v>
      </c>
      <c r="J676" s="134">
        <v>1243</v>
      </c>
      <c r="K676" s="134">
        <v>27599.067440800001</v>
      </c>
      <c r="L676" s="42">
        <v>0.83329879738099999</v>
      </c>
      <c r="M676" s="42">
        <v>0.39970930232599999</v>
      </c>
      <c r="N676" s="134">
        <v>0</v>
      </c>
      <c r="O676" s="43" t="s">
        <v>664</v>
      </c>
      <c r="P676" s="43">
        <f t="shared" si="145"/>
        <v>12.557609786161017</v>
      </c>
      <c r="Q676" s="43">
        <f t="shared" si="146"/>
        <v>3.8223623999999998E-2</v>
      </c>
      <c r="R676" s="43">
        <f t="shared" si="147"/>
        <v>1.4125204000000001E-2</v>
      </c>
      <c r="S676" s="43">
        <f t="shared" si="148"/>
        <v>0.83329879699999998</v>
      </c>
      <c r="T676" s="43">
        <f t="shared" si="149"/>
        <v>3.025384823</v>
      </c>
      <c r="U676" s="43">
        <f t="shared" si="150"/>
        <v>7.2962014809999998</v>
      </c>
      <c r="V676" s="43">
        <f t="shared" si="151"/>
        <v>9.574328E-3</v>
      </c>
      <c r="W676" s="230">
        <f t="shared" si="152"/>
        <v>7.8253300926230049E-2</v>
      </c>
      <c r="X676" s="43">
        <f t="shared" si="153"/>
        <v>0.84375615800000003</v>
      </c>
      <c r="Y676" s="43">
        <v>79.507752229999994</v>
      </c>
      <c r="Z676" s="43">
        <f t="shared" si="142"/>
        <v>0</v>
      </c>
      <c r="AA676" s="43">
        <f t="shared" si="143"/>
        <v>167507</v>
      </c>
      <c r="AB676" s="43">
        <f t="shared" si="144"/>
        <v>52467</v>
      </c>
      <c r="AC676" s="43">
        <f t="shared" si="154"/>
        <v>2.7401368684900142E-2</v>
      </c>
      <c r="AD676" s="43">
        <f t="shared" si="155"/>
        <v>0.88062297462500005</v>
      </c>
      <c r="AF676" s="43">
        <v>12.557609786161017</v>
      </c>
      <c r="AG676" s="43">
        <v>3.8223623999999998E-2</v>
      </c>
      <c r="AH676" s="43">
        <v>1.4125204000000001E-2</v>
      </c>
      <c r="AI676" s="43">
        <v>0.83329879699999998</v>
      </c>
      <c r="AJ676" s="43">
        <v>3.025384823</v>
      </c>
      <c r="AK676" s="43">
        <v>7.2962014809999998</v>
      </c>
      <c r="AL676" s="43">
        <v>9.574328E-3</v>
      </c>
      <c r="AM676" s="230">
        <v>7.8253300926230049E-2</v>
      </c>
      <c r="AN676" s="43">
        <v>0.84375615800000003</v>
      </c>
    </row>
    <row r="677" spans="1:40" x14ac:dyDescent="0.25">
      <c r="A677" s="134">
        <v>667</v>
      </c>
      <c r="B677" s="134" t="s">
        <v>196</v>
      </c>
      <c r="C677" s="134" t="s">
        <v>61</v>
      </c>
      <c r="D677" s="134" t="s">
        <v>197</v>
      </c>
      <c r="E677" s="134">
        <v>800</v>
      </c>
      <c r="F677" s="134">
        <v>1877</v>
      </c>
      <c r="G677" s="134">
        <v>33</v>
      </c>
      <c r="H677" s="134">
        <v>314</v>
      </c>
      <c r="I677" s="200">
        <v>5.8832267033700002E-2</v>
      </c>
      <c r="J677" s="134">
        <v>2191</v>
      </c>
      <c r="K677" s="134">
        <v>37241.468168200001</v>
      </c>
      <c r="L677" s="42">
        <v>0.81376492758700003</v>
      </c>
      <c r="M677" s="42">
        <v>0.28186714542199998</v>
      </c>
      <c r="N677" s="134">
        <v>1</v>
      </c>
      <c r="O677" s="43" t="s">
        <v>664</v>
      </c>
      <c r="P677" s="43">
        <f t="shared" si="145"/>
        <v>12.714811581039477</v>
      </c>
      <c r="Q677" s="43">
        <f t="shared" si="146"/>
        <v>5.5540999000000001E-2</v>
      </c>
      <c r="R677" s="43">
        <f t="shared" si="147"/>
        <v>1.3566627E-2</v>
      </c>
      <c r="S677" s="43">
        <f t="shared" si="148"/>
        <v>0.813764928</v>
      </c>
      <c r="T677" s="43">
        <f t="shared" si="149"/>
        <v>3.1065656179999999</v>
      </c>
      <c r="U677" s="43">
        <f t="shared" si="150"/>
        <v>7.377868511</v>
      </c>
      <c r="V677" s="43">
        <f t="shared" si="151"/>
        <v>1.1019001E-2</v>
      </c>
      <c r="W677" s="230">
        <f t="shared" si="152"/>
        <v>9.1905737704918028E-2</v>
      </c>
      <c r="X677" s="43">
        <f t="shared" si="153"/>
        <v>0.84043405400000004</v>
      </c>
      <c r="Y677" s="43">
        <v>131.7690356</v>
      </c>
      <c r="Z677" s="43">
        <f t="shared" si="142"/>
        <v>0</v>
      </c>
      <c r="AA677" s="43">
        <f t="shared" si="143"/>
        <v>167507</v>
      </c>
      <c r="AB677" s="43">
        <f t="shared" si="144"/>
        <v>52467</v>
      </c>
      <c r="AC677" s="43">
        <f t="shared" si="154"/>
        <v>2.7401368684900142E-2</v>
      </c>
      <c r="AD677" s="43">
        <f t="shared" si="155"/>
        <v>0.88062297462500005</v>
      </c>
      <c r="AF677" s="43">
        <v>12.714811581039477</v>
      </c>
      <c r="AG677" s="43">
        <v>5.5540999000000001E-2</v>
      </c>
      <c r="AH677" s="43">
        <v>1.3566627E-2</v>
      </c>
      <c r="AI677" s="43">
        <v>0.813764928</v>
      </c>
      <c r="AJ677" s="43">
        <v>3.1065656179999999</v>
      </c>
      <c r="AK677" s="43">
        <v>7.377868511</v>
      </c>
      <c r="AL677" s="43">
        <v>1.1019001E-2</v>
      </c>
      <c r="AM677" s="230">
        <v>9.1905737704918028E-2</v>
      </c>
      <c r="AN677" s="43">
        <v>0.84043405400000004</v>
      </c>
    </row>
    <row r="678" spans="1:40" x14ac:dyDescent="0.25">
      <c r="A678" s="134">
        <v>668</v>
      </c>
      <c r="B678" s="134" t="s">
        <v>196</v>
      </c>
      <c r="C678" s="134" t="s">
        <v>61</v>
      </c>
      <c r="D678" s="134" t="s">
        <v>197</v>
      </c>
      <c r="E678" s="134">
        <v>135</v>
      </c>
      <c r="F678" s="134">
        <v>317</v>
      </c>
      <c r="G678" s="134">
        <v>7</v>
      </c>
      <c r="H678" s="134">
        <v>98</v>
      </c>
      <c r="I678" s="200">
        <v>1.2813572392100001E-2</v>
      </c>
      <c r="J678" s="134">
        <v>415</v>
      </c>
      <c r="K678" s="134">
        <v>32387.5331018</v>
      </c>
      <c r="L678" s="42">
        <v>0.827758650032</v>
      </c>
      <c r="M678" s="42">
        <v>0.42060085836900002</v>
      </c>
      <c r="N678" s="134">
        <v>0</v>
      </c>
      <c r="O678" s="43" t="s">
        <v>664</v>
      </c>
      <c r="P678" s="43">
        <f t="shared" si="145"/>
        <v>12.123276524191379</v>
      </c>
      <c r="Q678" s="43">
        <f t="shared" si="146"/>
        <v>3.8003848999999999E-2</v>
      </c>
      <c r="R678" s="43">
        <f t="shared" si="147"/>
        <v>1.4295626000000001E-2</v>
      </c>
      <c r="S678" s="43">
        <f t="shared" si="148"/>
        <v>0.82775865000000004</v>
      </c>
      <c r="T678" s="43">
        <f t="shared" si="149"/>
        <v>3.141160347</v>
      </c>
      <c r="U678" s="43">
        <f t="shared" si="150"/>
        <v>7.0916756000000003</v>
      </c>
      <c r="V678" s="43">
        <f t="shared" si="151"/>
        <v>9.0723290000000005E-3</v>
      </c>
      <c r="W678" s="230">
        <f t="shared" si="152"/>
        <v>6.953790937640196E-2</v>
      </c>
      <c r="X678" s="43">
        <f t="shared" si="153"/>
        <v>0.82089626599999999</v>
      </c>
      <c r="Y678" s="43">
        <v>77.097546280000003</v>
      </c>
      <c r="Z678" s="43">
        <f t="shared" si="142"/>
        <v>0</v>
      </c>
      <c r="AA678" s="43">
        <f t="shared" si="143"/>
        <v>167507</v>
      </c>
      <c r="AB678" s="43">
        <f t="shared" si="144"/>
        <v>52467</v>
      </c>
      <c r="AC678" s="43">
        <f t="shared" si="154"/>
        <v>2.7401368684900142E-2</v>
      </c>
      <c r="AD678" s="43">
        <f t="shared" si="155"/>
        <v>0.88062297462500005</v>
      </c>
      <c r="AF678" s="43">
        <v>12.123276524191379</v>
      </c>
      <c r="AG678" s="43">
        <v>3.8003848999999999E-2</v>
      </c>
      <c r="AH678" s="43">
        <v>1.4295626000000001E-2</v>
      </c>
      <c r="AI678" s="43">
        <v>0.82775865000000004</v>
      </c>
      <c r="AJ678" s="43">
        <v>3.141160347</v>
      </c>
      <c r="AK678" s="43">
        <v>7.0916756000000003</v>
      </c>
      <c r="AL678" s="43">
        <v>9.0723290000000005E-3</v>
      </c>
      <c r="AM678" s="230">
        <v>6.953790937640196E-2</v>
      </c>
      <c r="AN678" s="43">
        <v>0.82089626599999999</v>
      </c>
    </row>
    <row r="679" spans="1:40" x14ac:dyDescent="0.25">
      <c r="A679" s="134">
        <v>669</v>
      </c>
      <c r="B679" s="134" t="s">
        <v>196</v>
      </c>
      <c r="C679" s="134" t="s">
        <v>61</v>
      </c>
      <c r="D679" s="134" t="s">
        <v>197</v>
      </c>
      <c r="E679" s="134">
        <v>515</v>
      </c>
      <c r="F679" s="134">
        <v>1207</v>
      </c>
      <c r="G679" s="134">
        <v>41</v>
      </c>
      <c r="H679" s="134">
        <v>533</v>
      </c>
      <c r="I679" s="200">
        <v>7.2654050876999998E-2</v>
      </c>
      <c r="J679" s="134">
        <v>1740</v>
      </c>
      <c r="K679" s="134">
        <v>23949.1119765</v>
      </c>
      <c r="L679" s="42">
        <v>0.83881532563399996</v>
      </c>
      <c r="M679" s="42">
        <v>0.50858778626000001</v>
      </c>
      <c r="N679" s="134">
        <v>0</v>
      </c>
      <c r="O679" s="43" t="s">
        <v>664</v>
      </c>
      <c r="P679" s="43">
        <f t="shared" si="145"/>
        <v>12.571517218672598</v>
      </c>
      <c r="Q679" s="43">
        <f t="shared" si="146"/>
        <v>3.5528524999999998E-2</v>
      </c>
      <c r="R679" s="43">
        <f t="shared" si="147"/>
        <v>1.3629821E-2</v>
      </c>
      <c r="S679" s="43">
        <f t="shared" si="148"/>
        <v>0.83881532599999997</v>
      </c>
      <c r="T679" s="43">
        <f t="shared" si="149"/>
        <v>2.9662800900000001</v>
      </c>
      <c r="U679" s="43">
        <f t="shared" si="150"/>
        <v>7.2870283320000002</v>
      </c>
      <c r="V679" s="43">
        <f t="shared" si="151"/>
        <v>9.7528489999999992E-3</v>
      </c>
      <c r="W679" s="230">
        <f t="shared" si="152"/>
        <v>7.1885630010228602E-2</v>
      </c>
      <c r="X679" s="43">
        <f t="shared" si="153"/>
        <v>0.85885725199999996</v>
      </c>
      <c r="Y679" s="43">
        <v>76.936025189999995</v>
      </c>
      <c r="Z679" s="43">
        <f t="shared" si="142"/>
        <v>0</v>
      </c>
      <c r="AA679" s="43">
        <f t="shared" si="143"/>
        <v>167507</v>
      </c>
      <c r="AB679" s="43">
        <f t="shared" si="144"/>
        <v>52467</v>
      </c>
      <c r="AC679" s="43">
        <f t="shared" si="154"/>
        <v>2.7401368684900142E-2</v>
      </c>
      <c r="AD679" s="43">
        <f t="shared" si="155"/>
        <v>0.88062297462500005</v>
      </c>
      <c r="AF679" s="43">
        <v>12.571517218672598</v>
      </c>
      <c r="AG679" s="43">
        <v>3.5528524999999998E-2</v>
      </c>
      <c r="AH679" s="43">
        <v>1.3629821E-2</v>
      </c>
      <c r="AI679" s="43">
        <v>0.83881532599999997</v>
      </c>
      <c r="AJ679" s="43">
        <v>2.9662800900000001</v>
      </c>
      <c r="AK679" s="43">
        <v>7.2870283320000002</v>
      </c>
      <c r="AL679" s="43">
        <v>9.7528489999999992E-3</v>
      </c>
      <c r="AM679" s="230">
        <v>7.1885630010228602E-2</v>
      </c>
      <c r="AN679" s="43">
        <v>0.85885725199999996</v>
      </c>
    </row>
    <row r="680" spans="1:40" x14ac:dyDescent="0.25">
      <c r="A680" s="134">
        <v>670</v>
      </c>
      <c r="B680" s="134" t="s">
        <v>196</v>
      </c>
      <c r="C680" s="134" t="s">
        <v>61</v>
      </c>
      <c r="D680" s="134" t="s">
        <v>197</v>
      </c>
      <c r="E680" s="134">
        <v>73</v>
      </c>
      <c r="F680" s="134">
        <v>170</v>
      </c>
      <c r="G680" s="134">
        <v>18</v>
      </c>
      <c r="H680" s="134">
        <v>98</v>
      </c>
      <c r="I680" s="200">
        <v>3.13319171924E-2</v>
      </c>
      <c r="J680" s="134">
        <v>268</v>
      </c>
      <c r="K680" s="134">
        <v>8553.5780767600008</v>
      </c>
      <c r="L680" s="42">
        <v>0.83500027731000004</v>
      </c>
      <c r="M680" s="42">
        <v>0.57309941520499996</v>
      </c>
      <c r="N680" s="134">
        <v>0</v>
      </c>
      <c r="O680" s="43" t="s">
        <v>664</v>
      </c>
      <c r="P680" s="43">
        <f t="shared" si="145"/>
        <v>11.734945794851456</v>
      </c>
      <c r="Q680" s="43">
        <f t="shared" si="146"/>
        <v>3.0966335000000001E-2</v>
      </c>
      <c r="R680" s="43">
        <f t="shared" si="147"/>
        <v>1.2423508999999999E-2</v>
      </c>
      <c r="S680" s="43">
        <f t="shared" si="148"/>
        <v>0.83500027700000001</v>
      </c>
      <c r="T680" s="43">
        <f t="shared" si="149"/>
        <v>2.8106686700000001</v>
      </c>
      <c r="U680" s="43">
        <f t="shared" si="150"/>
        <v>6.5237546550000003</v>
      </c>
      <c r="V680" s="43">
        <f t="shared" si="151"/>
        <v>4.3720790000000001E-3</v>
      </c>
      <c r="W680" s="230">
        <f t="shared" si="152"/>
        <v>4.7942107643600185E-2</v>
      </c>
      <c r="X680" s="43">
        <f t="shared" si="153"/>
        <v>0.82941353799999995</v>
      </c>
      <c r="Y680" s="43">
        <v>76.772458810000003</v>
      </c>
      <c r="Z680" s="43">
        <f t="shared" si="142"/>
        <v>0</v>
      </c>
      <c r="AA680" s="43">
        <f t="shared" si="143"/>
        <v>167507</v>
      </c>
      <c r="AB680" s="43">
        <f t="shared" si="144"/>
        <v>52467</v>
      </c>
      <c r="AC680" s="43">
        <f t="shared" si="154"/>
        <v>2.7401368684900142E-2</v>
      </c>
      <c r="AD680" s="43">
        <f t="shared" si="155"/>
        <v>0.88062297462500005</v>
      </c>
      <c r="AF680" s="43">
        <v>11.734945794851456</v>
      </c>
      <c r="AG680" s="43">
        <v>3.0966335000000001E-2</v>
      </c>
      <c r="AH680" s="43">
        <v>1.2423508999999999E-2</v>
      </c>
      <c r="AI680" s="43">
        <v>0.83500027700000001</v>
      </c>
      <c r="AJ680" s="43">
        <v>2.8106686700000001</v>
      </c>
      <c r="AK680" s="43">
        <v>6.5237546550000003</v>
      </c>
      <c r="AL680" s="43">
        <v>4.3720790000000001E-3</v>
      </c>
      <c r="AM680" s="230">
        <v>4.7942107643600185E-2</v>
      </c>
      <c r="AN680" s="43">
        <v>0.82941353799999995</v>
      </c>
    </row>
    <row r="681" spans="1:40" x14ac:dyDescent="0.25">
      <c r="A681" s="134">
        <v>671</v>
      </c>
      <c r="B681" s="134" t="s">
        <v>196</v>
      </c>
      <c r="C681" s="134" t="s">
        <v>61</v>
      </c>
      <c r="D681" s="134" t="s">
        <v>197</v>
      </c>
      <c r="E681" s="134">
        <v>8</v>
      </c>
      <c r="F681" s="134">
        <v>19</v>
      </c>
      <c r="G681" s="134">
        <v>11</v>
      </c>
      <c r="H681" s="134">
        <v>201</v>
      </c>
      <c r="I681" s="200">
        <v>1.90432807251E-2</v>
      </c>
      <c r="J681" s="134">
        <v>220</v>
      </c>
      <c r="K681" s="134">
        <v>11552.631249599999</v>
      </c>
      <c r="L681" s="42">
        <v>0.84419424682999999</v>
      </c>
      <c r="M681" s="42">
        <v>0.96172248803799998</v>
      </c>
      <c r="N681" s="134">
        <v>1</v>
      </c>
      <c r="O681" s="43" t="s">
        <v>664</v>
      </c>
      <c r="P681" s="43">
        <f t="shared" si="145"/>
        <v>11.724776640990687</v>
      </c>
      <c r="Q681" s="43">
        <f t="shared" si="146"/>
        <v>3.0213423999999999E-2</v>
      </c>
      <c r="R681" s="43">
        <f t="shared" si="147"/>
        <v>1.0083514E-2</v>
      </c>
      <c r="S681" s="43">
        <f t="shared" si="148"/>
        <v>0.84419424700000001</v>
      </c>
      <c r="T681" s="43">
        <f t="shared" si="149"/>
        <v>2.616049383</v>
      </c>
      <c r="U681" s="43">
        <f t="shared" si="150"/>
        <v>5.9250470809999998</v>
      </c>
      <c r="V681" s="43">
        <f t="shared" si="151"/>
        <v>6.2902180000000002E-3</v>
      </c>
      <c r="W681" s="230">
        <f t="shared" si="152"/>
        <v>5.5672041067167957E-2</v>
      </c>
      <c r="X681" s="43">
        <f t="shared" si="153"/>
        <v>0.82719976900000003</v>
      </c>
      <c r="Y681" s="43">
        <v>132.65711300000001</v>
      </c>
      <c r="Z681" s="43">
        <f t="shared" si="142"/>
        <v>0</v>
      </c>
      <c r="AA681" s="43">
        <f t="shared" si="143"/>
        <v>167507</v>
      </c>
      <c r="AB681" s="43">
        <f t="shared" si="144"/>
        <v>52467</v>
      </c>
      <c r="AC681" s="43">
        <f t="shared" si="154"/>
        <v>2.7401368684900142E-2</v>
      </c>
      <c r="AD681" s="43">
        <f t="shared" si="155"/>
        <v>0.88062297462500005</v>
      </c>
      <c r="AF681" s="43">
        <v>11.724776640990687</v>
      </c>
      <c r="AG681" s="43">
        <v>3.0213423999999999E-2</v>
      </c>
      <c r="AH681" s="43">
        <v>1.0083514E-2</v>
      </c>
      <c r="AI681" s="43">
        <v>0.84419424700000001</v>
      </c>
      <c r="AJ681" s="43">
        <v>2.616049383</v>
      </c>
      <c r="AK681" s="43">
        <v>5.9250470809999998</v>
      </c>
      <c r="AL681" s="43">
        <v>6.2902180000000002E-3</v>
      </c>
      <c r="AM681" s="230">
        <v>5.5672041067167957E-2</v>
      </c>
      <c r="AN681" s="43">
        <v>0.82719976900000003</v>
      </c>
    </row>
    <row r="682" spans="1:40" x14ac:dyDescent="0.25">
      <c r="A682" s="134">
        <v>672</v>
      </c>
      <c r="B682" s="134" t="s">
        <v>196</v>
      </c>
      <c r="C682" s="134" t="s">
        <v>61</v>
      </c>
      <c r="D682" s="134" t="s">
        <v>197</v>
      </c>
      <c r="E682" s="134">
        <v>54</v>
      </c>
      <c r="F682" s="134">
        <v>126</v>
      </c>
      <c r="G682" s="134">
        <v>11</v>
      </c>
      <c r="H682" s="134">
        <v>137</v>
      </c>
      <c r="I682" s="200">
        <v>7.7517075992399997E-3</v>
      </c>
      <c r="J682" s="134">
        <v>263</v>
      </c>
      <c r="K682" s="134">
        <v>33928.008330199998</v>
      </c>
      <c r="L682" s="42">
        <v>0.83633720930199995</v>
      </c>
      <c r="M682" s="42">
        <v>0.71727748691100002</v>
      </c>
      <c r="N682" s="134">
        <v>1</v>
      </c>
      <c r="O682" s="43" t="s">
        <v>664</v>
      </c>
      <c r="P682" s="43">
        <f t="shared" si="145"/>
        <v>11.675491618425175</v>
      </c>
      <c r="Q682" s="43">
        <f t="shared" si="146"/>
        <v>3.5113219000000001E-2</v>
      </c>
      <c r="R682" s="43">
        <f t="shared" si="147"/>
        <v>1.1612607E-2</v>
      </c>
      <c r="S682" s="43">
        <f t="shared" si="148"/>
        <v>0.83633720899999997</v>
      </c>
      <c r="T682" s="43">
        <f t="shared" si="149"/>
        <v>2.7700922270000001</v>
      </c>
      <c r="U682" s="43">
        <f t="shared" si="150"/>
        <v>6.2422935800000001</v>
      </c>
      <c r="V682" s="43">
        <f t="shared" si="151"/>
        <v>6.01024E-3</v>
      </c>
      <c r="W682" s="230">
        <f t="shared" si="152"/>
        <v>5.9508792758032197E-2</v>
      </c>
      <c r="X682" s="43">
        <f t="shared" si="153"/>
        <v>0.82384803699999998</v>
      </c>
      <c r="Y682" s="43">
        <v>133.1562347</v>
      </c>
      <c r="Z682" s="43">
        <f t="shared" si="142"/>
        <v>0</v>
      </c>
      <c r="AA682" s="43">
        <f t="shared" si="143"/>
        <v>167507</v>
      </c>
      <c r="AB682" s="43">
        <f t="shared" si="144"/>
        <v>52467</v>
      </c>
      <c r="AC682" s="43">
        <f t="shared" si="154"/>
        <v>2.7401368684900142E-2</v>
      </c>
      <c r="AD682" s="43">
        <f t="shared" si="155"/>
        <v>0.88062297462500005</v>
      </c>
      <c r="AF682" s="43">
        <v>11.675491618425175</v>
      </c>
      <c r="AG682" s="43">
        <v>3.5113219000000001E-2</v>
      </c>
      <c r="AH682" s="43">
        <v>1.1612607E-2</v>
      </c>
      <c r="AI682" s="43">
        <v>0.83633720899999997</v>
      </c>
      <c r="AJ682" s="43">
        <v>2.7700922270000001</v>
      </c>
      <c r="AK682" s="43">
        <v>6.2422935800000001</v>
      </c>
      <c r="AL682" s="43">
        <v>6.01024E-3</v>
      </c>
      <c r="AM682" s="230">
        <v>5.9508792758032197E-2</v>
      </c>
      <c r="AN682" s="43">
        <v>0.82384803699999998</v>
      </c>
    </row>
    <row r="683" spans="1:40" x14ac:dyDescent="0.25">
      <c r="A683" s="134">
        <v>673</v>
      </c>
      <c r="B683" s="134" t="s">
        <v>196</v>
      </c>
      <c r="C683" s="134" t="s">
        <v>61</v>
      </c>
      <c r="D683" s="134" t="s">
        <v>197</v>
      </c>
      <c r="E683" s="134">
        <v>7</v>
      </c>
      <c r="F683" s="134">
        <v>16</v>
      </c>
      <c r="G683" s="134">
        <v>12</v>
      </c>
      <c r="H683" s="134">
        <v>127</v>
      </c>
      <c r="I683" s="200">
        <v>8.0975357410899996E-3</v>
      </c>
      <c r="J683" s="134">
        <v>143</v>
      </c>
      <c r="K683" s="134">
        <v>17659.6935873</v>
      </c>
      <c r="L683" s="42">
        <v>0.84325750726899995</v>
      </c>
      <c r="M683" s="42">
        <v>0.94776119403000003</v>
      </c>
      <c r="N683" s="134">
        <v>1</v>
      </c>
      <c r="O683" s="43" t="s">
        <v>664</v>
      </c>
      <c r="P683" s="43">
        <f t="shared" si="145"/>
        <v>11.636444385833995</v>
      </c>
      <c r="Q683" s="43">
        <f t="shared" si="146"/>
        <v>3.3669705000000001E-2</v>
      </c>
      <c r="R683" s="43">
        <f t="shared" si="147"/>
        <v>9.3825590000000004E-3</v>
      </c>
      <c r="S683" s="43">
        <f t="shared" si="148"/>
        <v>0.84325750700000002</v>
      </c>
      <c r="T683" s="43">
        <f t="shared" si="149"/>
        <v>2.8125</v>
      </c>
      <c r="U683" s="43">
        <f t="shared" si="150"/>
        <v>6.2583200410000002</v>
      </c>
      <c r="V683" s="43">
        <f t="shared" si="151"/>
        <v>5.1163720000000001E-3</v>
      </c>
      <c r="W683" s="230">
        <f t="shared" si="152"/>
        <v>4.8655698234349912E-2</v>
      </c>
      <c r="X683" s="43">
        <f t="shared" si="153"/>
        <v>0.82002407700000002</v>
      </c>
      <c r="Y683" s="43">
        <v>133.1562347</v>
      </c>
      <c r="Z683" s="43">
        <f t="shared" si="142"/>
        <v>0</v>
      </c>
      <c r="AA683" s="43">
        <f t="shared" si="143"/>
        <v>167507</v>
      </c>
      <c r="AB683" s="43">
        <f t="shared" si="144"/>
        <v>52467</v>
      </c>
      <c r="AC683" s="43">
        <f t="shared" si="154"/>
        <v>2.7401368684900142E-2</v>
      </c>
      <c r="AD683" s="43">
        <f t="shared" si="155"/>
        <v>0.88062297462500005</v>
      </c>
      <c r="AF683" s="43">
        <v>11.636444385833995</v>
      </c>
      <c r="AG683" s="43">
        <v>3.3669705000000001E-2</v>
      </c>
      <c r="AH683" s="43">
        <v>9.3825590000000004E-3</v>
      </c>
      <c r="AI683" s="43">
        <v>0.84325750700000002</v>
      </c>
      <c r="AJ683" s="43">
        <v>2.8125</v>
      </c>
      <c r="AK683" s="43">
        <v>6.2583200410000002</v>
      </c>
      <c r="AL683" s="43">
        <v>5.1163720000000001E-3</v>
      </c>
      <c r="AM683" s="230">
        <v>4.8655698234349912E-2</v>
      </c>
      <c r="AN683" s="43">
        <v>0.82002407700000002</v>
      </c>
    </row>
    <row r="684" spans="1:40" x14ac:dyDescent="0.25">
      <c r="A684" s="134">
        <v>674</v>
      </c>
      <c r="B684" s="134" t="s">
        <v>196</v>
      </c>
      <c r="C684" s="134" t="s">
        <v>61</v>
      </c>
      <c r="D684" s="134" t="s">
        <v>197</v>
      </c>
      <c r="E684" s="134">
        <v>255</v>
      </c>
      <c r="F684" s="134">
        <v>683</v>
      </c>
      <c r="G684" s="134">
        <v>32</v>
      </c>
      <c r="H684" s="134">
        <v>162</v>
      </c>
      <c r="I684" s="200">
        <v>5.15188510167E-2</v>
      </c>
      <c r="J684" s="134">
        <v>845</v>
      </c>
      <c r="K684" s="134">
        <v>16401.7633026</v>
      </c>
      <c r="L684" s="42">
        <v>0.85386178482899999</v>
      </c>
      <c r="M684" s="42">
        <v>0.38848920863300002</v>
      </c>
      <c r="N684" s="134">
        <v>0</v>
      </c>
      <c r="O684" s="43" t="s">
        <v>664</v>
      </c>
      <c r="P684" s="43">
        <f t="shared" si="145"/>
        <v>12.615480225898937</v>
      </c>
      <c r="Q684" s="43">
        <f t="shared" si="146"/>
        <v>3.1536821999999999E-2</v>
      </c>
      <c r="R684" s="43">
        <f t="shared" si="147"/>
        <v>1.4304977999999999E-2</v>
      </c>
      <c r="S684" s="43">
        <f t="shared" si="148"/>
        <v>0.85386178499999998</v>
      </c>
      <c r="T684" s="43">
        <f t="shared" si="149"/>
        <v>3.1193255510000002</v>
      </c>
      <c r="U684" s="43">
        <f t="shared" si="150"/>
        <v>7.559797938</v>
      </c>
      <c r="V684" s="43">
        <f t="shared" si="151"/>
        <v>7.3748950000000002E-3</v>
      </c>
      <c r="W684" s="230">
        <f t="shared" si="152"/>
        <v>5.7340444535177476E-2</v>
      </c>
      <c r="X684" s="43">
        <f t="shared" si="153"/>
        <v>0.86860438399999995</v>
      </c>
      <c r="Y684" s="43">
        <v>90.448254539999994</v>
      </c>
      <c r="Z684" s="43">
        <f t="shared" si="142"/>
        <v>0</v>
      </c>
      <c r="AA684" s="43">
        <f t="shared" si="143"/>
        <v>167507</v>
      </c>
      <c r="AB684" s="43">
        <f t="shared" si="144"/>
        <v>52467</v>
      </c>
      <c r="AC684" s="43">
        <f t="shared" si="154"/>
        <v>2.7401368684900142E-2</v>
      </c>
      <c r="AD684" s="43">
        <f t="shared" si="155"/>
        <v>0.88062297462500005</v>
      </c>
      <c r="AF684" s="43">
        <v>12.615480225898937</v>
      </c>
      <c r="AG684" s="43">
        <v>3.1536821999999999E-2</v>
      </c>
      <c r="AH684" s="43">
        <v>1.4304977999999999E-2</v>
      </c>
      <c r="AI684" s="43">
        <v>0.85386178499999998</v>
      </c>
      <c r="AJ684" s="43">
        <v>3.1193255510000002</v>
      </c>
      <c r="AK684" s="43">
        <v>7.559797938</v>
      </c>
      <c r="AL684" s="43">
        <v>7.3748950000000002E-3</v>
      </c>
      <c r="AM684" s="230">
        <v>5.7340444535177476E-2</v>
      </c>
      <c r="AN684" s="43">
        <v>0.86860438399999995</v>
      </c>
    </row>
    <row r="685" spans="1:40" x14ac:dyDescent="0.25">
      <c r="A685" s="134">
        <v>675</v>
      </c>
      <c r="B685" s="134" t="s">
        <v>196</v>
      </c>
      <c r="C685" s="134" t="s">
        <v>61</v>
      </c>
      <c r="D685" s="134" t="s">
        <v>197</v>
      </c>
      <c r="E685" s="134">
        <v>489</v>
      </c>
      <c r="F685" s="134">
        <v>1312</v>
      </c>
      <c r="G685" s="134">
        <v>68</v>
      </c>
      <c r="H685" s="134">
        <v>96</v>
      </c>
      <c r="I685" s="200">
        <v>0.107784806397</v>
      </c>
      <c r="J685" s="134">
        <v>1408</v>
      </c>
      <c r="K685" s="134">
        <v>13063.0656311</v>
      </c>
      <c r="L685" s="42">
        <v>0.84438761415399999</v>
      </c>
      <c r="M685" s="42">
        <v>0.164102564103</v>
      </c>
      <c r="N685" s="134">
        <v>0</v>
      </c>
      <c r="O685" s="43" t="s">
        <v>664</v>
      </c>
      <c r="P685" s="43">
        <f t="shared" si="145"/>
        <v>12.753171174323278</v>
      </c>
      <c r="Q685" s="43">
        <f t="shared" si="146"/>
        <v>3.6710789000000001E-2</v>
      </c>
      <c r="R685" s="43">
        <f t="shared" si="147"/>
        <v>1.5115279000000001E-2</v>
      </c>
      <c r="S685" s="43">
        <f t="shared" si="148"/>
        <v>0.84438761399999995</v>
      </c>
      <c r="T685" s="43">
        <f t="shared" si="149"/>
        <v>3.048408142</v>
      </c>
      <c r="U685" s="43">
        <f t="shared" si="150"/>
        <v>7.605826381</v>
      </c>
      <c r="V685" s="43">
        <f t="shared" si="151"/>
        <v>5.5744599999999998E-3</v>
      </c>
      <c r="W685" s="230">
        <f t="shared" si="152"/>
        <v>7.7170363023888106E-2</v>
      </c>
      <c r="X685" s="43">
        <f t="shared" si="153"/>
        <v>0.860467502</v>
      </c>
      <c r="Y685" s="43">
        <v>96.725252830000002</v>
      </c>
      <c r="Z685" s="43">
        <f t="shared" si="142"/>
        <v>0</v>
      </c>
      <c r="AA685" s="43">
        <f t="shared" si="143"/>
        <v>167507</v>
      </c>
      <c r="AB685" s="43">
        <f t="shared" si="144"/>
        <v>52467</v>
      </c>
      <c r="AC685" s="43">
        <f t="shared" si="154"/>
        <v>2.7401368684900142E-2</v>
      </c>
      <c r="AD685" s="43">
        <f t="shared" si="155"/>
        <v>0.88062297462500005</v>
      </c>
      <c r="AF685" s="43">
        <v>12.753171174323278</v>
      </c>
      <c r="AG685" s="43">
        <v>3.6710789000000001E-2</v>
      </c>
      <c r="AH685" s="43">
        <v>1.5115279000000001E-2</v>
      </c>
      <c r="AI685" s="43">
        <v>0.84438761399999995</v>
      </c>
      <c r="AJ685" s="43">
        <v>3.048408142</v>
      </c>
      <c r="AK685" s="43">
        <v>7.605826381</v>
      </c>
      <c r="AL685" s="43">
        <v>5.5744599999999998E-3</v>
      </c>
      <c r="AM685" s="230">
        <v>7.7170363023888106E-2</v>
      </c>
      <c r="AN685" s="43">
        <v>0.860467502</v>
      </c>
    </row>
    <row r="686" spans="1:40" x14ac:dyDescent="0.25">
      <c r="A686" s="134">
        <v>676</v>
      </c>
      <c r="B686" s="134" t="s">
        <v>196</v>
      </c>
      <c r="C686" s="134" t="s">
        <v>61</v>
      </c>
      <c r="D686" s="134" t="s">
        <v>197</v>
      </c>
      <c r="E686" s="134">
        <v>237</v>
      </c>
      <c r="F686" s="134">
        <v>637</v>
      </c>
      <c r="G686" s="134">
        <v>44</v>
      </c>
      <c r="H686" s="134">
        <v>234</v>
      </c>
      <c r="I686" s="200">
        <v>6.99563329353E-2</v>
      </c>
      <c r="J686" s="134">
        <v>871</v>
      </c>
      <c r="K686" s="134">
        <v>12450.6240315</v>
      </c>
      <c r="L686" s="42">
        <v>0.85186073025999998</v>
      </c>
      <c r="M686" s="42">
        <v>0.49681528662399999</v>
      </c>
      <c r="N686" s="134">
        <v>0</v>
      </c>
      <c r="O686" s="43" t="s">
        <v>664</v>
      </c>
      <c r="P686" s="43">
        <f t="shared" si="145"/>
        <v>12.489994857807462</v>
      </c>
      <c r="Q686" s="43">
        <f t="shared" si="146"/>
        <v>3.2578126999999998E-2</v>
      </c>
      <c r="R686" s="43">
        <f t="shared" si="147"/>
        <v>1.3833425999999999E-2</v>
      </c>
      <c r="S686" s="43">
        <f t="shared" si="148"/>
        <v>0.85186072999999995</v>
      </c>
      <c r="T686" s="43">
        <f t="shared" si="149"/>
        <v>3.0387940119999999</v>
      </c>
      <c r="U686" s="43">
        <f t="shared" si="150"/>
        <v>7.5272679179999997</v>
      </c>
      <c r="V686" s="43">
        <f t="shared" si="151"/>
        <v>7.4130070000000001E-3</v>
      </c>
      <c r="W686" s="230">
        <f t="shared" si="152"/>
        <v>5.8060425760198979E-2</v>
      </c>
      <c r="X686" s="43">
        <f t="shared" si="153"/>
        <v>0.86588309900000004</v>
      </c>
      <c r="Y686" s="43">
        <v>88.950563189999997</v>
      </c>
      <c r="Z686" s="43">
        <f t="shared" si="142"/>
        <v>0</v>
      </c>
      <c r="AA686" s="43">
        <f t="shared" si="143"/>
        <v>167507</v>
      </c>
      <c r="AB686" s="43">
        <f t="shared" si="144"/>
        <v>52467</v>
      </c>
      <c r="AC686" s="43">
        <f t="shared" si="154"/>
        <v>2.7401368684900142E-2</v>
      </c>
      <c r="AD686" s="43">
        <f t="shared" si="155"/>
        <v>0.88062297462500005</v>
      </c>
      <c r="AF686" s="43">
        <v>12.489994857807462</v>
      </c>
      <c r="AG686" s="43">
        <v>3.2578126999999998E-2</v>
      </c>
      <c r="AH686" s="43">
        <v>1.3833425999999999E-2</v>
      </c>
      <c r="AI686" s="43">
        <v>0.85186072999999995</v>
      </c>
      <c r="AJ686" s="43">
        <v>3.0387940119999999</v>
      </c>
      <c r="AK686" s="43">
        <v>7.5272679179999997</v>
      </c>
      <c r="AL686" s="43">
        <v>7.4130070000000001E-3</v>
      </c>
      <c r="AM686" s="230">
        <v>5.8060425760198979E-2</v>
      </c>
      <c r="AN686" s="43">
        <v>0.86588309900000004</v>
      </c>
    </row>
    <row r="687" spans="1:40" x14ac:dyDescent="0.25">
      <c r="A687" s="134">
        <v>677</v>
      </c>
      <c r="B687" s="134" t="s">
        <v>196</v>
      </c>
      <c r="C687" s="134" t="s">
        <v>61</v>
      </c>
      <c r="D687" s="134" t="s">
        <v>197</v>
      </c>
      <c r="E687" s="134">
        <v>9</v>
      </c>
      <c r="F687" s="134">
        <v>29</v>
      </c>
      <c r="G687" s="134">
        <v>43</v>
      </c>
      <c r="H687" s="134">
        <v>58</v>
      </c>
      <c r="I687" s="200">
        <v>3.2418495802799999E-2</v>
      </c>
      <c r="J687" s="134">
        <v>87</v>
      </c>
      <c r="K687" s="134">
        <v>2683.6531999899998</v>
      </c>
      <c r="L687" s="42">
        <v>0.87699436884100002</v>
      </c>
      <c r="M687" s="42">
        <v>0.86567164179099998</v>
      </c>
      <c r="N687" s="134">
        <v>0</v>
      </c>
      <c r="O687" s="43" t="s">
        <v>666</v>
      </c>
      <c r="P687" s="43">
        <f t="shared" si="145"/>
        <v>11.124524720836028</v>
      </c>
      <c r="Q687" s="43">
        <f t="shared" si="146"/>
        <v>1.1555608E-2</v>
      </c>
      <c r="R687" s="43">
        <f t="shared" si="147"/>
        <v>1.008916E-2</v>
      </c>
      <c r="S687" s="43">
        <f t="shared" si="148"/>
        <v>0.87699436900000005</v>
      </c>
      <c r="T687" s="43">
        <f t="shared" si="149"/>
        <v>3.0288184440000001</v>
      </c>
      <c r="U687" s="43">
        <f t="shared" si="150"/>
        <v>6.5789736359999997</v>
      </c>
      <c r="V687" s="43">
        <f t="shared" si="151"/>
        <v>3.5855150000000001E-3</v>
      </c>
      <c r="W687" s="230">
        <f t="shared" si="152"/>
        <v>1.0577267837934745E-2</v>
      </c>
      <c r="X687" s="43">
        <f t="shared" si="153"/>
        <v>0.87163858000000005</v>
      </c>
      <c r="Y687" s="43">
        <v>87.659824920000005</v>
      </c>
      <c r="Z687" s="43">
        <f t="shared" si="142"/>
        <v>0</v>
      </c>
      <c r="AA687" s="43">
        <f t="shared" si="143"/>
        <v>167507</v>
      </c>
      <c r="AB687" s="43">
        <f t="shared" si="144"/>
        <v>52467</v>
      </c>
      <c r="AC687" s="43">
        <f t="shared" si="154"/>
        <v>2.7401368684900142E-2</v>
      </c>
      <c r="AD687" s="43">
        <f t="shared" si="155"/>
        <v>0.88062297462500005</v>
      </c>
      <c r="AF687" s="43">
        <v>11.124524720836028</v>
      </c>
      <c r="AG687" s="43">
        <v>1.1555608E-2</v>
      </c>
      <c r="AH687" s="43">
        <v>1.008916E-2</v>
      </c>
      <c r="AI687" s="43">
        <v>0.87699436900000005</v>
      </c>
      <c r="AJ687" s="43">
        <v>3.0288184440000001</v>
      </c>
      <c r="AK687" s="43">
        <v>6.5789736359999997</v>
      </c>
      <c r="AL687" s="43">
        <v>3.5855150000000001E-3</v>
      </c>
      <c r="AM687" s="230">
        <v>1.0577267837934745E-2</v>
      </c>
      <c r="AN687" s="43">
        <v>0.87163858000000005</v>
      </c>
    </row>
    <row r="688" spans="1:40" x14ac:dyDescent="0.25">
      <c r="A688" s="134">
        <v>678</v>
      </c>
      <c r="B688" s="134" t="s">
        <v>196</v>
      </c>
      <c r="C688" s="134" t="s">
        <v>61</v>
      </c>
      <c r="D688" s="134" t="s">
        <v>197</v>
      </c>
      <c r="E688" s="134">
        <v>1394</v>
      </c>
      <c r="F688" s="134">
        <v>5184</v>
      </c>
      <c r="G688" s="134">
        <v>171</v>
      </c>
      <c r="H688" s="134">
        <v>466</v>
      </c>
      <c r="I688" s="200">
        <v>0.27368048378199999</v>
      </c>
      <c r="J688" s="134">
        <v>5650</v>
      </c>
      <c r="K688" s="134">
        <v>20644.5118845</v>
      </c>
      <c r="L688" s="42">
        <v>0.84544669733599997</v>
      </c>
      <c r="M688" s="42">
        <v>0.25053763440900001</v>
      </c>
      <c r="N688" s="134">
        <v>0</v>
      </c>
      <c r="O688" s="43" t="s">
        <v>664</v>
      </c>
      <c r="P688" s="43">
        <f t="shared" si="145"/>
        <v>12.954701220921741</v>
      </c>
      <c r="Q688" s="43">
        <f t="shared" si="146"/>
        <v>3.9123076E-2</v>
      </c>
      <c r="R688" s="43">
        <f t="shared" si="147"/>
        <v>1.7167036E-2</v>
      </c>
      <c r="S688" s="43">
        <f t="shared" si="148"/>
        <v>0.84544669699999997</v>
      </c>
      <c r="T688" s="43">
        <f t="shared" si="149"/>
        <v>3.5779049000000001</v>
      </c>
      <c r="U688" s="43">
        <f t="shared" si="150"/>
        <v>8.9309962120000002</v>
      </c>
      <c r="V688" s="43">
        <f t="shared" si="151"/>
        <v>8.9476950000000003E-3</v>
      </c>
      <c r="W688" s="230">
        <f t="shared" si="152"/>
        <v>8.4008672314161578E-2</v>
      </c>
      <c r="X688" s="43">
        <f t="shared" si="153"/>
        <v>0.86139596299999999</v>
      </c>
      <c r="Y688" s="43">
        <v>97.993482130000004</v>
      </c>
      <c r="Z688" s="43">
        <f t="shared" si="142"/>
        <v>0</v>
      </c>
      <c r="AA688" s="43">
        <f t="shared" si="143"/>
        <v>167507</v>
      </c>
      <c r="AB688" s="43">
        <f t="shared" si="144"/>
        <v>52467</v>
      </c>
      <c r="AC688" s="43">
        <f t="shared" si="154"/>
        <v>2.7401368684900142E-2</v>
      </c>
      <c r="AD688" s="43">
        <f t="shared" si="155"/>
        <v>0.88062297462500005</v>
      </c>
      <c r="AF688" s="43">
        <v>12.954701220921741</v>
      </c>
      <c r="AG688" s="43">
        <v>3.9123076E-2</v>
      </c>
      <c r="AH688" s="43">
        <v>1.7167036E-2</v>
      </c>
      <c r="AI688" s="43">
        <v>0.84544669699999997</v>
      </c>
      <c r="AJ688" s="43">
        <v>3.5779049000000001</v>
      </c>
      <c r="AK688" s="43">
        <v>8.9309962120000002</v>
      </c>
      <c r="AL688" s="43">
        <v>8.9476950000000003E-3</v>
      </c>
      <c r="AM688" s="230">
        <v>8.4008672314161578E-2</v>
      </c>
      <c r="AN688" s="43">
        <v>0.86139596299999999</v>
      </c>
    </row>
    <row r="689" spans="1:40" x14ac:dyDescent="0.25">
      <c r="A689" s="134">
        <v>679</v>
      </c>
      <c r="B689" s="134" t="s">
        <v>196</v>
      </c>
      <c r="C689" s="134" t="s">
        <v>61</v>
      </c>
      <c r="D689" s="134" t="s">
        <v>197</v>
      </c>
      <c r="E689" s="134">
        <v>502</v>
      </c>
      <c r="F689" s="134">
        <v>1867</v>
      </c>
      <c r="G689" s="134">
        <v>119</v>
      </c>
      <c r="H689" s="134">
        <v>150</v>
      </c>
      <c r="I689" s="200">
        <v>0.19060842877199999</v>
      </c>
      <c r="J689" s="134">
        <v>2017</v>
      </c>
      <c r="K689" s="134">
        <v>10581.9035023</v>
      </c>
      <c r="L689" s="42">
        <v>0.83713113694499997</v>
      </c>
      <c r="M689" s="42">
        <v>0.23006134969299999</v>
      </c>
      <c r="N689" s="134">
        <v>0</v>
      </c>
      <c r="O689" s="43" t="s">
        <v>664</v>
      </c>
      <c r="P689" s="43">
        <f t="shared" si="145"/>
        <v>12.111568208283778</v>
      </c>
      <c r="Q689" s="43">
        <f t="shared" si="146"/>
        <v>3.2529629999999997E-2</v>
      </c>
      <c r="R689" s="43">
        <f t="shared" si="147"/>
        <v>1.6313687E-2</v>
      </c>
      <c r="S689" s="43">
        <f t="shared" si="148"/>
        <v>0.83713113699999997</v>
      </c>
      <c r="T689" s="43">
        <f t="shared" si="149"/>
        <v>3.3236402279999999</v>
      </c>
      <c r="U689" s="43">
        <f t="shared" si="150"/>
        <v>7.8785378220000002</v>
      </c>
      <c r="V689" s="43">
        <f t="shared" si="151"/>
        <v>6.1356539999999999E-3</v>
      </c>
      <c r="W689" s="230">
        <f t="shared" si="152"/>
        <v>6.9463037334523275E-2</v>
      </c>
      <c r="X689" s="43">
        <f t="shared" si="153"/>
        <v>0.86782934199999995</v>
      </c>
      <c r="Y689" s="43">
        <v>110.287767</v>
      </c>
      <c r="Z689" s="43">
        <f t="shared" si="142"/>
        <v>0</v>
      </c>
      <c r="AA689" s="43">
        <f t="shared" si="143"/>
        <v>167507</v>
      </c>
      <c r="AB689" s="43">
        <f t="shared" si="144"/>
        <v>52467</v>
      </c>
      <c r="AC689" s="43">
        <f t="shared" si="154"/>
        <v>2.7401368684900142E-2</v>
      </c>
      <c r="AD689" s="43">
        <f t="shared" si="155"/>
        <v>0.88062297462500005</v>
      </c>
      <c r="AF689" s="43">
        <v>12.111568208283778</v>
      </c>
      <c r="AG689" s="43">
        <v>3.2529629999999997E-2</v>
      </c>
      <c r="AH689" s="43">
        <v>1.6313687E-2</v>
      </c>
      <c r="AI689" s="43">
        <v>0.83713113699999997</v>
      </c>
      <c r="AJ689" s="43">
        <v>3.3236402279999999</v>
      </c>
      <c r="AK689" s="43">
        <v>7.8785378220000002</v>
      </c>
      <c r="AL689" s="43">
        <v>6.1356539999999999E-3</v>
      </c>
      <c r="AM689" s="230">
        <v>6.9463037334523275E-2</v>
      </c>
      <c r="AN689" s="43">
        <v>0.86782934199999995</v>
      </c>
    </row>
    <row r="690" spans="1:40" x14ac:dyDescent="0.25">
      <c r="A690" s="134">
        <v>680</v>
      </c>
      <c r="B690" s="134" t="s">
        <v>196</v>
      </c>
      <c r="C690" s="134" t="s">
        <v>61</v>
      </c>
      <c r="D690" s="134" t="s">
        <v>197</v>
      </c>
      <c r="E690" s="134">
        <v>757</v>
      </c>
      <c r="F690" s="134">
        <v>2492</v>
      </c>
      <c r="G690" s="134">
        <v>153</v>
      </c>
      <c r="H690" s="134">
        <v>1218</v>
      </c>
      <c r="I690" s="200">
        <v>0.223323899173</v>
      </c>
      <c r="J690" s="134">
        <v>3710</v>
      </c>
      <c r="K690" s="134">
        <v>16612.642058199999</v>
      </c>
      <c r="L690" s="42">
        <v>0.86654346828600004</v>
      </c>
      <c r="M690" s="42">
        <v>0.616708860759</v>
      </c>
      <c r="N690" s="134">
        <v>0</v>
      </c>
      <c r="O690" s="43" t="s">
        <v>664</v>
      </c>
      <c r="P690" s="43">
        <f t="shared" si="145"/>
        <v>12.298090978255326</v>
      </c>
      <c r="Q690" s="43">
        <f t="shared" si="146"/>
        <v>3.0521455999999999E-2</v>
      </c>
      <c r="R690" s="43">
        <f t="shared" si="147"/>
        <v>1.5756506999999999E-2</v>
      </c>
      <c r="S690" s="43">
        <f t="shared" si="148"/>
        <v>0.86654346800000004</v>
      </c>
      <c r="T690" s="43">
        <f t="shared" si="149"/>
        <v>3.3948641240000001</v>
      </c>
      <c r="U690" s="43">
        <f t="shared" si="150"/>
        <v>8.4108132330000007</v>
      </c>
      <c r="V690" s="43">
        <f t="shared" si="151"/>
        <v>1.0249559E-2</v>
      </c>
      <c r="W690" s="230">
        <f t="shared" si="152"/>
        <v>5.6664822720203734E-2</v>
      </c>
      <c r="X690" s="43">
        <f t="shared" si="153"/>
        <v>0.89182122799999997</v>
      </c>
      <c r="Y690" s="43">
        <v>116.2799548</v>
      </c>
      <c r="Z690" s="43">
        <f t="shared" si="142"/>
        <v>0</v>
      </c>
      <c r="AA690" s="43">
        <f t="shared" si="143"/>
        <v>167507</v>
      </c>
      <c r="AB690" s="43">
        <f t="shared" si="144"/>
        <v>52467</v>
      </c>
      <c r="AC690" s="43">
        <f t="shared" si="154"/>
        <v>2.7401368684900142E-2</v>
      </c>
      <c r="AD690" s="43">
        <f t="shared" si="155"/>
        <v>0.88062297462500005</v>
      </c>
      <c r="AF690" s="43">
        <v>12.298090978255326</v>
      </c>
      <c r="AG690" s="43">
        <v>3.0521455999999999E-2</v>
      </c>
      <c r="AH690" s="43">
        <v>1.5756506999999999E-2</v>
      </c>
      <c r="AI690" s="43">
        <v>0.86654346800000004</v>
      </c>
      <c r="AJ690" s="43">
        <v>3.3948641240000001</v>
      </c>
      <c r="AK690" s="43">
        <v>8.4108132330000007</v>
      </c>
      <c r="AL690" s="43">
        <v>1.0249559E-2</v>
      </c>
      <c r="AM690" s="230">
        <v>5.6664822720203734E-2</v>
      </c>
      <c r="AN690" s="43">
        <v>0.89182122799999997</v>
      </c>
    </row>
    <row r="691" spans="1:40" x14ac:dyDescent="0.25">
      <c r="A691" s="134">
        <v>681</v>
      </c>
      <c r="B691" s="134" t="s">
        <v>196</v>
      </c>
      <c r="C691" s="134" t="s">
        <v>61</v>
      </c>
      <c r="D691" s="134" t="s">
        <v>197</v>
      </c>
      <c r="E691" s="134">
        <v>58</v>
      </c>
      <c r="F691" s="134">
        <v>195</v>
      </c>
      <c r="G691" s="134">
        <v>21</v>
      </c>
      <c r="H691" s="134">
        <v>38</v>
      </c>
      <c r="I691" s="200">
        <v>2.1562110152700001E-2</v>
      </c>
      <c r="J691" s="134">
        <v>233</v>
      </c>
      <c r="K691" s="134">
        <v>10805.9924725</v>
      </c>
      <c r="L691" s="42">
        <v>0.84322443456399998</v>
      </c>
      <c r="M691" s="42">
        <v>0.39583333333300003</v>
      </c>
      <c r="N691" s="134">
        <v>1</v>
      </c>
      <c r="O691" s="43" t="s">
        <v>664</v>
      </c>
      <c r="P691" s="43">
        <f t="shared" si="145"/>
        <v>11.780831364295578</v>
      </c>
      <c r="Q691" s="43">
        <f t="shared" si="146"/>
        <v>2.8803401999999999E-2</v>
      </c>
      <c r="R691" s="43">
        <f t="shared" si="147"/>
        <v>1.4691668E-2</v>
      </c>
      <c r="S691" s="43">
        <f t="shared" si="148"/>
        <v>0.84322443499999999</v>
      </c>
      <c r="T691" s="43">
        <f t="shared" si="149"/>
        <v>2.9281045749999999</v>
      </c>
      <c r="U691" s="43">
        <f t="shared" si="150"/>
        <v>7.1225886750000003</v>
      </c>
      <c r="V691" s="43">
        <f t="shared" si="151"/>
        <v>3.204195E-3</v>
      </c>
      <c r="W691" s="230">
        <f t="shared" si="152"/>
        <v>4.7965821924458682E-2</v>
      </c>
      <c r="X691" s="43">
        <f t="shared" si="153"/>
        <v>0.83406155900000001</v>
      </c>
      <c r="Y691" s="43">
        <v>157.0882695</v>
      </c>
      <c r="Z691" s="43">
        <f t="shared" si="142"/>
        <v>0</v>
      </c>
      <c r="AA691" s="43">
        <f t="shared" si="143"/>
        <v>167507</v>
      </c>
      <c r="AB691" s="43">
        <f t="shared" si="144"/>
        <v>52467</v>
      </c>
      <c r="AC691" s="43">
        <f t="shared" si="154"/>
        <v>2.7401368684900142E-2</v>
      </c>
      <c r="AD691" s="43">
        <f t="shared" si="155"/>
        <v>0.88062297462500005</v>
      </c>
      <c r="AF691" s="43">
        <v>11.780831364295578</v>
      </c>
      <c r="AG691" s="43">
        <v>2.8803401999999999E-2</v>
      </c>
      <c r="AH691" s="43">
        <v>1.4691668E-2</v>
      </c>
      <c r="AI691" s="43">
        <v>0.84322443499999999</v>
      </c>
      <c r="AJ691" s="43">
        <v>2.9281045749999999</v>
      </c>
      <c r="AK691" s="43">
        <v>7.1225886750000003</v>
      </c>
      <c r="AL691" s="43">
        <v>3.204195E-3</v>
      </c>
      <c r="AM691" s="230">
        <v>4.7965821924458682E-2</v>
      </c>
      <c r="AN691" s="43">
        <v>0.83406155900000001</v>
      </c>
    </row>
    <row r="692" spans="1:40" x14ac:dyDescent="0.25">
      <c r="A692" s="134">
        <v>682</v>
      </c>
      <c r="B692" s="134" t="s">
        <v>196</v>
      </c>
      <c r="C692" s="134" t="s">
        <v>61</v>
      </c>
      <c r="D692" s="134" t="s">
        <v>197</v>
      </c>
      <c r="E692" s="134">
        <v>146</v>
      </c>
      <c r="F692" s="134">
        <v>487</v>
      </c>
      <c r="G692" s="134">
        <v>11</v>
      </c>
      <c r="H692" s="134">
        <v>66</v>
      </c>
      <c r="I692" s="200">
        <v>2.47784976882E-2</v>
      </c>
      <c r="J692" s="134">
        <v>553</v>
      </c>
      <c r="K692" s="134">
        <v>22317.737215500001</v>
      </c>
      <c r="L692" s="42">
        <v>0.817604376488</v>
      </c>
      <c r="M692" s="42">
        <v>0.31132075471699999</v>
      </c>
      <c r="N692" s="134">
        <v>1</v>
      </c>
      <c r="O692" s="43" t="s">
        <v>664</v>
      </c>
      <c r="P692" s="43">
        <f t="shared" si="145"/>
        <v>12.283375108264876</v>
      </c>
      <c r="Q692" s="43">
        <f t="shared" si="146"/>
        <v>4.8102454000000003E-2</v>
      </c>
      <c r="R692" s="43">
        <f t="shared" si="147"/>
        <v>1.6938290000000002E-2</v>
      </c>
      <c r="S692" s="43">
        <f t="shared" si="148"/>
        <v>0.81760437600000002</v>
      </c>
      <c r="T692" s="43">
        <f t="shared" si="149"/>
        <v>3.0650708020000001</v>
      </c>
      <c r="U692" s="43">
        <f t="shared" si="150"/>
        <v>7.7621859259999999</v>
      </c>
      <c r="V692" s="43">
        <f t="shared" si="151"/>
        <v>9.3640579999999998E-3</v>
      </c>
      <c r="W692" s="230">
        <f t="shared" si="152"/>
        <v>9.1767771354124256E-2</v>
      </c>
      <c r="X692" s="43">
        <f t="shared" si="153"/>
        <v>0.80758895900000005</v>
      </c>
      <c r="Y692" s="43">
        <v>184.0732491</v>
      </c>
      <c r="Z692" s="43">
        <f t="shared" si="142"/>
        <v>0</v>
      </c>
      <c r="AA692" s="43">
        <f t="shared" si="143"/>
        <v>167507</v>
      </c>
      <c r="AB692" s="43">
        <f t="shared" si="144"/>
        <v>52467</v>
      </c>
      <c r="AC692" s="43">
        <f t="shared" si="154"/>
        <v>2.7401368684900142E-2</v>
      </c>
      <c r="AD692" s="43">
        <f t="shared" si="155"/>
        <v>0.88062297462500005</v>
      </c>
      <c r="AF692" s="43">
        <v>12.283375108264876</v>
      </c>
      <c r="AG692" s="43">
        <v>4.8102454000000003E-2</v>
      </c>
      <c r="AH692" s="43">
        <v>1.6938290000000002E-2</v>
      </c>
      <c r="AI692" s="43">
        <v>0.81760437600000002</v>
      </c>
      <c r="AJ692" s="43">
        <v>3.0650708020000001</v>
      </c>
      <c r="AK692" s="43">
        <v>7.7621859259999999</v>
      </c>
      <c r="AL692" s="43">
        <v>9.3640579999999998E-3</v>
      </c>
      <c r="AM692" s="230">
        <v>9.1767771354124256E-2</v>
      </c>
      <c r="AN692" s="43">
        <v>0.80758895900000005</v>
      </c>
    </row>
    <row r="693" spans="1:40" x14ac:dyDescent="0.25">
      <c r="A693" s="134">
        <v>683</v>
      </c>
      <c r="B693" s="134" t="s">
        <v>196</v>
      </c>
      <c r="C693" s="134" t="s">
        <v>61</v>
      </c>
      <c r="D693" s="134" t="s">
        <v>197</v>
      </c>
      <c r="E693" s="134">
        <v>123</v>
      </c>
      <c r="F693" s="134">
        <v>409</v>
      </c>
      <c r="G693" s="134">
        <v>78</v>
      </c>
      <c r="H693" s="134">
        <v>57</v>
      </c>
      <c r="I693" s="200">
        <v>1.49825649146E-2</v>
      </c>
      <c r="J693" s="134">
        <v>466</v>
      </c>
      <c r="K693" s="134">
        <v>31102.8186867</v>
      </c>
      <c r="L693" s="42">
        <v>0.84886510426299999</v>
      </c>
      <c r="M693" s="42">
        <v>0.316666666667</v>
      </c>
      <c r="N693" s="134">
        <v>1</v>
      </c>
      <c r="O693" s="43" t="s">
        <v>664</v>
      </c>
      <c r="P693" s="43">
        <f t="shared" si="145"/>
        <v>12.326842782735687</v>
      </c>
      <c r="Q693" s="43">
        <f t="shared" si="146"/>
        <v>3.6037224E-2</v>
      </c>
      <c r="R693" s="43">
        <f t="shared" si="147"/>
        <v>1.4907864E-2</v>
      </c>
      <c r="S693" s="43">
        <f t="shared" si="148"/>
        <v>0.84886510400000004</v>
      </c>
      <c r="T693" s="43">
        <f t="shared" si="149"/>
        <v>3.069808804</v>
      </c>
      <c r="U693" s="43">
        <f t="shared" si="150"/>
        <v>7.7221664990000001</v>
      </c>
      <c r="V693" s="43">
        <f t="shared" si="151"/>
        <v>4.0560300000000004E-3</v>
      </c>
      <c r="W693" s="230">
        <f t="shared" si="152"/>
        <v>6.3340093383011831E-2</v>
      </c>
      <c r="X693" s="43">
        <f t="shared" si="153"/>
        <v>0.85299250100000001</v>
      </c>
      <c r="Y693" s="43">
        <v>46.776020099999997</v>
      </c>
      <c r="Z693" s="43">
        <f t="shared" si="142"/>
        <v>0</v>
      </c>
      <c r="AA693" s="43">
        <f t="shared" si="143"/>
        <v>167507</v>
      </c>
      <c r="AB693" s="43">
        <f t="shared" si="144"/>
        <v>52467</v>
      </c>
      <c r="AC693" s="43">
        <f t="shared" si="154"/>
        <v>2.7401368684900142E-2</v>
      </c>
      <c r="AD693" s="43">
        <f t="shared" si="155"/>
        <v>0.88062297462500005</v>
      </c>
      <c r="AF693" s="43">
        <v>12.326842782735687</v>
      </c>
      <c r="AG693" s="43">
        <v>3.6037224E-2</v>
      </c>
      <c r="AH693" s="43">
        <v>1.4907864E-2</v>
      </c>
      <c r="AI693" s="43">
        <v>0.84886510400000004</v>
      </c>
      <c r="AJ693" s="43">
        <v>3.069808804</v>
      </c>
      <c r="AK693" s="43">
        <v>7.7221664990000001</v>
      </c>
      <c r="AL693" s="43">
        <v>4.0560300000000004E-3</v>
      </c>
      <c r="AM693" s="230">
        <v>6.3340093383011831E-2</v>
      </c>
      <c r="AN693" s="43">
        <v>0.85299250100000001</v>
      </c>
    </row>
    <row r="694" spans="1:40" x14ac:dyDescent="0.25">
      <c r="A694" s="134">
        <v>684</v>
      </c>
      <c r="B694" s="134" t="s">
        <v>196</v>
      </c>
      <c r="C694" s="134" t="s">
        <v>61</v>
      </c>
      <c r="D694" s="134" t="s">
        <v>197</v>
      </c>
      <c r="E694" s="134">
        <v>184</v>
      </c>
      <c r="F694" s="134">
        <v>615</v>
      </c>
      <c r="G694" s="134">
        <v>40</v>
      </c>
      <c r="H694" s="134">
        <v>227</v>
      </c>
      <c r="I694" s="200">
        <v>9.3049929596900005E-2</v>
      </c>
      <c r="J694" s="134">
        <v>842</v>
      </c>
      <c r="K694" s="134">
        <v>9048.9052882399992</v>
      </c>
      <c r="L694" s="42">
        <v>0.85083826602299995</v>
      </c>
      <c r="M694" s="42">
        <v>0.55231143552299999</v>
      </c>
      <c r="N694" s="134">
        <v>0</v>
      </c>
      <c r="O694" s="43" t="s">
        <v>664</v>
      </c>
      <c r="P694" s="43">
        <f t="shared" si="145"/>
        <v>12.20906393322999</v>
      </c>
      <c r="Q694" s="43">
        <f t="shared" si="146"/>
        <v>2.4767109999999998E-2</v>
      </c>
      <c r="R694" s="43">
        <f t="shared" si="147"/>
        <v>1.4675769999999999E-2</v>
      </c>
      <c r="S694" s="43">
        <f t="shared" si="148"/>
        <v>0.85083826600000001</v>
      </c>
      <c r="T694" s="43">
        <f t="shared" si="149"/>
        <v>3.0002388340000001</v>
      </c>
      <c r="U694" s="43">
        <f t="shared" si="150"/>
        <v>7.6944579319999997</v>
      </c>
      <c r="V694" s="43">
        <f t="shared" si="151"/>
        <v>8.0281759999999997E-3</v>
      </c>
      <c r="W694" s="230">
        <f t="shared" si="152"/>
        <v>4.7884187082405355E-2</v>
      </c>
      <c r="X694" s="43">
        <f t="shared" si="153"/>
        <v>0.87253327800000002</v>
      </c>
      <c r="Y694" s="43">
        <v>97.364226970000004</v>
      </c>
      <c r="Z694" s="43">
        <f t="shared" si="142"/>
        <v>0</v>
      </c>
      <c r="AA694" s="43">
        <f t="shared" si="143"/>
        <v>167507</v>
      </c>
      <c r="AB694" s="43">
        <f t="shared" si="144"/>
        <v>52467</v>
      </c>
      <c r="AC694" s="43">
        <f t="shared" si="154"/>
        <v>2.7401368684900142E-2</v>
      </c>
      <c r="AD694" s="43">
        <f t="shared" si="155"/>
        <v>0.88062297462500005</v>
      </c>
      <c r="AF694" s="43">
        <v>12.20906393322999</v>
      </c>
      <c r="AG694" s="43">
        <v>2.4767109999999998E-2</v>
      </c>
      <c r="AH694" s="43">
        <v>1.4675769999999999E-2</v>
      </c>
      <c r="AI694" s="43">
        <v>0.85083826600000001</v>
      </c>
      <c r="AJ694" s="43">
        <v>3.0002388340000001</v>
      </c>
      <c r="AK694" s="43">
        <v>7.6944579319999997</v>
      </c>
      <c r="AL694" s="43">
        <v>8.0281759999999997E-3</v>
      </c>
      <c r="AM694" s="230">
        <v>4.7884187082405355E-2</v>
      </c>
      <c r="AN694" s="43">
        <v>0.87253327800000002</v>
      </c>
    </row>
    <row r="695" spans="1:40" x14ac:dyDescent="0.25">
      <c r="A695" s="134">
        <v>685</v>
      </c>
      <c r="B695" s="134" t="s">
        <v>196</v>
      </c>
      <c r="C695" s="134" t="s">
        <v>61</v>
      </c>
      <c r="D695" s="134" t="s">
        <v>197</v>
      </c>
      <c r="E695" s="134">
        <v>218</v>
      </c>
      <c r="F695" s="134">
        <v>728</v>
      </c>
      <c r="G695" s="134">
        <v>32</v>
      </c>
      <c r="H695" s="134">
        <v>119</v>
      </c>
      <c r="I695" s="200">
        <v>5.3704484482700002E-2</v>
      </c>
      <c r="J695" s="134">
        <v>847</v>
      </c>
      <c r="K695" s="134">
        <v>15771.4948418</v>
      </c>
      <c r="L695" s="42">
        <v>0.85059768220400001</v>
      </c>
      <c r="M695" s="42">
        <v>0.35311572700299998</v>
      </c>
      <c r="N695" s="134">
        <v>1</v>
      </c>
      <c r="O695" s="43" t="s">
        <v>664</v>
      </c>
      <c r="P695" s="43">
        <f t="shared" si="145"/>
        <v>12.839004776039907</v>
      </c>
      <c r="Q695" s="43">
        <f t="shared" si="146"/>
        <v>4.0039967000000003E-2</v>
      </c>
      <c r="R695" s="43">
        <f t="shared" si="147"/>
        <v>1.5768015999999999E-2</v>
      </c>
      <c r="S695" s="43">
        <f t="shared" si="148"/>
        <v>0.85059768199999997</v>
      </c>
      <c r="T695" s="43">
        <f t="shared" si="149"/>
        <v>3.2768490950000002</v>
      </c>
      <c r="U695" s="43">
        <f t="shared" si="150"/>
        <v>8.4927103630000005</v>
      </c>
      <c r="V695" s="43">
        <f t="shared" si="151"/>
        <v>7.3518450000000001E-3</v>
      </c>
      <c r="W695" s="230">
        <f t="shared" si="152"/>
        <v>7.016541652178232E-2</v>
      </c>
      <c r="X695" s="43">
        <f t="shared" si="153"/>
        <v>0.86384183599999997</v>
      </c>
      <c r="Y695" s="43">
        <v>114.5604051</v>
      </c>
      <c r="Z695" s="43">
        <f t="shared" si="142"/>
        <v>0</v>
      </c>
      <c r="AA695" s="43">
        <f t="shared" si="143"/>
        <v>167507</v>
      </c>
      <c r="AB695" s="43">
        <f t="shared" si="144"/>
        <v>52467</v>
      </c>
      <c r="AC695" s="43">
        <f t="shared" si="154"/>
        <v>2.7401368684900142E-2</v>
      </c>
      <c r="AD695" s="43">
        <f t="shared" si="155"/>
        <v>0.88062297462500005</v>
      </c>
      <c r="AF695" s="43">
        <v>12.839004776039907</v>
      </c>
      <c r="AG695" s="43">
        <v>4.0039967000000003E-2</v>
      </c>
      <c r="AH695" s="43">
        <v>1.5768015999999999E-2</v>
      </c>
      <c r="AI695" s="43">
        <v>0.85059768199999997</v>
      </c>
      <c r="AJ695" s="43">
        <v>3.2768490950000002</v>
      </c>
      <c r="AK695" s="43">
        <v>8.4927103630000005</v>
      </c>
      <c r="AL695" s="43">
        <v>7.3518450000000001E-3</v>
      </c>
      <c r="AM695" s="230">
        <v>7.016541652178232E-2</v>
      </c>
      <c r="AN695" s="43">
        <v>0.86384183599999997</v>
      </c>
    </row>
    <row r="696" spans="1:40" x14ac:dyDescent="0.25">
      <c r="A696" s="134">
        <v>686</v>
      </c>
      <c r="B696" s="134" t="s">
        <v>196</v>
      </c>
      <c r="C696" s="134" t="s">
        <v>61</v>
      </c>
      <c r="D696" s="134" t="s">
        <v>197</v>
      </c>
      <c r="E696" s="134">
        <v>962</v>
      </c>
      <c r="F696" s="134">
        <v>3208</v>
      </c>
      <c r="G696" s="134">
        <v>52</v>
      </c>
      <c r="H696" s="134">
        <v>133</v>
      </c>
      <c r="I696" s="200">
        <v>0.121312092156</v>
      </c>
      <c r="J696" s="134">
        <v>3341</v>
      </c>
      <c r="K696" s="134">
        <v>27540.5356598</v>
      </c>
      <c r="L696" s="42">
        <v>0.82952808219600005</v>
      </c>
      <c r="M696" s="42">
        <v>0.121461187215</v>
      </c>
      <c r="N696" s="134">
        <v>0</v>
      </c>
      <c r="O696" s="43" t="s">
        <v>664</v>
      </c>
      <c r="P696" s="43">
        <f t="shared" si="145"/>
        <v>13.022695710243672</v>
      </c>
      <c r="Q696" s="43">
        <f t="shared" si="146"/>
        <v>4.6476432999999998E-2</v>
      </c>
      <c r="R696" s="43">
        <f t="shared" si="147"/>
        <v>1.7760616E-2</v>
      </c>
      <c r="S696" s="43">
        <f t="shared" si="148"/>
        <v>0.82952808200000006</v>
      </c>
      <c r="T696" s="43">
        <f t="shared" si="149"/>
        <v>3.2178426600000001</v>
      </c>
      <c r="U696" s="43">
        <f t="shared" si="150"/>
        <v>8.4027722619999992</v>
      </c>
      <c r="V696" s="43">
        <f t="shared" si="151"/>
        <v>8.5226380000000008E-3</v>
      </c>
      <c r="W696" s="230">
        <f t="shared" si="152"/>
        <v>9.1908193639354541E-2</v>
      </c>
      <c r="X696" s="43">
        <f t="shared" si="153"/>
        <v>0.85873413799999998</v>
      </c>
      <c r="Y696" s="43">
        <v>113.77582049999999</v>
      </c>
      <c r="Z696" s="43">
        <f t="shared" si="142"/>
        <v>0</v>
      </c>
      <c r="AA696" s="43">
        <f t="shared" si="143"/>
        <v>167507</v>
      </c>
      <c r="AB696" s="43">
        <f t="shared" si="144"/>
        <v>52467</v>
      </c>
      <c r="AC696" s="43">
        <f t="shared" si="154"/>
        <v>2.7401368684900142E-2</v>
      </c>
      <c r="AD696" s="43">
        <f t="shared" si="155"/>
        <v>0.88062297462500005</v>
      </c>
      <c r="AF696" s="43">
        <v>13.022695710243672</v>
      </c>
      <c r="AG696" s="43">
        <v>4.6476432999999998E-2</v>
      </c>
      <c r="AH696" s="43">
        <v>1.7760616E-2</v>
      </c>
      <c r="AI696" s="43">
        <v>0.82952808200000006</v>
      </c>
      <c r="AJ696" s="43">
        <v>3.2178426600000001</v>
      </c>
      <c r="AK696" s="43">
        <v>8.4027722619999992</v>
      </c>
      <c r="AL696" s="43">
        <v>8.5226380000000008E-3</v>
      </c>
      <c r="AM696" s="230">
        <v>9.1908193639354541E-2</v>
      </c>
      <c r="AN696" s="43">
        <v>0.85873413799999998</v>
      </c>
    </row>
    <row r="697" spans="1:40" x14ac:dyDescent="0.25">
      <c r="A697" s="134">
        <v>687</v>
      </c>
      <c r="B697" s="134" t="s">
        <v>196</v>
      </c>
      <c r="C697" s="134" t="s">
        <v>61</v>
      </c>
      <c r="D697" s="134" t="s">
        <v>197</v>
      </c>
      <c r="E697" s="134">
        <v>113</v>
      </c>
      <c r="F697" s="134">
        <v>378</v>
      </c>
      <c r="G697" s="134">
        <v>15</v>
      </c>
      <c r="H697" s="134">
        <v>112</v>
      </c>
      <c r="I697" s="200">
        <v>3.4319896369E-2</v>
      </c>
      <c r="J697" s="134">
        <v>490</v>
      </c>
      <c r="K697" s="134">
        <v>14277.4323888</v>
      </c>
      <c r="L697" s="42">
        <v>0.83908811809999995</v>
      </c>
      <c r="M697" s="42">
        <v>0.49777777777799997</v>
      </c>
      <c r="N697" s="134">
        <v>1</v>
      </c>
      <c r="O697" s="43" t="s">
        <v>664</v>
      </c>
      <c r="P697" s="43">
        <f t="shared" si="145"/>
        <v>12.126842787802849</v>
      </c>
      <c r="Q697" s="43">
        <f t="shared" si="146"/>
        <v>3.4189038999999997E-2</v>
      </c>
      <c r="R697" s="43">
        <f t="shared" si="147"/>
        <v>1.5663989E-2</v>
      </c>
      <c r="S697" s="43">
        <f t="shared" si="148"/>
        <v>0.83908811800000005</v>
      </c>
      <c r="T697" s="43">
        <f t="shared" si="149"/>
        <v>3.083057851</v>
      </c>
      <c r="U697" s="43">
        <f t="shared" si="150"/>
        <v>7.7342564520000003</v>
      </c>
      <c r="V697" s="43">
        <f t="shared" si="151"/>
        <v>8.7932080000000003E-3</v>
      </c>
      <c r="W697" s="230">
        <f t="shared" si="152"/>
        <v>5.8650264229403094E-2</v>
      </c>
      <c r="X697" s="43">
        <f t="shared" si="153"/>
        <v>0.84427791699999999</v>
      </c>
      <c r="Y697" s="43">
        <v>133.36860379999999</v>
      </c>
      <c r="Z697" s="43">
        <f t="shared" si="142"/>
        <v>0</v>
      </c>
      <c r="AA697" s="43">
        <f t="shared" si="143"/>
        <v>167507</v>
      </c>
      <c r="AB697" s="43">
        <f t="shared" si="144"/>
        <v>52467</v>
      </c>
      <c r="AC697" s="43">
        <f t="shared" si="154"/>
        <v>2.7401368684900142E-2</v>
      </c>
      <c r="AD697" s="43">
        <f t="shared" si="155"/>
        <v>0.88062297462500005</v>
      </c>
      <c r="AF697" s="43">
        <v>12.126842787802849</v>
      </c>
      <c r="AG697" s="43">
        <v>3.4189038999999997E-2</v>
      </c>
      <c r="AH697" s="43">
        <v>1.5663989E-2</v>
      </c>
      <c r="AI697" s="43">
        <v>0.83908811800000005</v>
      </c>
      <c r="AJ697" s="43">
        <v>3.083057851</v>
      </c>
      <c r="AK697" s="43">
        <v>7.7342564520000003</v>
      </c>
      <c r="AL697" s="43">
        <v>8.7932080000000003E-3</v>
      </c>
      <c r="AM697" s="230">
        <v>5.8650264229403094E-2</v>
      </c>
      <c r="AN697" s="43">
        <v>0.84427791699999999</v>
      </c>
    </row>
    <row r="698" spans="1:40" x14ac:dyDescent="0.25">
      <c r="A698" s="134">
        <v>688</v>
      </c>
      <c r="B698" s="134" t="s">
        <v>196</v>
      </c>
      <c r="C698" s="134" t="s">
        <v>61</v>
      </c>
      <c r="D698" s="134" t="s">
        <v>197</v>
      </c>
      <c r="E698" s="134">
        <v>128</v>
      </c>
      <c r="F698" s="134">
        <v>426</v>
      </c>
      <c r="G698" s="134">
        <v>51</v>
      </c>
      <c r="H698" s="134">
        <v>63</v>
      </c>
      <c r="I698" s="200">
        <v>3.04444031768E-2</v>
      </c>
      <c r="J698" s="134">
        <v>489</v>
      </c>
      <c r="K698" s="134">
        <v>16062.065567899999</v>
      </c>
      <c r="L698" s="42">
        <v>0.84970842905099997</v>
      </c>
      <c r="M698" s="42">
        <v>0.32984293193699998</v>
      </c>
      <c r="N698" s="134">
        <v>1</v>
      </c>
      <c r="O698" s="43" t="s">
        <v>664</v>
      </c>
      <c r="P698" s="43">
        <f t="shared" si="145"/>
        <v>12.06509491532354</v>
      </c>
      <c r="Q698" s="43">
        <f t="shared" si="146"/>
        <v>3.2514579000000002E-2</v>
      </c>
      <c r="R698" s="43">
        <f t="shared" si="147"/>
        <v>1.4692146999999999E-2</v>
      </c>
      <c r="S698" s="43">
        <f t="shared" si="148"/>
        <v>0.84970842899999999</v>
      </c>
      <c r="T698" s="43">
        <f t="shared" si="149"/>
        <v>3.0158594079999999</v>
      </c>
      <c r="U698" s="43">
        <f t="shared" si="150"/>
        <v>7.5139322049999997</v>
      </c>
      <c r="V698" s="43">
        <f t="shared" si="151"/>
        <v>4.8602130000000004E-3</v>
      </c>
      <c r="W698" s="230">
        <f t="shared" si="152"/>
        <v>5.8857626967494532E-2</v>
      </c>
      <c r="X698" s="43">
        <f t="shared" si="153"/>
        <v>0.85539751200000003</v>
      </c>
      <c r="Y698" s="43">
        <v>184.66383279999999</v>
      </c>
      <c r="Z698" s="43">
        <f t="shared" si="142"/>
        <v>0</v>
      </c>
      <c r="AA698" s="43">
        <f t="shared" si="143"/>
        <v>167507</v>
      </c>
      <c r="AB698" s="43">
        <f t="shared" si="144"/>
        <v>52467</v>
      </c>
      <c r="AC698" s="43">
        <f t="shared" si="154"/>
        <v>2.7401368684900142E-2</v>
      </c>
      <c r="AD698" s="43">
        <f t="shared" si="155"/>
        <v>0.88062297462500005</v>
      </c>
      <c r="AF698" s="43">
        <v>12.06509491532354</v>
      </c>
      <c r="AG698" s="43">
        <v>3.2514579000000002E-2</v>
      </c>
      <c r="AH698" s="43">
        <v>1.4692146999999999E-2</v>
      </c>
      <c r="AI698" s="43">
        <v>0.84970842899999999</v>
      </c>
      <c r="AJ698" s="43">
        <v>3.0158594079999999</v>
      </c>
      <c r="AK698" s="43">
        <v>7.5139322049999997</v>
      </c>
      <c r="AL698" s="43">
        <v>4.8602130000000004E-3</v>
      </c>
      <c r="AM698" s="230">
        <v>5.8857626967494532E-2</v>
      </c>
      <c r="AN698" s="43">
        <v>0.85539751200000003</v>
      </c>
    </row>
    <row r="699" spans="1:40" x14ac:dyDescent="0.25">
      <c r="A699" s="134">
        <v>689</v>
      </c>
      <c r="B699" s="134" t="s">
        <v>196</v>
      </c>
      <c r="C699" s="134" t="s">
        <v>61</v>
      </c>
      <c r="D699" s="134" t="s">
        <v>197</v>
      </c>
      <c r="E699" s="134">
        <v>1339</v>
      </c>
      <c r="F699" s="134">
        <v>4119</v>
      </c>
      <c r="G699" s="134">
        <v>251</v>
      </c>
      <c r="H699" s="134">
        <v>3545</v>
      </c>
      <c r="I699" s="200">
        <v>0.40050819553799999</v>
      </c>
      <c r="J699" s="134">
        <v>7664</v>
      </c>
      <c r="K699" s="134">
        <v>19135.688321400001</v>
      </c>
      <c r="L699" s="42">
        <v>0.86232884412900002</v>
      </c>
      <c r="M699" s="42">
        <v>0.72583947583899999</v>
      </c>
      <c r="N699" s="134">
        <v>0</v>
      </c>
      <c r="O699" s="43" t="s">
        <v>664</v>
      </c>
      <c r="P699" s="43">
        <f t="shared" si="145"/>
        <v>12.894626875379123</v>
      </c>
      <c r="Q699" s="43">
        <f t="shared" si="146"/>
        <v>2.6857217999999999E-2</v>
      </c>
      <c r="R699" s="43">
        <f t="shared" si="147"/>
        <v>1.3414842E-2</v>
      </c>
      <c r="S699" s="43">
        <f t="shared" si="148"/>
        <v>0.86232884399999998</v>
      </c>
      <c r="T699" s="43">
        <f t="shared" si="149"/>
        <v>3.2853598719999999</v>
      </c>
      <c r="U699" s="43">
        <f t="shared" si="150"/>
        <v>8.5502480690000002</v>
      </c>
      <c r="V699" s="43">
        <f t="shared" si="151"/>
        <v>9.4402329999999993E-3</v>
      </c>
      <c r="W699" s="230">
        <f t="shared" si="152"/>
        <v>4.8235475037701404E-2</v>
      </c>
      <c r="X699" s="43">
        <f t="shared" si="153"/>
        <v>0.88991685799999998</v>
      </c>
      <c r="Y699" s="43">
        <v>90.681635240000006</v>
      </c>
      <c r="Z699" s="43">
        <f t="shared" si="142"/>
        <v>0</v>
      </c>
      <c r="AA699" s="43">
        <f t="shared" si="143"/>
        <v>167507</v>
      </c>
      <c r="AB699" s="43">
        <f t="shared" si="144"/>
        <v>52467</v>
      </c>
      <c r="AC699" s="43">
        <f t="shared" si="154"/>
        <v>2.7401368684900142E-2</v>
      </c>
      <c r="AD699" s="43">
        <f t="shared" si="155"/>
        <v>0.88062297462500005</v>
      </c>
      <c r="AF699" s="43">
        <v>12.894626875379123</v>
      </c>
      <c r="AG699" s="43">
        <v>2.6857217999999999E-2</v>
      </c>
      <c r="AH699" s="43">
        <v>1.3414842E-2</v>
      </c>
      <c r="AI699" s="43">
        <v>0.86232884399999998</v>
      </c>
      <c r="AJ699" s="43">
        <v>3.2853598719999999</v>
      </c>
      <c r="AK699" s="43">
        <v>8.5502480690000002</v>
      </c>
      <c r="AL699" s="43">
        <v>9.4402329999999993E-3</v>
      </c>
      <c r="AM699" s="230">
        <v>4.8235475037701404E-2</v>
      </c>
      <c r="AN699" s="43">
        <v>0.88991685799999998</v>
      </c>
    </row>
    <row r="700" spans="1:40" x14ac:dyDescent="0.25">
      <c r="A700" s="134">
        <v>690</v>
      </c>
      <c r="B700" s="134" t="s">
        <v>196</v>
      </c>
      <c r="C700" s="134" t="s">
        <v>61</v>
      </c>
      <c r="D700" s="134" t="s">
        <v>197</v>
      </c>
      <c r="E700" s="134">
        <v>546</v>
      </c>
      <c r="F700" s="134">
        <v>1572</v>
      </c>
      <c r="G700" s="134">
        <v>93</v>
      </c>
      <c r="H700" s="134">
        <v>139</v>
      </c>
      <c r="I700" s="200">
        <v>0.147668992917</v>
      </c>
      <c r="J700" s="134">
        <v>1711</v>
      </c>
      <c r="K700" s="134">
        <v>11586.724919099999</v>
      </c>
      <c r="L700" s="42">
        <v>0.86911393674100001</v>
      </c>
      <c r="M700" s="42">
        <v>0.202919708029</v>
      </c>
      <c r="N700" s="134">
        <v>0</v>
      </c>
      <c r="O700" s="43" t="s">
        <v>664</v>
      </c>
      <c r="P700" s="43">
        <f t="shared" si="145"/>
        <v>13.202091193391571</v>
      </c>
      <c r="Q700" s="43">
        <f t="shared" si="146"/>
        <v>3.1552741000000002E-2</v>
      </c>
      <c r="R700" s="43">
        <f t="shared" si="147"/>
        <v>1.5375361000000001E-2</v>
      </c>
      <c r="S700" s="43">
        <f t="shared" si="148"/>
        <v>0.86911393699999995</v>
      </c>
      <c r="T700" s="43">
        <f t="shared" si="149"/>
        <v>3.37698499</v>
      </c>
      <c r="U700" s="43">
        <f t="shared" si="150"/>
        <v>9.045893392</v>
      </c>
      <c r="V700" s="43">
        <f t="shared" si="151"/>
        <v>5.9731029999999996E-3</v>
      </c>
      <c r="W700" s="230">
        <f t="shared" si="152"/>
        <v>6.3322217743413109E-2</v>
      </c>
      <c r="X700" s="43">
        <f t="shared" si="153"/>
        <v>0.89547681000000001</v>
      </c>
      <c r="Y700" s="43">
        <v>56.4001333</v>
      </c>
      <c r="Z700" s="43">
        <f t="shared" si="142"/>
        <v>0</v>
      </c>
      <c r="AA700" s="43">
        <f t="shared" si="143"/>
        <v>167507</v>
      </c>
      <c r="AB700" s="43">
        <f t="shared" si="144"/>
        <v>52467</v>
      </c>
      <c r="AC700" s="43">
        <f t="shared" si="154"/>
        <v>2.7401368684900142E-2</v>
      </c>
      <c r="AD700" s="43">
        <f t="shared" si="155"/>
        <v>0.88062297462500005</v>
      </c>
      <c r="AF700" s="43">
        <v>13.202091193391571</v>
      </c>
      <c r="AG700" s="43">
        <v>3.1552741000000002E-2</v>
      </c>
      <c r="AH700" s="43">
        <v>1.5375361000000001E-2</v>
      </c>
      <c r="AI700" s="43">
        <v>0.86911393699999995</v>
      </c>
      <c r="AJ700" s="43">
        <v>3.37698499</v>
      </c>
      <c r="AK700" s="43">
        <v>9.045893392</v>
      </c>
      <c r="AL700" s="43">
        <v>5.9731029999999996E-3</v>
      </c>
      <c r="AM700" s="230">
        <v>6.3322217743413109E-2</v>
      </c>
      <c r="AN700" s="43">
        <v>0.89547681000000001</v>
      </c>
    </row>
    <row r="701" spans="1:40" x14ac:dyDescent="0.25">
      <c r="A701" s="134">
        <v>691</v>
      </c>
      <c r="B701" s="134" t="s">
        <v>196</v>
      </c>
      <c r="C701" s="134" t="s">
        <v>61</v>
      </c>
      <c r="D701" s="134" t="s">
        <v>197</v>
      </c>
      <c r="E701" s="134">
        <v>1252</v>
      </c>
      <c r="F701" s="134">
        <v>3603</v>
      </c>
      <c r="G701" s="134">
        <v>129</v>
      </c>
      <c r="H701" s="134">
        <v>1001</v>
      </c>
      <c r="I701" s="200">
        <v>0.20400130922500001</v>
      </c>
      <c r="J701" s="134">
        <v>4604</v>
      </c>
      <c r="K701" s="134">
        <v>22568.482611700001</v>
      </c>
      <c r="L701" s="42">
        <v>0.860228419869</v>
      </c>
      <c r="M701" s="42">
        <v>0.44429649356399997</v>
      </c>
      <c r="N701" s="134">
        <v>0</v>
      </c>
      <c r="O701" s="43" t="s">
        <v>664</v>
      </c>
      <c r="P701" s="43">
        <f t="shared" si="145"/>
        <v>12.788978903390763</v>
      </c>
      <c r="Q701" s="43">
        <f t="shared" si="146"/>
        <v>2.5539187000000001E-2</v>
      </c>
      <c r="R701" s="43">
        <f t="shared" si="147"/>
        <v>1.4995177E-2</v>
      </c>
      <c r="S701" s="43">
        <f t="shared" si="148"/>
        <v>0.86022841999999999</v>
      </c>
      <c r="T701" s="43">
        <f t="shared" si="149"/>
        <v>3.278933753</v>
      </c>
      <c r="U701" s="43">
        <f t="shared" si="150"/>
        <v>8.4903081369999995</v>
      </c>
      <c r="V701" s="43">
        <f t="shared" si="151"/>
        <v>1.0977008E-2</v>
      </c>
      <c r="W701" s="230">
        <f t="shared" si="152"/>
        <v>5.2187688908344278E-2</v>
      </c>
      <c r="X701" s="43">
        <f t="shared" si="153"/>
        <v>0.88521876899999996</v>
      </c>
      <c r="Y701" s="43">
        <v>35.508208410000002</v>
      </c>
      <c r="Z701" s="43">
        <f t="shared" si="142"/>
        <v>0</v>
      </c>
      <c r="AA701" s="43">
        <f t="shared" si="143"/>
        <v>167507</v>
      </c>
      <c r="AB701" s="43">
        <f t="shared" si="144"/>
        <v>52467</v>
      </c>
      <c r="AC701" s="43">
        <f t="shared" si="154"/>
        <v>2.7401368684900142E-2</v>
      </c>
      <c r="AD701" s="43">
        <f t="shared" si="155"/>
        <v>0.88062297462500005</v>
      </c>
      <c r="AF701" s="43">
        <v>12.788978903390763</v>
      </c>
      <c r="AG701" s="43">
        <v>2.5539187000000001E-2</v>
      </c>
      <c r="AH701" s="43">
        <v>1.4995177E-2</v>
      </c>
      <c r="AI701" s="43">
        <v>0.86022841999999999</v>
      </c>
      <c r="AJ701" s="43">
        <v>3.278933753</v>
      </c>
      <c r="AK701" s="43">
        <v>8.4903081369999995</v>
      </c>
      <c r="AL701" s="43">
        <v>1.0977008E-2</v>
      </c>
      <c r="AM701" s="230">
        <v>5.2187688908344278E-2</v>
      </c>
      <c r="AN701" s="43">
        <v>0.88521876899999996</v>
      </c>
    </row>
    <row r="702" spans="1:40" x14ac:dyDescent="0.25">
      <c r="A702" s="134">
        <v>692</v>
      </c>
      <c r="B702" s="134" t="s">
        <v>196</v>
      </c>
      <c r="C702" s="134" t="s">
        <v>61</v>
      </c>
      <c r="D702" s="134" t="s">
        <v>197</v>
      </c>
      <c r="E702" s="134">
        <v>1074</v>
      </c>
      <c r="F702" s="134">
        <v>3680</v>
      </c>
      <c r="G702" s="134">
        <v>146</v>
      </c>
      <c r="H702" s="134">
        <v>88</v>
      </c>
      <c r="I702" s="200">
        <v>0.22819387889500001</v>
      </c>
      <c r="J702" s="134">
        <v>3768</v>
      </c>
      <c r="K702" s="134">
        <v>16512.274642299999</v>
      </c>
      <c r="L702" s="42">
        <v>0.85306723655000005</v>
      </c>
      <c r="M702" s="42">
        <v>7.5731497418199997E-2</v>
      </c>
      <c r="N702" s="134">
        <v>0</v>
      </c>
      <c r="O702" s="43" t="s">
        <v>666</v>
      </c>
      <c r="P702" s="43">
        <f t="shared" si="145"/>
        <v>13.375864374780951</v>
      </c>
      <c r="Q702" s="43">
        <f t="shared" si="146"/>
        <v>3.0376923E-2</v>
      </c>
      <c r="R702" s="43">
        <f t="shared" si="147"/>
        <v>1.7666942000000001E-2</v>
      </c>
      <c r="S702" s="43">
        <f t="shared" si="148"/>
        <v>0.85306723699999998</v>
      </c>
      <c r="T702" s="43">
        <f t="shared" si="149"/>
        <v>3.0402729719999999</v>
      </c>
      <c r="U702" s="43">
        <f t="shared" si="150"/>
        <v>8.6404889469999997</v>
      </c>
      <c r="V702" s="43">
        <f t="shared" si="151"/>
        <v>4.5442019999999998E-3</v>
      </c>
      <c r="W702" s="230">
        <f t="shared" si="152"/>
        <v>7.9598024389698832E-2</v>
      </c>
      <c r="X702" s="43">
        <f t="shared" si="153"/>
        <v>0.88696857100000004</v>
      </c>
      <c r="Y702" s="43">
        <v>105.8321649</v>
      </c>
      <c r="Z702" s="43">
        <f t="shared" si="142"/>
        <v>0</v>
      </c>
      <c r="AA702" s="43">
        <f t="shared" si="143"/>
        <v>167507</v>
      </c>
      <c r="AB702" s="43">
        <f t="shared" si="144"/>
        <v>52467</v>
      </c>
      <c r="AC702" s="43">
        <f t="shared" si="154"/>
        <v>2.7401368684900142E-2</v>
      </c>
      <c r="AD702" s="43">
        <f t="shared" si="155"/>
        <v>0.88062297462500005</v>
      </c>
      <c r="AF702" s="43">
        <v>13.375864374780951</v>
      </c>
      <c r="AG702" s="43">
        <v>3.0376923E-2</v>
      </c>
      <c r="AH702" s="43">
        <v>1.7666942000000001E-2</v>
      </c>
      <c r="AI702" s="43">
        <v>0.85306723699999998</v>
      </c>
      <c r="AJ702" s="43">
        <v>3.0402729719999999</v>
      </c>
      <c r="AK702" s="43">
        <v>8.6404889469999997</v>
      </c>
      <c r="AL702" s="43">
        <v>4.5442019999999998E-3</v>
      </c>
      <c r="AM702" s="230">
        <v>7.9598024389698832E-2</v>
      </c>
      <c r="AN702" s="43">
        <v>0.88696857100000004</v>
      </c>
    </row>
    <row r="703" spans="1:40" x14ac:dyDescent="0.25">
      <c r="A703" s="134">
        <v>693</v>
      </c>
      <c r="B703" s="134" t="s">
        <v>196</v>
      </c>
      <c r="C703" s="134" t="s">
        <v>61</v>
      </c>
      <c r="D703" s="134" t="s">
        <v>197</v>
      </c>
      <c r="E703" s="134">
        <v>835</v>
      </c>
      <c r="F703" s="134">
        <v>2858</v>
      </c>
      <c r="G703" s="134">
        <v>121</v>
      </c>
      <c r="H703" s="134">
        <v>222</v>
      </c>
      <c r="I703" s="200">
        <v>0.188425850044</v>
      </c>
      <c r="J703" s="134">
        <v>3080</v>
      </c>
      <c r="K703" s="134">
        <v>16345.9525287</v>
      </c>
      <c r="L703" s="42">
        <v>0.84744838615899998</v>
      </c>
      <c r="M703" s="42">
        <v>0.210028382214</v>
      </c>
      <c r="N703" s="134">
        <v>1</v>
      </c>
      <c r="O703" s="43" t="s">
        <v>664</v>
      </c>
      <c r="P703" s="43">
        <f t="shared" si="145"/>
        <v>12.86616253365886</v>
      </c>
      <c r="Q703" s="43">
        <f t="shared" si="146"/>
        <v>3.0843107000000002E-2</v>
      </c>
      <c r="R703" s="43">
        <f t="shared" si="147"/>
        <v>1.7374237000000001E-2</v>
      </c>
      <c r="S703" s="43">
        <f t="shared" si="148"/>
        <v>0.84744838600000005</v>
      </c>
      <c r="T703" s="43">
        <f t="shared" si="149"/>
        <v>3.0298498810000001</v>
      </c>
      <c r="U703" s="43">
        <f t="shared" si="150"/>
        <v>8.1914160430000003</v>
      </c>
      <c r="V703" s="43">
        <f t="shared" si="151"/>
        <v>6.7666239999999997E-3</v>
      </c>
      <c r="W703" s="230">
        <f t="shared" si="152"/>
        <v>6.6546587479310679E-2</v>
      </c>
      <c r="X703" s="43">
        <f t="shared" si="153"/>
        <v>0.88616006199999997</v>
      </c>
      <c r="Y703" s="43">
        <v>110.02353340000001</v>
      </c>
      <c r="Z703" s="43">
        <f t="shared" si="142"/>
        <v>0</v>
      </c>
      <c r="AA703" s="43">
        <f t="shared" si="143"/>
        <v>167507</v>
      </c>
      <c r="AB703" s="43">
        <f t="shared" si="144"/>
        <v>52467</v>
      </c>
      <c r="AC703" s="43">
        <f t="shared" si="154"/>
        <v>2.7401368684900142E-2</v>
      </c>
      <c r="AD703" s="43">
        <f t="shared" si="155"/>
        <v>0.88062297462500005</v>
      </c>
      <c r="AF703" s="43">
        <v>12.86616253365886</v>
      </c>
      <c r="AG703" s="43">
        <v>3.0843107000000002E-2</v>
      </c>
      <c r="AH703" s="43">
        <v>1.7374237000000001E-2</v>
      </c>
      <c r="AI703" s="43">
        <v>0.84744838600000005</v>
      </c>
      <c r="AJ703" s="43">
        <v>3.0298498810000001</v>
      </c>
      <c r="AK703" s="43">
        <v>8.1914160430000003</v>
      </c>
      <c r="AL703" s="43">
        <v>6.7666239999999997E-3</v>
      </c>
      <c r="AM703" s="230">
        <v>6.6546587479310679E-2</v>
      </c>
      <c r="AN703" s="43">
        <v>0.88616006199999997</v>
      </c>
    </row>
    <row r="704" spans="1:40" x14ac:dyDescent="0.25">
      <c r="A704" s="134">
        <v>694</v>
      </c>
      <c r="B704" s="134" t="s">
        <v>196</v>
      </c>
      <c r="C704" s="134" t="s">
        <v>61</v>
      </c>
      <c r="D704" s="134" t="s">
        <v>197</v>
      </c>
      <c r="E704" s="134">
        <v>303</v>
      </c>
      <c r="F704" s="134">
        <v>823</v>
      </c>
      <c r="G704" s="134">
        <v>69</v>
      </c>
      <c r="H704" s="134">
        <v>403</v>
      </c>
      <c r="I704" s="200">
        <v>0.120047940871</v>
      </c>
      <c r="J704" s="134">
        <v>1226</v>
      </c>
      <c r="K704" s="134">
        <v>10212.5866642</v>
      </c>
      <c r="L704" s="42">
        <v>0.87757802518700001</v>
      </c>
      <c r="M704" s="42">
        <v>0.570821529745</v>
      </c>
      <c r="N704" s="134">
        <v>0</v>
      </c>
      <c r="O704" s="43" t="s">
        <v>666</v>
      </c>
      <c r="P704" s="43">
        <f t="shared" si="145"/>
        <v>12.806449868901362</v>
      </c>
      <c r="Q704" s="43">
        <f t="shared" si="146"/>
        <v>2.5853258E-2</v>
      </c>
      <c r="R704" s="43">
        <f t="shared" si="147"/>
        <v>1.2158545E-2</v>
      </c>
      <c r="S704" s="43">
        <f t="shared" si="148"/>
        <v>0.87757802500000004</v>
      </c>
      <c r="T704" s="43">
        <f t="shared" si="149"/>
        <v>3.126155383</v>
      </c>
      <c r="U704" s="43">
        <f t="shared" si="150"/>
        <v>7.6682410110000001</v>
      </c>
      <c r="V704" s="43">
        <f t="shared" si="151"/>
        <v>6.9623330000000002E-3</v>
      </c>
      <c r="W704" s="230">
        <f t="shared" si="152"/>
        <v>5.4962686017928378E-2</v>
      </c>
      <c r="X704" s="43">
        <f t="shared" si="153"/>
        <v>0.89462295999999997</v>
      </c>
      <c r="Y704" s="43">
        <v>85.221734929999997</v>
      </c>
      <c r="Z704" s="43">
        <f t="shared" si="142"/>
        <v>0</v>
      </c>
      <c r="AA704" s="43">
        <f t="shared" si="143"/>
        <v>167507</v>
      </c>
      <c r="AB704" s="43">
        <f t="shared" si="144"/>
        <v>52467</v>
      </c>
      <c r="AC704" s="43">
        <f t="shared" si="154"/>
        <v>2.7401368684900142E-2</v>
      </c>
      <c r="AD704" s="43">
        <f t="shared" si="155"/>
        <v>0.88062297462500005</v>
      </c>
      <c r="AF704" s="43">
        <v>12.806449868901362</v>
      </c>
      <c r="AG704" s="43">
        <v>2.5853258E-2</v>
      </c>
      <c r="AH704" s="43">
        <v>1.2158545E-2</v>
      </c>
      <c r="AI704" s="43">
        <v>0.87757802500000004</v>
      </c>
      <c r="AJ704" s="43">
        <v>3.126155383</v>
      </c>
      <c r="AK704" s="43">
        <v>7.6682410110000001</v>
      </c>
      <c r="AL704" s="43">
        <v>6.9623330000000002E-3</v>
      </c>
      <c r="AM704" s="230">
        <v>5.4962686017928378E-2</v>
      </c>
      <c r="AN704" s="43">
        <v>0.89462295999999997</v>
      </c>
    </row>
    <row r="705" spans="1:40" x14ac:dyDescent="0.25">
      <c r="A705" s="134">
        <v>695</v>
      </c>
      <c r="B705" s="134" t="s">
        <v>196</v>
      </c>
      <c r="C705" s="134" t="s">
        <v>61</v>
      </c>
      <c r="D705" s="134" t="s">
        <v>197</v>
      </c>
      <c r="E705" s="134">
        <v>343</v>
      </c>
      <c r="F705" s="134">
        <v>933</v>
      </c>
      <c r="G705" s="134">
        <v>41</v>
      </c>
      <c r="H705" s="134">
        <v>306</v>
      </c>
      <c r="I705" s="200">
        <v>7.1122112740400006E-2</v>
      </c>
      <c r="J705" s="134">
        <v>1239</v>
      </c>
      <c r="K705" s="134">
        <v>17420.742329799999</v>
      </c>
      <c r="L705" s="42">
        <v>0.86293809876500005</v>
      </c>
      <c r="M705" s="42">
        <v>0.47149460708800001</v>
      </c>
      <c r="N705" s="134">
        <v>0</v>
      </c>
      <c r="O705" s="43" t="s">
        <v>664</v>
      </c>
      <c r="P705" s="43">
        <f t="shared" si="145"/>
        <v>12.506098265752051</v>
      </c>
      <c r="Q705" s="43">
        <f t="shared" si="146"/>
        <v>2.9174161000000001E-2</v>
      </c>
      <c r="R705" s="43">
        <f t="shared" si="147"/>
        <v>1.3068303999999999E-2</v>
      </c>
      <c r="S705" s="43">
        <f t="shared" si="148"/>
        <v>0.86293809899999996</v>
      </c>
      <c r="T705" s="43">
        <f t="shared" si="149"/>
        <v>3.0730784290000002</v>
      </c>
      <c r="U705" s="43">
        <f t="shared" si="150"/>
        <v>7.4720430440000003</v>
      </c>
      <c r="V705" s="43">
        <f t="shared" si="151"/>
        <v>8.309851E-3</v>
      </c>
      <c r="W705" s="230">
        <f t="shared" si="152"/>
        <v>5.9980447409281733E-2</v>
      </c>
      <c r="X705" s="43">
        <f t="shared" si="153"/>
        <v>0.88064293500000002</v>
      </c>
      <c r="Y705" s="43">
        <v>84.709263910000004</v>
      </c>
      <c r="Z705" s="43">
        <f t="shared" si="142"/>
        <v>0</v>
      </c>
      <c r="AA705" s="43">
        <f t="shared" si="143"/>
        <v>167507</v>
      </c>
      <c r="AB705" s="43">
        <f t="shared" si="144"/>
        <v>52467</v>
      </c>
      <c r="AC705" s="43">
        <f t="shared" si="154"/>
        <v>2.7401368684900142E-2</v>
      </c>
      <c r="AD705" s="43">
        <f t="shared" si="155"/>
        <v>0.88062297462500005</v>
      </c>
      <c r="AF705" s="43">
        <v>12.506098265752051</v>
      </c>
      <c r="AG705" s="43">
        <v>2.9174161000000001E-2</v>
      </c>
      <c r="AH705" s="43">
        <v>1.3068303999999999E-2</v>
      </c>
      <c r="AI705" s="43">
        <v>0.86293809899999996</v>
      </c>
      <c r="AJ705" s="43">
        <v>3.0730784290000002</v>
      </c>
      <c r="AK705" s="43">
        <v>7.4720430440000003</v>
      </c>
      <c r="AL705" s="43">
        <v>8.309851E-3</v>
      </c>
      <c r="AM705" s="230">
        <v>5.9980447409281733E-2</v>
      </c>
      <c r="AN705" s="43">
        <v>0.88064293500000002</v>
      </c>
    </row>
    <row r="706" spans="1:40" x14ac:dyDescent="0.25">
      <c r="A706" s="134">
        <v>696</v>
      </c>
      <c r="B706" s="134" t="s">
        <v>196</v>
      </c>
      <c r="C706" s="134" t="s">
        <v>61</v>
      </c>
      <c r="D706" s="134" t="s">
        <v>197</v>
      </c>
      <c r="E706" s="134">
        <v>143</v>
      </c>
      <c r="F706" s="134">
        <v>387</v>
      </c>
      <c r="G706" s="134">
        <v>21</v>
      </c>
      <c r="H706" s="134">
        <v>169</v>
      </c>
      <c r="I706" s="200">
        <v>3.6264386197299998E-2</v>
      </c>
      <c r="J706" s="134">
        <v>556</v>
      </c>
      <c r="K706" s="134">
        <v>15331.846428499999</v>
      </c>
      <c r="L706" s="42">
        <v>0.85952524768600003</v>
      </c>
      <c r="M706" s="42">
        <v>0.54166666666700003</v>
      </c>
      <c r="N706" s="134">
        <v>1</v>
      </c>
      <c r="O706" s="43" t="s">
        <v>664</v>
      </c>
      <c r="P706" s="43">
        <f t="shared" si="145"/>
        <v>12.261757663580672</v>
      </c>
      <c r="Q706" s="43">
        <f t="shared" si="146"/>
        <v>2.7660328000000001E-2</v>
      </c>
      <c r="R706" s="43">
        <f t="shared" si="147"/>
        <v>1.2372164999999999E-2</v>
      </c>
      <c r="S706" s="43">
        <f t="shared" si="148"/>
        <v>0.85952524799999996</v>
      </c>
      <c r="T706" s="43">
        <f t="shared" si="149"/>
        <v>2.8995804199999999</v>
      </c>
      <c r="U706" s="43">
        <f t="shared" si="150"/>
        <v>6.8241918899999998</v>
      </c>
      <c r="V706" s="43">
        <f t="shared" si="151"/>
        <v>7.525454E-3</v>
      </c>
      <c r="W706" s="230">
        <f t="shared" si="152"/>
        <v>5.6798447236694243E-2</v>
      </c>
      <c r="X706" s="43">
        <f t="shared" si="153"/>
        <v>0.86277113800000005</v>
      </c>
      <c r="Y706" s="43">
        <v>85.068981500000007</v>
      </c>
      <c r="Z706" s="43">
        <f t="shared" si="142"/>
        <v>0</v>
      </c>
      <c r="AA706" s="43">
        <f t="shared" si="143"/>
        <v>167507</v>
      </c>
      <c r="AB706" s="43">
        <f t="shared" si="144"/>
        <v>52467</v>
      </c>
      <c r="AC706" s="43">
        <f t="shared" si="154"/>
        <v>2.7401368684900142E-2</v>
      </c>
      <c r="AD706" s="43">
        <f t="shared" si="155"/>
        <v>0.88062297462500005</v>
      </c>
      <c r="AF706" s="43">
        <v>12.261757663580672</v>
      </c>
      <c r="AG706" s="43">
        <v>2.7660328000000001E-2</v>
      </c>
      <c r="AH706" s="43">
        <v>1.2372164999999999E-2</v>
      </c>
      <c r="AI706" s="43">
        <v>0.85952524799999996</v>
      </c>
      <c r="AJ706" s="43">
        <v>2.8995804199999999</v>
      </c>
      <c r="AK706" s="43">
        <v>6.8241918899999998</v>
      </c>
      <c r="AL706" s="43">
        <v>7.525454E-3</v>
      </c>
      <c r="AM706" s="230">
        <v>5.6798447236694243E-2</v>
      </c>
      <c r="AN706" s="43">
        <v>0.86277113800000005</v>
      </c>
    </row>
    <row r="707" spans="1:40" x14ac:dyDescent="0.25">
      <c r="A707" s="134">
        <v>697</v>
      </c>
      <c r="B707" s="134" t="s">
        <v>196</v>
      </c>
      <c r="C707" s="134" t="s">
        <v>61</v>
      </c>
      <c r="D707" s="134" t="s">
        <v>197</v>
      </c>
      <c r="E707" s="134">
        <v>563</v>
      </c>
      <c r="F707" s="134">
        <v>1530</v>
      </c>
      <c r="G707" s="134">
        <v>203</v>
      </c>
      <c r="H707" s="134">
        <v>256</v>
      </c>
      <c r="I707" s="200">
        <v>0.35228005128000001</v>
      </c>
      <c r="J707" s="134">
        <v>1786</v>
      </c>
      <c r="K707" s="134">
        <v>5069.8300784000003</v>
      </c>
      <c r="L707" s="42">
        <v>0.88749124276400004</v>
      </c>
      <c r="M707" s="42">
        <v>0.31257631257599999</v>
      </c>
      <c r="N707" s="134">
        <v>0</v>
      </c>
      <c r="O707" s="43" t="s">
        <v>666</v>
      </c>
      <c r="P707" s="43">
        <f t="shared" si="145"/>
        <v>13.434733499946979</v>
      </c>
      <c r="Q707" s="43">
        <f t="shared" si="146"/>
        <v>2.9766701999999999E-2</v>
      </c>
      <c r="R707" s="43">
        <f t="shared" si="147"/>
        <v>1.300285E-2</v>
      </c>
      <c r="S707" s="43">
        <f t="shared" si="148"/>
        <v>0.88749124300000004</v>
      </c>
      <c r="T707" s="43">
        <f t="shared" si="149"/>
        <v>3.5613680059999999</v>
      </c>
      <c r="U707" s="43">
        <f t="shared" si="150"/>
        <v>9.0659784999999999</v>
      </c>
      <c r="V707" s="43">
        <f t="shared" si="151"/>
        <v>4.9657479999999999E-3</v>
      </c>
      <c r="W707" s="230">
        <f t="shared" si="152"/>
        <v>5.9030582229002766E-2</v>
      </c>
      <c r="X707" s="43">
        <f t="shared" si="153"/>
        <v>0.90922053700000005</v>
      </c>
      <c r="Y707" s="43">
        <v>56.553795819999998</v>
      </c>
      <c r="Z707" s="43">
        <f t="shared" si="142"/>
        <v>0</v>
      </c>
      <c r="AA707" s="43">
        <f t="shared" si="143"/>
        <v>167507</v>
      </c>
      <c r="AB707" s="43">
        <f t="shared" si="144"/>
        <v>52467</v>
      </c>
      <c r="AC707" s="43">
        <f t="shared" si="154"/>
        <v>2.7401368684900142E-2</v>
      </c>
      <c r="AD707" s="43">
        <f t="shared" si="155"/>
        <v>0.88062297462500005</v>
      </c>
      <c r="AF707" s="43">
        <v>13.434733499946979</v>
      </c>
      <c r="AG707" s="43">
        <v>2.9766701999999999E-2</v>
      </c>
      <c r="AH707" s="43">
        <v>1.300285E-2</v>
      </c>
      <c r="AI707" s="43">
        <v>0.88749124300000004</v>
      </c>
      <c r="AJ707" s="43">
        <v>3.5613680059999999</v>
      </c>
      <c r="AK707" s="43">
        <v>9.0659784999999999</v>
      </c>
      <c r="AL707" s="43">
        <v>4.9657479999999999E-3</v>
      </c>
      <c r="AM707" s="230">
        <v>5.9030582229002766E-2</v>
      </c>
      <c r="AN707" s="43">
        <v>0.90922053700000005</v>
      </c>
    </row>
    <row r="708" spans="1:40" x14ac:dyDescent="0.25">
      <c r="A708" s="134">
        <v>698</v>
      </c>
      <c r="B708" s="134" t="s">
        <v>196</v>
      </c>
      <c r="C708" s="134" t="s">
        <v>61</v>
      </c>
      <c r="D708" s="134" t="s">
        <v>197</v>
      </c>
      <c r="E708" s="134">
        <v>587</v>
      </c>
      <c r="F708" s="134">
        <v>1593</v>
      </c>
      <c r="G708" s="134">
        <v>56</v>
      </c>
      <c r="H708" s="134">
        <v>56</v>
      </c>
      <c r="I708" s="200">
        <v>9.8089839985300006E-2</v>
      </c>
      <c r="J708" s="134">
        <v>1649</v>
      </c>
      <c r="K708" s="134">
        <v>16811.119278499998</v>
      </c>
      <c r="L708" s="42">
        <v>0.87813602492800003</v>
      </c>
      <c r="M708" s="42">
        <v>8.70917573872E-2</v>
      </c>
      <c r="N708" s="134">
        <v>0</v>
      </c>
      <c r="O708" s="43" t="s">
        <v>666</v>
      </c>
      <c r="P708" s="43">
        <f t="shared" si="145"/>
        <v>13.925159112698619</v>
      </c>
      <c r="Q708" s="43">
        <f t="shared" si="146"/>
        <v>3.5080319999999998E-2</v>
      </c>
      <c r="R708" s="43">
        <f t="shared" si="147"/>
        <v>1.4438875E-2</v>
      </c>
      <c r="S708" s="43">
        <f t="shared" si="148"/>
        <v>0.87813602499999999</v>
      </c>
      <c r="T708" s="43">
        <f t="shared" si="149"/>
        <v>3.8272221590000002</v>
      </c>
      <c r="U708" s="43">
        <f t="shared" si="150"/>
        <v>9.5241347459999997</v>
      </c>
      <c r="V708" s="43">
        <f t="shared" si="151"/>
        <v>4.6406440000000002E-3</v>
      </c>
      <c r="W708" s="230">
        <f t="shared" si="152"/>
        <v>8.2342022013647417E-2</v>
      </c>
      <c r="X708" s="43">
        <f t="shared" si="153"/>
        <v>0.88981411300000002</v>
      </c>
      <c r="Y708" s="43">
        <v>55.897990710000002</v>
      </c>
      <c r="Z708" s="43">
        <f t="shared" si="142"/>
        <v>0</v>
      </c>
      <c r="AA708" s="43">
        <f t="shared" si="143"/>
        <v>167507</v>
      </c>
      <c r="AB708" s="43">
        <f t="shared" si="144"/>
        <v>52467</v>
      </c>
      <c r="AC708" s="43">
        <f t="shared" si="154"/>
        <v>2.7401368684900142E-2</v>
      </c>
      <c r="AD708" s="43">
        <f t="shared" si="155"/>
        <v>0.88062297462500005</v>
      </c>
      <c r="AF708" s="43">
        <v>13.925159112698619</v>
      </c>
      <c r="AG708" s="43">
        <v>3.5080319999999998E-2</v>
      </c>
      <c r="AH708" s="43">
        <v>1.4438875E-2</v>
      </c>
      <c r="AI708" s="43">
        <v>0.87813602499999999</v>
      </c>
      <c r="AJ708" s="43">
        <v>3.8272221590000002</v>
      </c>
      <c r="AK708" s="43">
        <v>9.5241347459999997</v>
      </c>
      <c r="AL708" s="43">
        <v>4.6406440000000002E-3</v>
      </c>
      <c r="AM708" s="230">
        <v>8.2342022013647417E-2</v>
      </c>
      <c r="AN708" s="43">
        <v>0.88981411300000002</v>
      </c>
    </row>
    <row r="709" spans="1:40" x14ac:dyDescent="0.25">
      <c r="A709" s="134">
        <v>699</v>
      </c>
      <c r="B709" s="134" t="s">
        <v>196</v>
      </c>
      <c r="C709" s="134" t="s">
        <v>61</v>
      </c>
      <c r="D709" s="134" t="s">
        <v>197</v>
      </c>
      <c r="E709" s="134">
        <v>55</v>
      </c>
      <c r="F709" s="134">
        <v>149</v>
      </c>
      <c r="G709" s="134">
        <v>48</v>
      </c>
      <c r="H709" s="134">
        <v>57</v>
      </c>
      <c r="I709" s="200">
        <v>8.3734509380100006E-2</v>
      </c>
      <c r="J709" s="134">
        <v>206</v>
      </c>
      <c r="K709" s="134">
        <v>2460.15652955</v>
      </c>
      <c r="L709" s="42">
        <v>0.87360194581200001</v>
      </c>
      <c r="M709" s="42">
        <v>0.50892857142900005</v>
      </c>
      <c r="N709" s="134">
        <v>0</v>
      </c>
      <c r="O709" s="43" t="s">
        <v>666</v>
      </c>
      <c r="P709" s="43">
        <f t="shared" si="145"/>
        <v>12.071097355776658</v>
      </c>
      <c r="Q709" s="43">
        <f t="shared" si="146"/>
        <v>2.0793875E-2</v>
      </c>
      <c r="R709" s="43">
        <f t="shared" si="147"/>
        <v>1.2161327E-2</v>
      </c>
      <c r="S709" s="43">
        <f t="shared" si="148"/>
        <v>0.87360194599999996</v>
      </c>
      <c r="T709" s="43">
        <f t="shared" si="149"/>
        <v>3.0662847790000001</v>
      </c>
      <c r="U709" s="43">
        <f t="shared" si="150"/>
        <v>7.1577529179999999</v>
      </c>
      <c r="V709" s="43">
        <f t="shared" si="151"/>
        <v>3.101309E-3</v>
      </c>
      <c r="W709" s="230">
        <f t="shared" si="152"/>
        <v>3.445899379738112E-2</v>
      </c>
      <c r="X709" s="43">
        <f t="shared" si="153"/>
        <v>0.87189869099999995</v>
      </c>
      <c r="Y709" s="43">
        <v>56.841613090000003</v>
      </c>
      <c r="Z709" s="43">
        <f t="shared" si="142"/>
        <v>0</v>
      </c>
      <c r="AA709" s="43">
        <f t="shared" si="143"/>
        <v>167507</v>
      </c>
      <c r="AB709" s="43">
        <f t="shared" si="144"/>
        <v>52467</v>
      </c>
      <c r="AC709" s="43">
        <f t="shared" si="154"/>
        <v>2.7401368684900142E-2</v>
      </c>
      <c r="AD709" s="43">
        <f t="shared" si="155"/>
        <v>0.88062297462500005</v>
      </c>
      <c r="AF709" s="43">
        <v>12.071097355776658</v>
      </c>
      <c r="AG709" s="43">
        <v>2.0793875E-2</v>
      </c>
      <c r="AH709" s="43">
        <v>1.2161327E-2</v>
      </c>
      <c r="AI709" s="43">
        <v>0.87360194599999996</v>
      </c>
      <c r="AJ709" s="43">
        <v>3.0662847790000001</v>
      </c>
      <c r="AK709" s="43">
        <v>7.1577529179999999</v>
      </c>
      <c r="AL709" s="43">
        <v>3.101309E-3</v>
      </c>
      <c r="AM709" s="230">
        <v>3.445899379738112E-2</v>
      </c>
      <c r="AN709" s="43">
        <v>0.87189869099999995</v>
      </c>
    </row>
    <row r="710" spans="1:40" x14ac:dyDescent="0.25">
      <c r="A710" s="134">
        <v>700</v>
      </c>
      <c r="B710" s="134" t="s">
        <v>196</v>
      </c>
      <c r="C710" s="134" t="s">
        <v>61</v>
      </c>
      <c r="D710" s="134" t="s">
        <v>197</v>
      </c>
      <c r="E710" s="134">
        <v>643</v>
      </c>
      <c r="F710" s="134">
        <v>1666</v>
      </c>
      <c r="G710" s="134">
        <v>96</v>
      </c>
      <c r="H710" s="134">
        <v>300</v>
      </c>
      <c r="I710" s="200">
        <v>0.15091330116900001</v>
      </c>
      <c r="J710" s="134">
        <v>1966</v>
      </c>
      <c r="K710" s="134">
        <v>13027.347389299999</v>
      </c>
      <c r="L710" s="42">
        <v>0.86497094242899997</v>
      </c>
      <c r="M710" s="42">
        <v>0.31813361611899998</v>
      </c>
      <c r="N710" s="134">
        <v>1</v>
      </c>
      <c r="O710" s="43" t="s">
        <v>664</v>
      </c>
      <c r="P710" s="43">
        <f t="shared" si="145"/>
        <v>13.045268451584587</v>
      </c>
      <c r="Q710" s="43">
        <f t="shared" si="146"/>
        <v>3.3180038000000002E-2</v>
      </c>
      <c r="R710" s="43">
        <f t="shared" si="147"/>
        <v>1.3544861E-2</v>
      </c>
      <c r="S710" s="43">
        <f t="shared" si="148"/>
        <v>0.86497094200000002</v>
      </c>
      <c r="T710" s="43">
        <f t="shared" si="149"/>
        <v>3.1601515760000001</v>
      </c>
      <c r="U710" s="43">
        <f t="shared" si="150"/>
        <v>8.5853375639999996</v>
      </c>
      <c r="V710" s="43">
        <f t="shared" si="151"/>
        <v>5.9948850000000001E-3</v>
      </c>
      <c r="W710" s="230">
        <f t="shared" si="152"/>
        <v>6.0700503240354559E-2</v>
      </c>
      <c r="X710" s="43">
        <f t="shared" si="153"/>
        <v>0.89361370600000001</v>
      </c>
      <c r="Y710" s="43">
        <v>59.37486062</v>
      </c>
      <c r="Z710" s="43">
        <f t="shared" si="142"/>
        <v>0</v>
      </c>
      <c r="AA710" s="43">
        <f t="shared" si="143"/>
        <v>167507</v>
      </c>
      <c r="AB710" s="43">
        <f t="shared" si="144"/>
        <v>52467</v>
      </c>
      <c r="AC710" s="43">
        <f t="shared" si="154"/>
        <v>2.7401368684900142E-2</v>
      </c>
      <c r="AD710" s="43">
        <f t="shared" si="155"/>
        <v>0.88062297462500005</v>
      </c>
      <c r="AF710" s="43">
        <v>13.045268451584587</v>
      </c>
      <c r="AG710" s="43">
        <v>3.3180038000000002E-2</v>
      </c>
      <c r="AH710" s="43">
        <v>1.3544861E-2</v>
      </c>
      <c r="AI710" s="43">
        <v>0.86497094200000002</v>
      </c>
      <c r="AJ710" s="43">
        <v>3.1601515760000001</v>
      </c>
      <c r="AK710" s="43">
        <v>8.5853375639999996</v>
      </c>
      <c r="AL710" s="43">
        <v>5.9948850000000001E-3</v>
      </c>
      <c r="AM710" s="230">
        <v>6.0700503240354559E-2</v>
      </c>
      <c r="AN710" s="43">
        <v>0.89361370600000001</v>
      </c>
    </row>
    <row r="711" spans="1:40" x14ac:dyDescent="0.25">
      <c r="A711" s="134">
        <v>701</v>
      </c>
      <c r="B711" s="134" t="s">
        <v>196</v>
      </c>
      <c r="C711" s="134" t="s">
        <v>61</v>
      </c>
      <c r="D711" s="134" t="s">
        <v>197</v>
      </c>
      <c r="E711" s="134">
        <v>483</v>
      </c>
      <c r="F711" s="134">
        <v>1252</v>
      </c>
      <c r="G711" s="134">
        <v>151</v>
      </c>
      <c r="H711" s="134">
        <v>226</v>
      </c>
      <c r="I711" s="200">
        <v>0.23658445216000001</v>
      </c>
      <c r="J711" s="134">
        <v>1478</v>
      </c>
      <c r="K711" s="134">
        <v>6247.2406217300004</v>
      </c>
      <c r="L711" s="42">
        <v>0.89558974505199995</v>
      </c>
      <c r="M711" s="42">
        <v>0.31875881523299998</v>
      </c>
      <c r="N711" s="134">
        <v>0</v>
      </c>
      <c r="O711" s="43" t="s">
        <v>666</v>
      </c>
      <c r="P711" s="43">
        <f t="shared" si="145"/>
        <v>13.75566259059995</v>
      </c>
      <c r="Q711" s="43">
        <f t="shared" si="146"/>
        <v>2.6778076000000001E-2</v>
      </c>
      <c r="R711" s="43">
        <f t="shared" si="147"/>
        <v>1.3135944E-2</v>
      </c>
      <c r="S711" s="43">
        <f t="shared" si="148"/>
        <v>0.89558974499999999</v>
      </c>
      <c r="T711" s="43">
        <f t="shared" si="149"/>
        <v>3.6328188460000002</v>
      </c>
      <c r="U711" s="43">
        <f t="shared" si="150"/>
        <v>9.7217581610000003</v>
      </c>
      <c r="V711" s="43">
        <f t="shared" si="151"/>
        <v>4.5029229999999998E-3</v>
      </c>
      <c r="W711" s="230">
        <f t="shared" si="152"/>
        <v>4.8684831685085882E-2</v>
      </c>
      <c r="X711" s="43">
        <f t="shared" si="153"/>
        <v>0.91748272099999995</v>
      </c>
      <c r="Y711" s="43">
        <v>52.50890184</v>
      </c>
      <c r="Z711" s="43">
        <f t="shared" si="142"/>
        <v>0</v>
      </c>
      <c r="AA711" s="43">
        <f t="shared" si="143"/>
        <v>167507</v>
      </c>
      <c r="AB711" s="43">
        <f t="shared" si="144"/>
        <v>52467</v>
      </c>
      <c r="AC711" s="43">
        <f t="shared" si="154"/>
        <v>2.7401368684900142E-2</v>
      </c>
      <c r="AD711" s="43">
        <f t="shared" si="155"/>
        <v>0.88062297462500005</v>
      </c>
      <c r="AF711" s="43">
        <v>13.75566259059995</v>
      </c>
      <c r="AG711" s="43">
        <v>2.6778076000000001E-2</v>
      </c>
      <c r="AH711" s="43">
        <v>1.3135944E-2</v>
      </c>
      <c r="AI711" s="43">
        <v>0.89558974499999999</v>
      </c>
      <c r="AJ711" s="43">
        <v>3.6328188460000002</v>
      </c>
      <c r="AK711" s="43">
        <v>9.7217581610000003</v>
      </c>
      <c r="AL711" s="43">
        <v>4.5029229999999998E-3</v>
      </c>
      <c r="AM711" s="230">
        <v>4.8684831685085882E-2</v>
      </c>
      <c r="AN711" s="43">
        <v>0.91748272099999995</v>
      </c>
    </row>
    <row r="712" spans="1:40" x14ac:dyDescent="0.25">
      <c r="A712" s="134">
        <v>702</v>
      </c>
      <c r="B712" s="134" t="s">
        <v>196</v>
      </c>
      <c r="C712" s="134" t="s">
        <v>61</v>
      </c>
      <c r="D712" s="134" t="s">
        <v>197</v>
      </c>
      <c r="E712" s="134">
        <v>1311</v>
      </c>
      <c r="F712" s="134">
        <v>3399</v>
      </c>
      <c r="G712" s="134">
        <v>339</v>
      </c>
      <c r="H712" s="134">
        <v>291</v>
      </c>
      <c r="I712" s="200">
        <v>0.53119248588699997</v>
      </c>
      <c r="J712" s="134">
        <v>3690</v>
      </c>
      <c r="K712" s="134">
        <v>6946.6344085000001</v>
      </c>
      <c r="L712" s="42">
        <v>0.82633937520599998</v>
      </c>
      <c r="M712" s="42">
        <v>0.18164794007499999</v>
      </c>
      <c r="N712" s="134">
        <v>0</v>
      </c>
      <c r="O712" s="43" t="s">
        <v>666</v>
      </c>
      <c r="P712" s="43">
        <f t="shared" si="145"/>
        <v>13.937458981297013</v>
      </c>
      <c r="Q712" s="43">
        <f t="shared" si="146"/>
        <v>3.0735306E-2</v>
      </c>
      <c r="R712" s="43">
        <f t="shared" si="147"/>
        <v>5.6871632999999998E-2</v>
      </c>
      <c r="S712" s="43">
        <f t="shared" si="148"/>
        <v>0.82633937499999999</v>
      </c>
      <c r="T712" s="43">
        <f t="shared" si="149"/>
        <v>3.0563990579999998</v>
      </c>
      <c r="U712" s="43">
        <f t="shared" si="150"/>
        <v>9.3334332280000005</v>
      </c>
      <c r="V712" s="43">
        <f t="shared" si="151"/>
        <v>3.5779929999999998E-3</v>
      </c>
      <c r="W712" s="230">
        <f t="shared" si="152"/>
        <v>5.9118701013946534E-2</v>
      </c>
      <c r="X712" s="43">
        <f t="shared" si="153"/>
        <v>0.91207190900000001</v>
      </c>
      <c r="Y712" s="43">
        <v>78.630568069999995</v>
      </c>
      <c r="Z712" s="43">
        <f t="shared" si="142"/>
        <v>0</v>
      </c>
      <c r="AA712" s="43">
        <f t="shared" si="143"/>
        <v>167507</v>
      </c>
      <c r="AB712" s="43">
        <f t="shared" si="144"/>
        <v>52467</v>
      </c>
      <c r="AC712" s="43">
        <f t="shared" si="154"/>
        <v>2.7401368684900142E-2</v>
      </c>
      <c r="AD712" s="43">
        <f t="shared" si="155"/>
        <v>0.88062297462500005</v>
      </c>
      <c r="AF712" s="43">
        <v>13.937458981297013</v>
      </c>
      <c r="AG712" s="43">
        <v>3.0735306E-2</v>
      </c>
      <c r="AH712" s="43">
        <v>5.6871632999999998E-2</v>
      </c>
      <c r="AI712" s="43">
        <v>0.82633937499999999</v>
      </c>
      <c r="AJ712" s="43">
        <v>3.0563990579999998</v>
      </c>
      <c r="AK712" s="43">
        <v>9.3334332280000005</v>
      </c>
      <c r="AL712" s="43">
        <v>3.5779929999999998E-3</v>
      </c>
      <c r="AM712" s="230">
        <v>5.9118701013946534E-2</v>
      </c>
      <c r="AN712" s="43">
        <v>0.91207190900000001</v>
      </c>
    </row>
    <row r="713" spans="1:40" x14ac:dyDescent="0.25">
      <c r="A713" s="134">
        <v>703</v>
      </c>
      <c r="B713" s="134" t="s">
        <v>196</v>
      </c>
      <c r="C713" s="134" t="s">
        <v>61</v>
      </c>
      <c r="D713" s="134" t="s">
        <v>197</v>
      </c>
      <c r="E713" s="134">
        <v>516</v>
      </c>
      <c r="F713" s="134">
        <v>1339</v>
      </c>
      <c r="G713" s="134">
        <v>182</v>
      </c>
      <c r="H713" s="134">
        <v>369</v>
      </c>
      <c r="I713" s="200">
        <v>0.28528095474499998</v>
      </c>
      <c r="J713" s="134">
        <v>1708</v>
      </c>
      <c r="K713" s="134">
        <v>5987.0803556700002</v>
      </c>
      <c r="L713" s="42">
        <v>0.89524179703899998</v>
      </c>
      <c r="M713" s="42">
        <v>0.41694915254199999</v>
      </c>
      <c r="N713" s="134">
        <v>0</v>
      </c>
      <c r="O713" s="43" t="s">
        <v>666</v>
      </c>
      <c r="P713" s="43">
        <f t="shared" si="145"/>
        <v>13.8126366123038</v>
      </c>
      <c r="Q713" s="43">
        <f t="shared" si="146"/>
        <v>2.9475594000000001E-2</v>
      </c>
      <c r="R713" s="43">
        <f t="shared" si="147"/>
        <v>1.2593528E-2</v>
      </c>
      <c r="S713" s="43">
        <f t="shared" si="148"/>
        <v>0.89524179699999995</v>
      </c>
      <c r="T713" s="43">
        <f t="shared" si="149"/>
        <v>3.691269127</v>
      </c>
      <c r="U713" s="43">
        <f t="shared" si="150"/>
        <v>9.8225393010000008</v>
      </c>
      <c r="V713" s="43">
        <f t="shared" si="151"/>
        <v>4.6671819999999998E-3</v>
      </c>
      <c r="W713" s="230">
        <f t="shared" si="152"/>
        <v>5.2379726192008924E-2</v>
      </c>
      <c r="X713" s="43">
        <f t="shared" si="153"/>
        <v>0.91461739799999997</v>
      </c>
      <c r="Y713" s="43">
        <v>85.206163840000002</v>
      </c>
      <c r="Z713" s="43">
        <f t="shared" si="142"/>
        <v>0</v>
      </c>
      <c r="AA713" s="43">
        <f t="shared" si="143"/>
        <v>167507</v>
      </c>
      <c r="AB713" s="43">
        <f t="shared" si="144"/>
        <v>52467</v>
      </c>
      <c r="AC713" s="43">
        <f t="shared" si="154"/>
        <v>2.7401368684900142E-2</v>
      </c>
      <c r="AD713" s="43">
        <f t="shared" si="155"/>
        <v>0.88062297462500005</v>
      </c>
      <c r="AF713" s="43">
        <v>13.8126366123038</v>
      </c>
      <c r="AG713" s="43">
        <v>2.9475594000000001E-2</v>
      </c>
      <c r="AH713" s="43">
        <v>1.2593528E-2</v>
      </c>
      <c r="AI713" s="43">
        <v>0.89524179699999995</v>
      </c>
      <c r="AJ713" s="43">
        <v>3.691269127</v>
      </c>
      <c r="AK713" s="43">
        <v>9.8225393010000008</v>
      </c>
      <c r="AL713" s="43">
        <v>4.6671819999999998E-3</v>
      </c>
      <c r="AM713" s="230">
        <v>5.2379726192008924E-2</v>
      </c>
      <c r="AN713" s="43">
        <v>0.91461739799999997</v>
      </c>
    </row>
    <row r="714" spans="1:40" x14ac:dyDescent="0.25">
      <c r="A714" s="134">
        <v>704</v>
      </c>
      <c r="B714" s="134" t="s">
        <v>196</v>
      </c>
      <c r="C714" s="134" t="s">
        <v>61</v>
      </c>
      <c r="D714" s="134" t="s">
        <v>197</v>
      </c>
      <c r="E714" s="134">
        <v>840</v>
      </c>
      <c r="F714" s="134">
        <v>2229</v>
      </c>
      <c r="G714" s="134">
        <v>862</v>
      </c>
      <c r="H714" s="134">
        <v>220</v>
      </c>
      <c r="I714" s="200">
        <v>1.3482579369500001</v>
      </c>
      <c r="J714" s="134">
        <v>2449</v>
      </c>
      <c r="K714" s="134">
        <v>1816.41801089</v>
      </c>
      <c r="L714" s="42">
        <v>0.94205387399899998</v>
      </c>
      <c r="M714" s="42">
        <v>0.20754716981099999</v>
      </c>
      <c r="N714" s="134">
        <v>0</v>
      </c>
      <c r="O714" s="43" t="s">
        <v>665</v>
      </c>
      <c r="P714" s="43">
        <f t="shared" si="145"/>
        <v>16.736142554545065</v>
      </c>
      <c r="Q714" s="43">
        <f t="shared" si="146"/>
        <v>2.2749322999999998E-2</v>
      </c>
      <c r="R714" s="43">
        <f t="shared" si="147"/>
        <v>1.0602670999999999E-2</v>
      </c>
      <c r="S714" s="43">
        <f t="shared" si="148"/>
        <v>0.94205387399999996</v>
      </c>
      <c r="T714" s="43">
        <f t="shared" si="149"/>
        <v>4.8497986700000002</v>
      </c>
      <c r="U714" s="43">
        <f t="shared" si="150"/>
        <v>14.28432317</v>
      </c>
      <c r="V714" s="43">
        <f t="shared" si="151"/>
        <v>1.9552900000000002E-3</v>
      </c>
      <c r="W714" s="230">
        <f t="shared" si="152"/>
        <v>5.651280820515716E-2</v>
      </c>
      <c r="X714" s="43">
        <f t="shared" si="153"/>
        <v>0.93244721799999997</v>
      </c>
      <c r="Y714" s="43">
        <v>30.789146339999999</v>
      </c>
      <c r="Z714" s="43">
        <f t="shared" si="142"/>
        <v>0</v>
      </c>
      <c r="AA714" s="43">
        <f t="shared" si="143"/>
        <v>167507</v>
      </c>
      <c r="AB714" s="43">
        <f t="shared" si="144"/>
        <v>52467</v>
      </c>
      <c r="AC714" s="43">
        <f t="shared" si="154"/>
        <v>2.7401368684900142E-2</v>
      </c>
      <c r="AD714" s="43">
        <f t="shared" si="155"/>
        <v>0.88062297462500005</v>
      </c>
      <c r="AF714" s="43">
        <v>16.736142554545065</v>
      </c>
      <c r="AG714" s="43">
        <v>2.2749322999999998E-2</v>
      </c>
      <c r="AH714" s="43">
        <v>1.0602670999999999E-2</v>
      </c>
      <c r="AI714" s="43">
        <v>0.94205387399999996</v>
      </c>
      <c r="AJ714" s="43">
        <v>4.8497986700000002</v>
      </c>
      <c r="AK714" s="43">
        <v>14.28432317</v>
      </c>
      <c r="AL714" s="43">
        <v>1.9552900000000002E-3</v>
      </c>
      <c r="AM714" s="230">
        <v>5.651280820515716E-2</v>
      </c>
      <c r="AN714" s="43">
        <v>0.93244721799999997</v>
      </c>
    </row>
    <row r="715" spans="1:40" x14ac:dyDescent="0.25">
      <c r="A715" s="134">
        <v>705</v>
      </c>
      <c r="B715" s="134" t="s">
        <v>196</v>
      </c>
      <c r="C715" s="134" t="s">
        <v>61</v>
      </c>
      <c r="D715" s="134" t="s">
        <v>197</v>
      </c>
      <c r="E715" s="134">
        <v>1658</v>
      </c>
      <c r="F715" s="134">
        <v>5572</v>
      </c>
      <c r="G715" s="134">
        <v>951</v>
      </c>
      <c r="H715" s="134">
        <v>99</v>
      </c>
      <c r="I715" s="200">
        <v>1.4066563621699999</v>
      </c>
      <c r="J715" s="134">
        <v>5671</v>
      </c>
      <c r="K715" s="134">
        <v>4031.54612064</v>
      </c>
      <c r="L715" s="42">
        <v>0.921733626857</v>
      </c>
      <c r="M715" s="42">
        <v>5.6346044393900001E-2</v>
      </c>
      <c r="N715" s="134">
        <v>0</v>
      </c>
      <c r="O715" s="43" t="s">
        <v>665</v>
      </c>
      <c r="P715" s="43">
        <f t="shared" si="145"/>
        <v>16.227495469299164</v>
      </c>
      <c r="Q715" s="43">
        <f t="shared" si="146"/>
        <v>3.6340121000000003E-2</v>
      </c>
      <c r="R715" s="43">
        <f t="shared" si="147"/>
        <v>1.1199779999999999E-2</v>
      </c>
      <c r="S715" s="43">
        <f t="shared" si="148"/>
        <v>0.92173362700000006</v>
      </c>
      <c r="T715" s="43">
        <f t="shared" si="149"/>
        <v>5.0432368690000002</v>
      </c>
      <c r="U715" s="43">
        <f t="shared" si="150"/>
        <v>13.499507550000001</v>
      </c>
      <c r="V715" s="43">
        <f t="shared" si="151"/>
        <v>1.391439E-3</v>
      </c>
      <c r="W715" s="230">
        <f t="shared" si="152"/>
        <v>7.9749236799385642E-2</v>
      </c>
      <c r="X715" s="43">
        <f t="shared" si="153"/>
        <v>0.91433904700000002</v>
      </c>
      <c r="Y715" s="43">
        <v>43.700451710000003</v>
      </c>
      <c r="Z715" s="43">
        <f t="shared" ref="Z715:Z778" si="156">IF(B715="Berkeley",1,0)</f>
        <v>0</v>
      </c>
      <c r="AA715" s="43">
        <f t="shared" ref="AA715:AA778" si="157">SUMIFS(F:F,B:B,B715)</f>
        <v>167507</v>
      </c>
      <c r="AB715" s="43">
        <f t="shared" ref="AB715:AB778" si="158">SUMIFS(E:E,B:B,B715)</f>
        <v>52467</v>
      </c>
      <c r="AC715" s="43">
        <f t="shared" si="154"/>
        <v>2.7401368684900142E-2</v>
      </c>
      <c r="AD715" s="43">
        <f t="shared" si="155"/>
        <v>0.88062297462500005</v>
      </c>
      <c r="AF715" s="43">
        <v>16.227495469299164</v>
      </c>
      <c r="AG715" s="43">
        <v>3.6340121000000003E-2</v>
      </c>
      <c r="AH715" s="43">
        <v>1.1199779999999999E-2</v>
      </c>
      <c r="AI715" s="43">
        <v>0.92173362700000006</v>
      </c>
      <c r="AJ715" s="43">
        <v>5.0432368690000002</v>
      </c>
      <c r="AK715" s="43">
        <v>13.499507550000001</v>
      </c>
      <c r="AL715" s="43">
        <v>1.391439E-3</v>
      </c>
      <c r="AM715" s="230">
        <v>7.9749236799385642E-2</v>
      </c>
      <c r="AN715" s="43">
        <v>0.91433904700000002</v>
      </c>
    </row>
    <row r="716" spans="1:40" x14ac:dyDescent="0.25">
      <c r="A716" s="134">
        <v>706</v>
      </c>
      <c r="B716" s="134" t="s">
        <v>196</v>
      </c>
      <c r="C716" s="134" t="s">
        <v>61</v>
      </c>
      <c r="D716" s="134" t="s">
        <v>197</v>
      </c>
      <c r="E716" s="134">
        <v>0</v>
      </c>
      <c r="F716" s="134">
        <v>0</v>
      </c>
      <c r="G716" s="134">
        <v>119</v>
      </c>
      <c r="H716" s="134">
        <v>981</v>
      </c>
      <c r="I716" s="200">
        <v>0.17533355283499999</v>
      </c>
      <c r="J716" s="134">
        <v>981</v>
      </c>
      <c r="K716" s="134">
        <v>5595.0500297099998</v>
      </c>
      <c r="L716" s="42">
        <v>0.84090082499499996</v>
      </c>
      <c r="M716" s="42">
        <v>1</v>
      </c>
      <c r="N716" s="134">
        <v>0</v>
      </c>
      <c r="O716" s="43" t="s">
        <v>666</v>
      </c>
      <c r="P716" s="43">
        <f t="shared" ref="P716:P779" si="159">IF(OR(IFERROR(AF716=0,TRUE),ISERROR(AF716)),AVERAGEIFS(AF:AF,$B:$B,$B716,AF:AF,"&gt;0"),AF716)</f>
        <v>14.79657127379355</v>
      </c>
      <c r="Q716" s="43">
        <f t="shared" ref="Q716:Q779" si="160">IF(OR(IFERROR(AG716=0,TRUE),ISERROR(AG716)),AVERAGEIFS(AG:AG,$B:$B,$B716,AG:AG,"&gt;0"),AG716)</f>
        <v>0.11805287</v>
      </c>
      <c r="R716" s="43">
        <f t="shared" ref="R716:R779" si="161">IF(OR(IFERROR(AH716=0,TRUE),ISERROR(AH716)),AVERAGEIFS(AH:AH,$B:$B,$B716,AH:AH,"&gt;0"),AH716)</f>
        <v>3.2425940000000001E-3</v>
      </c>
      <c r="S716" s="43">
        <f t="shared" ref="S716:S779" si="162">IF(OR(IFERROR(AI716=0,TRUE),ISERROR(AI716)),AVERAGEIFS(AI:AI,$B:$B,$B716,AI:AI,"&gt;0"),AI716)</f>
        <v>0.84090082499999996</v>
      </c>
      <c r="T716" s="43">
        <f t="shared" ref="T716:T779" si="163">IF(OR(IFERROR(AJ716=0,TRUE),ISERROR(AJ716)),AVERAGEIFS(AJ:AJ,$B:$B,$B716,AJ:AJ,"&gt;0"),AJ716)</f>
        <v>3.7624464469999999</v>
      </c>
      <c r="U716" s="43">
        <f t="shared" ref="U716:U779" si="164">IF(OR(IFERROR(AK716=0,TRUE),ISERROR(AK716)),AVERAGEIFS(AK:AK,$B:$B,$B716,AK:AK,"&gt;0"),AK716)</f>
        <v>8.4314136039999994</v>
      </c>
      <c r="V716" s="43">
        <f t="shared" ref="V716:V779" si="165">IF(OR(IFERROR(AL716=0,TRUE),ISERROR(AL716)),AVERAGEIFS(AL:AL,$B:$B,$B716,AL:AL,"&gt;0"),AL716)</f>
        <v>6.6368240000000004E-3</v>
      </c>
      <c r="W716" s="230">
        <f t="shared" ref="W716:W779" si="166">IF(OR(IFERROR(AM716=0,TRUE),ISERROR(AM716)),AVERAGEIFS(AM:AM,$B:$B,$B716,AM:AM,"&gt;0"),AM716)</f>
        <v>1.7629063758447257E-2</v>
      </c>
      <c r="X716" s="43">
        <f t="shared" ref="X716:X779" si="167">IF(OR(IFERROR(AN716=0,TRUE),ISERROR(AN716)),AVERAGEIFS(AN:AN,$B:$B,$B716,AN:AN,"&gt;0"),AN716)</f>
        <v>0.95050035399999999</v>
      </c>
      <c r="Y716" s="43">
        <v>47.881673579999998</v>
      </c>
      <c r="Z716" s="43">
        <f t="shared" si="156"/>
        <v>0</v>
      </c>
      <c r="AA716" s="43">
        <f t="shared" si="157"/>
        <v>167507</v>
      </c>
      <c r="AB716" s="43">
        <f t="shared" si="158"/>
        <v>52467</v>
      </c>
      <c r="AC716" s="43">
        <f t="shared" ref="AC716:AC779" si="168">AVERAGEIFS(Q:Q,B:B,B716,N:N,0,Q:Q,"&gt;0")</f>
        <v>2.7401368684900142E-2</v>
      </c>
      <c r="AD716" s="43">
        <f t="shared" ref="AD716:AD779" si="169">AVERAGEIFS(S:S,B:B,B716,N:N,0,S:S,"&gt;0")</f>
        <v>0.88062297462500005</v>
      </c>
      <c r="AF716" s="43">
        <v>14.79657127379355</v>
      </c>
      <c r="AG716" s="43">
        <v>0.11805287</v>
      </c>
      <c r="AH716" s="43">
        <v>3.2425940000000001E-3</v>
      </c>
      <c r="AI716" s="43">
        <v>0.84090082499999996</v>
      </c>
      <c r="AJ716" s="43">
        <v>3.7624464469999999</v>
      </c>
      <c r="AK716" s="43">
        <v>8.4314136039999994</v>
      </c>
      <c r="AL716" s="43">
        <v>6.6368240000000004E-3</v>
      </c>
      <c r="AM716" s="230">
        <v>1.7629063758447257E-2</v>
      </c>
      <c r="AN716" s="43">
        <v>0.95050035399999999</v>
      </c>
    </row>
    <row r="717" spans="1:40" x14ac:dyDescent="0.25">
      <c r="A717" s="134">
        <v>707</v>
      </c>
      <c r="B717" s="134" t="s">
        <v>196</v>
      </c>
      <c r="C717" s="134" t="s">
        <v>61</v>
      </c>
      <c r="D717" s="134" t="s">
        <v>197</v>
      </c>
      <c r="E717" s="134">
        <v>795</v>
      </c>
      <c r="F717" s="134">
        <v>2341</v>
      </c>
      <c r="G717" s="134">
        <v>3622</v>
      </c>
      <c r="H717" s="134">
        <v>138</v>
      </c>
      <c r="I717" s="200">
        <v>5.0983051777600004</v>
      </c>
      <c r="J717" s="134">
        <v>2479</v>
      </c>
      <c r="K717" s="134">
        <v>486.24001772399998</v>
      </c>
      <c r="L717" s="42">
        <v>0.93482366662000005</v>
      </c>
      <c r="M717" s="42">
        <v>0.147909967846</v>
      </c>
      <c r="N717" s="134">
        <v>0</v>
      </c>
      <c r="O717" s="43" t="s">
        <v>665</v>
      </c>
      <c r="P717" s="43">
        <f t="shared" si="159"/>
        <v>18.644295271698329</v>
      </c>
      <c r="Q717" s="43">
        <f t="shared" si="160"/>
        <v>2.3982558000000001E-2</v>
      </c>
      <c r="R717" s="43">
        <f t="shared" si="161"/>
        <v>9.2170310000000005E-3</v>
      </c>
      <c r="S717" s="43">
        <f t="shared" si="162"/>
        <v>0.93482366699999997</v>
      </c>
      <c r="T717" s="43">
        <f t="shared" si="163"/>
        <v>6.9193338840000003</v>
      </c>
      <c r="U717" s="43">
        <f t="shared" si="164"/>
        <v>17.145066270000001</v>
      </c>
      <c r="V717" s="43">
        <f t="shared" si="165"/>
        <v>7.6745399999999999E-4</v>
      </c>
      <c r="W717" s="230">
        <f t="shared" si="166"/>
        <v>5.1566690956448932E-2</v>
      </c>
      <c r="X717" s="43">
        <f t="shared" si="167"/>
        <v>0.94140219199999997</v>
      </c>
      <c r="Y717" s="43">
        <v>2.5968408539999999</v>
      </c>
      <c r="Z717" s="43">
        <f t="shared" si="156"/>
        <v>0</v>
      </c>
      <c r="AA717" s="43">
        <f t="shared" si="157"/>
        <v>167507</v>
      </c>
      <c r="AB717" s="43">
        <f t="shared" si="158"/>
        <v>52467</v>
      </c>
      <c r="AC717" s="43">
        <f t="shared" si="168"/>
        <v>2.7401368684900142E-2</v>
      </c>
      <c r="AD717" s="43">
        <f t="shared" si="169"/>
        <v>0.88062297462500005</v>
      </c>
      <c r="AF717" s="43">
        <v>18.644295271698329</v>
      </c>
      <c r="AG717" s="43">
        <v>2.3982558000000001E-2</v>
      </c>
      <c r="AH717" s="43">
        <v>9.2170310000000005E-3</v>
      </c>
      <c r="AI717" s="43">
        <v>0.93482366699999997</v>
      </c>
      <c r="AJ717" s="43">
        <v>6.9193338840000003</v>
      </c>
      <c r="AK717" s="43">
        <v>17.145066270000001</v>
      </c>
      <c r="AL717" s="43">
        <v>7.6745399999999999E-4</v>
      </c>
      <c r="AM717" s="230">
        <v>5.1566690956448932E-2</v>
      </c>
      <c r="AN717" s="43">
        <v>0.94140219199999997</v>
      </c>
    </row>
    <row r="718" spans="1:40" x14ac:dyDescent="0.25">
      <c r="A718" s="134">
        <v>708</v>
      </c>
      <c r="B718" s="134" t="s">
        <v>196</v>
      </c>
      <c r="C718" s="134" t="s">
        <v>61</v>
      </c>
      <c r="D718" s="134" t="s">
        <v>197</v>
      </c>
      <c r="E718" s="134">
        <v>614</v>
      </c>
      <c r="F718" s="134">
        <v>1808</v>
      </c>
      <c r="G718" s="134">
        <v>52</v>
      </c>
      <c r="H718" s="134">
        <v>61</v>
      </c>
      <c r="I718" s="200">
        <v>8.0814842315700006E-2</v>
      </c>
      <c r="J718" s="134">
        <v>1869</v>
      </c>
      <c r="K718" s="134">
        <v>23126.939884399999</v>
      </c>
      <c r="L718" s="42">
        <v>0.85737889795199995</v>
      </c>
      <c r="M718" s="42">
        <v>9.0370370370399994E-2</v>
      </c>
      <c r="N718" s="134">
        <v>1</v>
      </c>
      <c r="O718" s="43" t="s">
        <v>664</v>
      </c>
      <c r="P718" s="43">
        <f t="shared" si="159"/>
        <v>13.65589110361409</v>
      </c>
      <c r="Q718" s="43">
        <f t="shared" si="160"/>
        <v>5.4869289000000002E-2</v>
      </c>
      <c r="R718" s="43">
        <f t="shared" si="161"/>
        <v>1.3387302E-2</v>
      </c>
      <c r="S718" s="43">
        <f t="shared" si="162"/>
        <v>0.857378898</v>
      </c>
      <c r="T718" s="43">
        <f t="shared" si="163"/>
        <v>3.5023316339999999</v>
      </c>
      <c r="U718" s="43">
        <f t="shared" si="164"/>
        <v>9.7885084970000005</v>
      </c>
      <c r="V718" s="43">
        <f t="shared" si="165"/>
        <v>5.1510990000000001E-3</v>
      </c>
      <c r="W718" s="230">
        <f t="shared" si="166"/>
        <v>0.10500729739010987</v>
      </c>
      <c r="X718" s="43">
        <f t="shared" si="167"/>
        <v>0.86495535700000004</v>
      </c>
      <c r="Y718" s="43">
        <v>73.200762569999995</v>
      </c>
      <c r="Z718" s="43">
        <f t="shared" si="156"/>
        <v>0</v>
      </c>
      <c r="AA718" s="43">
        <f t="shared" si="157"/>
        <v>167507</v>
      </c>
      <c r="AB718" s="43">
        <f t="shared" si="158"/>
        <v>52467</v>
      </c>
      <c r="AC718" s="43">
        <f t="shared" si="168"/>
        <v>2.7401368684900142E-2</v>
      </c>
      <c r="AD718" s="43">
        <f t="shared" si="169"/>
        <v>0.88062297462500005</v>
      </c>
      <c r="AF718" s="43">
        <v>13.65589110361409</v>
      </c>
      <c r="AG718" s="43">
        <v>5.4869289000000002E-2</v>
      </c>
      <c r="AH718" s="43">
        <v>1.3387302E-2</v>
      </c>
      <c r="AI718" s="43">
        <v>0.857378898</v>
      </c>
      <c r="AJ718" s="43">
        <v>3.5023316339999999</v>
      </c>
      <c r="AK718" s="43">
        <v>9.7885084970000005</v>
      </c>
      <c r="AL718" s="43">
        <v>5.1510990000000001E-3</v>
      </c>
      <c r="AM718" s="230">
        <v>0.10500729739010987</v>
      </c>
      <c r="AN718" s="43">
        <v>0.86495535700000004</v>
      </c>
    </row>
    <row r="719" spans="1:40" x14ac:dyDescent="0.25">
      <c r="A719" s="134">
        <v>709</v>
      </c>
      <c r="B719" s="134" t="s">
        <v>196</v>
      </c>
      <c r="C719" s="134" t="s">
        <v>61</v>
      </c>
      <c r="D719" s="134" t="s">
        <v>197</v>
      </c>
      <c r="E719" s="134">
        <v>483</v>
      </c>
      <c r="F719" s="134">
        <v>1424</v>
      </c>
      <c r="G719" s="134">
        <v>69</v>
      </c>
      <c r="H719" s="134">
        <v>45</v>
      </c>
      <c r="I719" s="200">
        <v>0.108401668233</v>
      </c>
      <c r="J719" s="134">
        <v>1469</v>
      </c>
      <c r="K719" s="134">
        <v>13551.451965099999</v>
      </c>
      <c r="L719" s="42">
        <v>0.88114323356099999</v>
      </c>
      <c r="M719" s="42">
        <v>8.5227272727300005E-2</v>
      </c>
      <c r="N719" s="134">
        <v>1</v>
      </c>
      <c r="O719" s="43" t="s">
        <v>666</v>
      </c>
      <c r="P719" s="43">
        <f t="shared" si="159"/>
        <v>13.915058966707726</v>
      </c>
      <c r="Q719" s="43">
        <f t="shared" si="160"/>
        <v>4.0663764999999998E-2</v>
      </c>
      <c r="R719" s="43">
        <f t="shared" si="161"/>
        <v>1.2675044999999999E-2</v>
      </c>
      <c r="S719" s="43">
        <f t="shared" si="162"/>
        <v>0.88114323400000005</v>
      </c>
      <c r="T719" s="43">
        <f t="shared" si="163"/>
        <v>3.6494093630000002</v>
      </c>
      <c r="U719" s="43">
        <f t="shared" si="164"/>
        <v>10.128210470000001</v>
      </c>
      <c r="V719" s="43">
        <f t="shared" si="165"/>
        <v>3.67396E-3</v>
      </c>
      <c r="W719" s="230">
        <f t="shared" si="166"/>
        <v>7.8573574804009949E-2</v>
      </c>
      <c r="X719" s="43">
        <f t="shared" si="167"/>
        <v>0.895053129</v>
      </c>
      <c r="Y719" s="43">
        <v>72.158820210000002</v>
      </c>
      <c r="Z719" s="43">
        <f t="shared" si="156"/>
        <v>0</v>
      </c>
      <c r="AA719" s="43">
        <f t="shared" si="157"/>
        <v>167507</v>
      </c>
      <c r="AB719" s="43">
        <f t="shared" si="158"/>
        <v>52467</v>
      </c>
      <c r="AC719" s="43">
        <f t="shared" si="168"/>
        <v>2.7401368684900142E-2</v>
      </c>
      <c r="AD719" s="43">
        <f t="shared" si="169"/>
        <v>0.88062297462500005</v>
      </c>
      <c r="AF719" s="43">
        <v>13.915058966707726</v>
      </c>
      <c r="AG719" s="43">
        <v>4.0663764999999998E-2</v>
      </c>
      <c r="AH719" s="43">
        <v>1.2675044999999999E-2</v>
      </c>
      <c r="AI719" s="43">
        <v>0.88114323400000005</v>
      </c>
      <c r="AJ719" s="43">
        <v>3.6494093630000002</v>
      </c>
      <c r="AK719" s="43">
        <v>10.128210470000001</v>
      </c>
      <c r="AL719" s="43">
        <v>3.67396E-3</v>
      </c>
      <c r="AM719" s="230">
        <v>7.8573574804009949E-2</v>
      </c>
      <c r="AN719" s="43">
        <v>0.895053129</v>
      </c>
    </row>
    <row r="720" spans="1:40" x14ac:dyDescent="0.25">
      <c r="A720" s="134">
        <v>710</v>
      </c>
      <c r="B720" s="134" t="s">
        <v>196</v>
      </c>
      <c r="C720" s="134" t="s">
        <v>61</v>
      </c>
      <c r="D720" s="134" t="s">
        <v>197</v>
      </c>
      <c r="E720" s="134">
        <v>336</v>
      </c>
      <c r="F720" s="134">
        <v>988</v>
      </c>
      <c r="G720" s="134">
        <v>271</v>
      </c>
      <c r="H720" s="134">
        <v>33</v>
      </c>
      <c r="I720" s="200">
        <v>0.39569856840399997</v>
      </c>
      <c r="J720" s="134">
        <v>1021</v>
      </c>
      <c r="K720" s="134">
        <v>2580.2468887300001</v>
      </c>
      <c r="L720" s="42">
        <v>0.78421032696299997</v>
      </c>
      <c r="M720" s="42">
        <v>8.94308943089E-2</v>
      </c>
      <c r="N720" s="134">
        <v>1</v>
      </c>
      <c r="O720" s="43" t="s">
        <v>666</v>
      </c>
      <c r="P720" s="43">
        <f t="shared" si="159"/>
        <v>14.685433765904712</v>
      </c>
      <c r="Q720" s="43">
        <f t="shared" si="160"/>
        <v>4.3053561999999997E-2</v>
      </c>
      <c r="R720" s="43">
        <f t="shared" si="161"/>
        <v>0.10694791100000001</v>
      </c>
      <c r="S720" s="43">
        <f t="shared" si="162"/>
        <v>0.78421032700000004</v>
      </c>
      <c r="T720" s="43">
        <f t="shared" si="163"/>
        <v>3.4253610929999998</v>
      </c>
      <c r="U720" s="43">
        <f t="shared" si="164"/>
        <v>10.729242510000001</v>
      </c>
      <c r="V720" s="43">
        <f t="shared" si="165"/>
        <v>1.1713489999999999E-3</v>
      </c>
      <c r="W720" s="230">
        <f t="shared" si="166"/>
        <v>6.9851433926165982E-2</v>
      </c>
      <c r="X720" s="43">
        <f t="shared" si="167"/>
        <v>0.90433984700000003</v>
      </c>
      <c r="Y720" s="43">
        <v>19.255294540000001</v>
      </c>
      <c r="Z720" s="43">
        <f t="shared" si="156"/>
        <v>0</v>
      </c>
      <c r="AA720" s="43">
        <f t="shared" si="157"/>
        <v>167507</v>
      </c>
      <c r="AB720" s="43">
        <f t="shared" si="158"/>
        <v>52467</v>
      </c>
      <c r="AC720" s="43">
        <f t="shared" si="168"/>
        <v>2.7401368684900142E-2</v>
      </c>
      <c r="AD720" s="43">
        <f t="shared" si="169"/>
        <v>0.88062297462500005</v>
      </c>
      <c r="AF720" s="43">
        <v>14.685433765904712</v>
      </c>
      <c r="AG720" s="43">
        <v>4.3053561999999997E-2</v>
      </c>
      <c r="AH720" s="43">
        <v>0.10694791100000001</v>
      </c>
      <c r="AI720" s="43">
        <v>0.78421032700000004</v>
      </c>
      <c r="AJ720" s="43">
        <v>3.4253610929999998</v>
      </c>
      <c r="AK720" s="43">
        <v>10.729242510000001</v>
      </c>
      <c r="AL720" s="43">
        <v>1.1713489999999999E-3</v>
      </c>
      <c r="AM720" s="230">
        <v>6.9851433926165982E-2</v>
      </c>
      <c r="AN720" s="43">
        <v>0.90433984700000003</v>
      </c>
    </row>
    <row r="721" spans="1:40" x14ac:dyDescent="0.25">
      <c r="A721" s="134">
        <v>711</v>
      </c>
      <c r="B721" s="134" t="s">
        <v>196</v>
      </c>
      <c r="C721" s="134" t="s">
        <v>61</v>
      </c>
      <c r="D721" s="134" t="s">
        <v>197</v>
      </c>
      <c r="E721" s="134">
        <v>416</v>
      </c>
      <c r="F721" s="134">
        <v>1226</v>
      </c>
      <c r="G721" s="134">
        <v>487</v>
      </c>
      <c r="H721" s="134">
        <v>46</v>
      </c>
      <c r="I721" s="200">
        <v>0.79915209789899999</v>
      </c>
      <c r="J721" s="134">
        <v>1272</v>
      </c>
      <c r="K721" s="134">
        <v>1591.68699343</v>
      </c>
      <c r="L721" s="42">
        <v>0.892903119897</v>
      </c>
      <c r="M721" s="42">
        <v>9.9567099567099998E-2</v>
      </c>
      <c r="N721" s="134">
        <v>1</v>
      </c>
      <c r="O721" s="43" t="s">
        <v>665</v>
      </c>
      <c r="P721" s="43">
        <f t="shared" si="159"/>
        <v>14.071319225124235</v>
      </c>
      <c r="Q721" s="43">
        <f t="shared" si="160"/>
        <v>4.2011906000000002E-2</v>
      </c>
      <c r="R721" s="43">
        <f t="shared" si="161"/>
        <v>1.2182373E-2</v>
      </c>
      <c r="S721" s="43">
        <f t="shared" si="162"/>
        <v>0.89290312000000005</v>
      </c>
      <c r="T721" s="43">
        <f t="shared" si="163"/>
        <v>3.791991495</v>
      </c>
      <c r="U721" s="43">
        <f t="shared" si="164"/>
        <v>10.704529770000001</v>
      </c>
      <c r="V721" s="43">
        <f t="shared" si="165"/>
        <v>1.331558E-3</v>
      </c>
      <c r="W721" s="230">
        <f t="shared" si="166"/>
        <v>7.29537087804496E-2</v>
      </c>
      <c r="X721" s="43">
        <f t="shared" si="167"/>
        <v>0.90390851400000005</v>
      </c>
      <c r="Y721" s="43">
        <v>17.576546180000001</v>
      </c>
      <c r="Z721" s="43">
        <f t="shared" si="156"/>
        <v>0</v>
      </c>
      <c r="AA721" s="43">
        <f t="shared" si="157"/>
        <v>167507</v>
      </c>
      <c r="AB721" s="43">
        <f t="shared" si="158"/>
        <v>52467</v>
      </c>
      <c r="AC721" s="43">
        <f t="shared" si="168"/>
        <v>2.7401368684900142E-2</v>
      </c>
      <c r="AD721" s="43">
        <f t="shared" si="169"/>
        <v>0.88062297462500005</v>
      </c>
      <c r="AF721" s="43">
        <v>14.071319225124235</v>
      </c>
      <c r="AG721" s="43">
        <v>4.2011906000000002E-2</v>
      </c>
      <c r="AH721" s="43">
        <v>1.2182373E-2</v>
      </c>
      <c r="AI721" s="43">
        <v>0.89290312000000005</v>
      </c>
      <c r="AJ721" s="43">
        <v>3.791991495</v>
      </c>
      <c r="AK721" s="43">
        <v>10.704529770000001</v>
      </c>
      <c r="AL721" s="43">
        <v>1.331558E-3</v>
      </c>
      <c r="AM721" s="230">
        <v>7.29537087804496E-2</v>
      </c>
      <c r="AN721" s="43">
        <v>0.90390851400000005</v>
      </c>
    </row>
    <row r="722" spans="1:40" x14ac:dyDescent="0.25">
      <c r="A722" s="134">
        <v>712</v>
      </c>
      <c r="B722" s="134" t="s">
        <v>196</v>
      </c>
      <c r="C722" s="134" t="s">
        <v>61</v>
      </c>
      <c r="D722" s="134" t="s">
        <v>197</v>
      </c>
      <c r="E722" s="134">
        <v>991</v>
      </c>
      <c r="F722" s="134">
        <v>2919</v>
      </c>
      <c r="G722" s="134">
        <v>521</v>
      </c>
      <c r="H722" s="134">
        <v>142</v>
      </c>
      <c r="I722" s="200">
        <v>0.821833125108</v>
      </c>
      <c r="J722" s="134">
        <v>3061</v>
      </c>
      <c r="K722" s="134">
        <v>3724.60041641</v>
      </c>
      <c r="L722" s="42">
        <v>0.91890918130999999</v>
      </c>
      <c r="M722" s="42">
        <v>0.12533097970000001</v>
      </c>
      <c r="N722" s="134">
        <v>0</v>
      </c>
      <c r="O722" s="43" t="s">
        <v>665</v>
      </c>
      <c r="P722" s="43">
        <f t="shared" si="159"/>
        <v>15.038183245566573</v>
      </c>
      <c r="Q722" s="43">
        <f t="shared" si="160"/>
        <v>2.7347929999999999E-2</v>
      </c>
      <c r="R722" s="43">
        <f t="shared" si="161"/>
        <v>1.2094987E-2</v>
      </c>
      <c r="S722" s="43">
        <f t="shared" si="162"/>
        <v>0.91890918099999996</v>
      </c>
      <c r="T722" s="43">
        <f t="shared" si="163"/>
        <v>4.6748790470000001</v>
      </c>
      <c r="U722" s="43">
        <f t="shared" si="164"/>
        <v>12.401640540000001</v>
      </c>
      <c r="V722" s="43">
        <f t="shared" si="165"/>
        <v>2.3261150000000001E-3</v>
      </c>
      <c r="W722" s="230">
        <f t="shared" si="166"/>
        <v>5.1149037052143201E-2</v>
      </c>
      <c r="X722" s="43">
        <f t="shared" si="167"/>
        <v>0.93770472999999999</v>
      </c>
      <c r="Y722" s="43">
        <v>28.036351750000001</v>
      </c>
      <c r="Z722" s="43">
        <f t="shared" si="156"/>
        <v>0</v>
      </c>
      <c r="AA722" s="43">
        <f t="shared" si="157"/>
        <v>167507</v>
      </c>
      <c r="AB722" s="43">
        <f t="shared" si="158"/>
        <v>52467</v>
      </c>
      <c r="AC722" s="43">
        <f t="shared" si="168"/>
        <v>2.7401368684900142E-2</v>
      </c>
      <c r="AD722" s="43">
        <f t="shared" si="169"/>
        <v>0.88062297462500005</v>
      </c>
      <c r="AF722" s="43">
        <v>15.038183245566573</v>
      </c>
      <c r="AG722" s="43">
        <v>2.7347929999999999E-2</v>
      </c>
      <c r="AH722" s="43">
        <v>1.2094987E-2</v>
      </c>
      <c r="AI722" s="43">
        <v>0.91890918099999996</v>
      </c>
      <c r="AJ722" s="43">
        <v>4.6748790470000001</v>
      </c>
      <c r="AK722" s="43">
        <v>12.401640540000001</v>
      </c>
      <c r="AL722" s="43">
        <v>2.3261150000000001E-3</v>
      </c>
      <c r="AM722" s="230">
        <v>5.1149037052143201E-2</v>
      </c>
      <c r="AN722" s="43">
        <v>0.93770472999999999</v>
      </c>
    </row>
    <row r="723" spans="1:40" x14ac:dyDescent="0.25">
      <c r="A723" s="134">
        <v>713</v>
      </c>
      <c r="B723" s="134" t="s">
        <v>196</v>
      </c>
      <c r="C723" s="134" t="s">
        <v>61</v>
      </c>
      <c r="D723" s="134" t="s">
        <v>197</v>
      </c>
      <c r="E723" s="134">
        <v>318</v>
      </c>
      <c r="F723" s="134">
        <v>1125</v>
      </c>
      <c r="G723" s="134">
        <v>27</v>
      </c>
      <c r="H723" s="134">
        <v>33</v>
      </c>
      <c r="I723" s="200">
        <v>5.2968690528899999E-2</v>
      </c>
      <c r="J723" s="134">
        <v>1158</v>
      </c>
      <c r="K723" s="134">
        <v>21861.971448299999</v>
      </c>
      <c r="L723" s="42">
        <v>0.84776417740400001</v>
      </c>
      <c r="M723" s="42">
        <v>9.4017094017099997E-2</v>
      </c>
      <c r="N723" s="134">
        <v>1</v>
      </c>
      <c r="O723" s="43" t="s">
        <v>664</v>
      </c>
      <c r="P723" s="43">
        <f t="shared" si="159"/>
        <v>13.339852728954291</v>
      </c>
      <c r="Q723" s="43">
        <f t="shared" si="160"/>
        <v>6.0653605999999999E-2</v>
      </c>
      <c r="R723" s="43">
        <f t="shared" si="161"/>
        <v>1.5689983000000001E-2</v>
      </c>
      <c r="S723" s="43">
        <f t="shared" si="162"/>
        <v>0.84776417699999995</v>
      </c>
      <c r="T723" s="43">
        <f t="shared" si="163"/>
        <v>3.4527431210000001</v>
      </c>
      <c r="U723" s="43">
        <f t="shared" si="164"/>
        <v>9.4826711820000007</v>
      </c>
      <c r="V723" s="43">
        <f t="shared" si="165"/>
        <v>6.5634630000000003E-3</v>
      </c>
      <c r="W723" s="230">
        <f t="shared" si="166"/>
        <v>0.12371074838783751</v>
      </c>
      <c r="X723" s="43">
        <f t="shared" si="167"/>
        <v>0.83388507199999995</v>
      </c>
      <c r="Y723" s="43">
        <v>169.63058079999999</v>
      </c>
      <c r="Z723" s="43">
        <f t="shared" si="156"/>
        <v>0</v>
      </c>
      <c r="AA723" s="43">
        <f t="shared" si="157"/>
        <v>167507</v>
      </c>
      <c r="AB723" s="43">
        <f t="shared" si="158"/>
        <v>52467</v>
      </c>
      <c r="AC723" s="43">
        <f t="shared" si="168"/>
        <v>2.7401368684900142E-2</v>
      </c>
      <c r="AD723" s="43">
        <f t="shared" si="169"/>
        <v>0.88062297462500005</v>
      </c>
      <c r="AF723" s="43">
        <v>13.339852728954291</v>
      </c>
      <c r="AG723" s="43">
        <v>6.0653605999999999E-2</v>
      </c>
      <c r="AH723" s="43">
        <v>1.5689983000000001E-2</v>
      </c>
      <c r="AI723" s="43">
        <v>0.84776417699999995</v>
      </c>
      <c r="AJ723" s="43">
        <v>3.4527431210000001</v>
      </c>
      <c r="AK723" s="43">
        <v>9.4826711820000007</v>
      </c>
      <c r="AL723" s="43">
        <v>6.5634630000000003E-3</v>
      </c>
      <c r="AM723" s="230">
        <v>0.12371074838783751</v>
      </c>
      <c r="AN723" s="43">
        <v>0.83388507199999995</v>
      </c>
    </row>
    <row r="724" spans="1:40" x14ac:dyDescent="0.25">
      <c r="A724" s="134">
        <v>714</v>
      </c>
      <c r="B724" s="134" t="s">
        <v>196</v>
      </c>
      <c r="C724" s="134" t="s">
        <v>61</v>
      </c>
      <c r="D724" s="134" t="s">
        <v>197</v>
      </c>
      <c r="E724" s="134">
        <v>64</v>
      </c>
      <c r="F724" s="134">
        <v>227</v>
      </c>
      <c r="G724" s="134">
        <v>44</v>
      </c>
      <c r="H724" s="134">
        <v>83</v>
      </c>
      <c r="I724" s="200">
        <v>3.3863709787700001E-2</v>
      </c>
      <c r="J724" s="134">
        <v>310</v>
      </c>
      <c r="K724" s="134">
        <v>9154.3425673999991</v>
      </c>
      <c r="L724" s="42">
        <v>0.86523749357799995</v>
      </c>
      <c r="M724" s="42">
        <v>0.56462585034000001</v>
      </c>
      <c r="N724" s="134">
        <v>1</v>
      </c>
      <c r="O724" s="43" t="s">
        <v>666</v>
      </c>
      <c r="P724" s="43">
        <f t="shared" si="159"/>
        <v>12.105267311571687</v>
      </c>
      <c r="Q724" s="43">
        <f t="shared" si="160"/>
        <v>3.4877747000000001E-2</v>
      </c>
      <c r="R724" s="43">
        <f t="shared" si="161"/>
        <v>1.2579315000000001E-2</v>
      </c>
      <c r="S724" s="43">
        <f t="shared" si="162"/>
        <v>0.86523749400000005</v>
      </c>
      <c r="T724" s="43">
        <f t="shared" si="163"/>
        <v>3.1937812330000002</v>
      </c>
      <c r="U724" s="43">
        <f t="shared" si="164"/>
        <v>7.721031848</v>
      </c>
      <c r="V724" s="43">
        <f t="shared" si="165"/>
        <v>4.619069E-3</v>
      </c>
      <c r="W724" s="230">
        <f t="shared" si="166"/>
        <v>5.5485857664233577E-2</v>
      </c>
      <c r="X724" s="43">
        <f t="shared" si="167"/>
        <v>0.858462591</v>
      </c>
      <c r="Y724" s="43">
        <v>145.5894538</v>
      </c>
      <c r="Z724" s="43">
        <f t="shared" si="156"/>
        <v>0</v>
      </c>
      <c r="AA724" s="43">
        <f t="shared" si="157"/>
        <v>167507</v>
      </c>
      <c r="AB724" s="43">
        <f t="shared" si="158"/>
        <v>52467</v>
      </c>
      <c r="AC724" s="43">
        <f t="shared" si="168"/>
        <v>2.7401368684900142E-2</v>
      </c>
      <c r="AD724" s="43">
        <f t="shared" si="169"/>
        <v>0.88062297462500005</v>
      </c>
      <c r="AF724" s="43">
        <v>12.105267311571687</v>
      </c>
      <c r="AG724" s="43">
        <v>3.4877747000000001E-2</v>
      </c>
      <c r="AH724" s="43">
        <v>1.2579315000000001E-2</v>
      </c>
      <c r="AI724" s="43">
        <v>0.86523749400000005</v>
      </c>
      <c r="AJ724" s="43">
        <v>3.1937812330000002</v>
      </c>
      <c r="AK724" s="43">
        <v>7.721031848</v>
      </c>
      <c r="AL724" s="43">
        <v>4.619069E-3</v>
      </c>
      <c r="AM724" s="230">
        <v>5.5485857664233577E-2</v>
      </c>
      <c r="AN724" s="43">
        <v>0.858462591</v>
      </c>
    </row>
    <row r="725" spans="1:40" x14ac:dyDescent="0.25">
      <c r="A725" s="134">
        <v>715</v>
      </c>
      <c r="B725" s="134" t="s">
        <v>196</v>
      </c>
      <c r="C725" s="134" t="s">
        <v>61</v>
      </c>
      <c r="D725" s="134" t="s">
        <v>197</v>
      </c>
      <c r="E725" s="134">
        <v>209</v>
      </c>
      <c r="F725" s="134">
        <v>739</v>
      </c>
      <c r="G725" s="134">
        <v>60</v>
      </c>
      <c r="H725" s="134">
        <v>389</v>
      </c>
      <c r="I725" s="200">
        <v>0.119360429772</v>
      </c>
      <c r="J725" s="134">
        <v>1128</v>
      </c>
      <c r="K725" s="134">
        <v>9450.3681174600006</v>
      </c>
      <c r="L725" s="42">
        <v>0.87420432984800001</v>
      </c>
      <c r="M725" s="42">
        <v>0.65050167224099997</v>
      </c>
      <c r="N725" s="134">
        <v>0</v>
      </c>
      <c r="O725" s="43" t="s">
        <v>666</v>
      </c>
      <c r="P725" s="43">
        <f t="shared" si="159"/>
        <v>12.386286693199095</v>
      </c>
      <c r="Q725" s="43">
        <f t="shared" si="160"/>
        <v>2.7874320000000001E-2</v>
      </c>
      <c r="R725" s="43">
        <f t="shared" si="161"/>
        <v>1.2863991999999999E-2</v>
      </c>
      <c r="S725" s="43">
        <f t="shared" si="162"/>
        <v>0.87420432999999997</v>
      </c>
      <c r="T725" s="43">
        <f t="shared" si="163"/>
        <v>3.099877534</v>
      </c>
      <c r="U725" s="43">
        <f t="shared" si="164"/>
        <v>7.7192686439999996</v>
      </c>
      <c r="V725" s="43">
        <f t="shared" si="165"/>
        <v>8.0876430000000003E-3</v>
      </c>
      <c r="W725" s="230">
        <f t="shared" si="166"/>
        <v>5.969067182213629E-2</v>
      </c>
      <c r="X725" s="43">
        <f t="shared" si="167"/>
        <v>0.88583856900000002</v>
      </c>
      <c r="Y725" s="43">
        <v>78.250907190000007</v>
      </c>
      <c r="Z725" s="43">
        <f t="shared" si="156"/>
        <v>0</v>
      </c>
      <c r="AA725" s="43">
        <f t="shared" si="157"/>
        <v>167507</v>
      </c>
      <c r="AB725" s="43">
        <f t="shared" si="158"/>
        <v>52467</v>
      </c>
      <c r="AC725" s="43">
        <f t="shared" si="168"/>
        <v>2.7401368684900142E-2</v>
      </c>
      <c r="AD725" s="43">
        <f t="shared" si="169"/>
        <v>0.88062297462500005</v>
      </c>
      <c r="AF725" s="43">
        <v>12.386286693199095</v>
      </c>
      <c r="AG725" s="43">
        <v>2.7874320000000001E-2</v>
      </c>
      <c r="AH725" s="43">
        <v>1.2863991999999999E-2</v>
      </c>
      <c r="AI725" s="43">
        <v>0.87420432999999997</v>
      </c>
      <c r="AJ725" s="43">
        <v>3.099877534</v>
      </c>
      <c r="AK725" s="43">
        <v>7.7192686439999996</v>
      </c>
      <c r="AL725" s="43">
        <v>8.0876430000000003E-3</v>
      </c>
      <c r="AM725" s="230">
        <v>5.969067182213629E-2</v>
      </c>
      <c r="AN725" s="43">
        <v>0.88583856900000002</v>
      </c>
    </row>
    <row r="726" spans="1:40" x14ac:dyDescent="0.25">
      <c r="A726" s="134">
        <v>716</v>
      </c>
      <c r="B726" s="134" t="s">
        <v>196</v>
      </c>
      <c r="C726" s="134" t="s">
        <v>61</v>
      </c>
      <c r="D726" s="134" t="s">
        <v>197</v>
      </c>
      <c r="E726" s="134">
        <v>72</v>
      </c>
      <c r="F726" s="134">
        <v>257</v>
      </c>
      <c r="G726" s="134">
        <v>131</v>
      </c>
      <c r="H726" s="134">
        <v>17</v>
      </c>
      <c r="I726" s="200">
        <v>2.8405579648100001E-2</v>
      </c>
      <c r="J726" s="134">
        <v>274</v>
      </c>
      <c r="K726" s="134">
        <v>9645.9922098000006</v>
      </c>
      <c r="L726" s="42">
        <v>0.67766411050399999</v>
      </c>
      <c r="M726" s="42">
        <v>0.191011235955</v>
      </c>
      <c r="N726" s="134">
        <v>1</v>
      </c>
      <c r="O726" s="43" t="s">
        <v>666</v>
      </c>
      <c r="P726" s="43">
        <f t="shared" si="159"/>
        <v>12.014348387125906</v>
      </c>
      <c r="Q726" s="43">
        <f t="shared" si="160"/>
        <v>3.7499391999999999E-2</v>
      </c>
      <c r="R726" s="43">
        <f t="shared" si="161"/>
        <v>0.15453705400000001</v>
      </c>
      <c r="S726" s="43">
        <f t="shared" si="162"/>
        <v>0.67766411100000001</v>
      </c>
      <c r="T726" s="43">
        <f t="shared" si="163"/>
        <v>2.6972640870000002</v>
      </c>
      <c r="U726" s="43">
        <f t="shared" si="164"/>
        <v>7.3143332550000002</v>
      </c>
      <c r="V726" s="43">
        <f t="shared" si="165"/>
        <v>1.1847260000000001E-3</v>
      </c>
      <c r="W726" s="230">
        <f t="shared" si="166"/>
        <v>5.9327440080196844E-2</v>
      </c>
      <c r="X726" s="43">
        <f t="shared" si="167"/>
        <v>0.84926638099999996</v>
      </c>
      <c r="Y726" s="43">
        <v>135.1743683</v>
      </c>
      <c r="Z726" s="43">
        <f t="shared" si="156"/>
        <v>0</v>
      </c>
      <c r="AA726" s="43">
        <f t="shared" si="157"/>
        <v>167507</v>
      </c>
      <c r="AB726" s="43">
        <f t="shared" si="158"/>
        <v>52467</v>
      </c>
      <c r="AC726" s="43">
        <f t="shared" si="168"/>
        <v>2.7401368684900142E-2</v>
      </c>
      <c r="AD726" s="43">
        <f t="shared" si="169"/>
        <v>0.88062297462500005</v>
      </c>
      <c r="AF726" s="43">
        <v>12.014348387125906</v>
      </c>
      <c r="AG726" s="43">
        <v>3.7499391999999999E-2</v>
      </c>
      <c r="AH726" s="43">
        <v>0.15453705400000001</v>
      </c>
      <c r="AI726" s="43">
        <v>0.67766411100000001</v>
      </c>
      <c r="AJ726" s="43">
        <v>2.6972640870000002</v>
      </c>
      <c r="AK726" s="43">
        <v>7.3143332550000002</v>
      </c>
      <c r="AL726" s="43">
        <v>1.1847260000000001E-3</v>
      </c>
      <c r="AM726" s="230">
        <v>5.9327440080196844E-2</v>
      </c>
      <c r="AN726" s="43">
        <v>0.84926638099999996</v>
      </c>
    </row>
    <row r="727" spans="1:40" x14ac:dyDescent="0.25">
      <c r="A727" s="134">
        <v>717</v>
      </c>
      <c r="B727" s="134" t="s">
        <v>196</v>
      </c>
      <c r="C727" s="134" t="s">
        <v>61</v>
      </c>
      <c r="D727" s="134" t="s">
        <v>197</v>
      </c>
      <c r="E727" s="134">
        <v>579</v>
      </c>
      <c r="F727" s="134">
        <v>2060</v>
      </c>
      <c r="G727" s="134">
        <v>63</v>
      </c>
      <c r="H727" s="134">
        <v>194</v>
      </c>
      <c r="I727" s="200">
        <v>0.157342169989</v>
      </c>
      <c r="J727" s="134">
        <v>2254</v>
      </c>
      <c r="K727" s="134">
        <v>14325.466594</v>
      </c>
      <c r="L727" s="42">
        <v>0.82492842870000005</v>
      </c>
      <c r="M727" s="42">
        <v>0.25097024579600002</v>
      </c>
      <c r="N727" s="134">
        <v>0</v>
      </c>
      <c r="O727" s="43" t="s">
        <v>666</v>
      </c>
      <c r="P727" s="43">
        <f t="shared" si="159"/>
        <v>12.689714512419105</v>
      </c>
      <c r="Q727" s="43">
        <f t="shared" si="160"/>
        <v>3.3444754E-2</v>
      </c>
      <c r="R727" s="43">
        <f t="shared" si="161"/>
        <v>3.9109827E-2</v>
      </c>
      <c r="S727" s="43">
        <f t="shared" si="162"/>
        <v>0.82492842899999996</v>
      </c>
      <c r="T727" s="43">
        <f t="shared" si="163"/>
        <v>2.7088986899999998</v>
      </c>
      <c r="U727" s="43">
        <f t="shared" si="164"/>
        <v>8.7168304410000008</v>
      </c>
      <c r="V727" s="43">
        <f t="shared" si="165"/>
        <v>7.9684349999999994E-3</v>
      </c>
      <c r="W727" s="230">
        <f t="shared" si="166"/>
        <v>6.6680172488640652E-2</v>
      </c>
      <c r="X727" s="43">
        <f t="shared" si="167"/>
        <v>0.88407181199999996</v>
      </c>
      <c r="Y727" s="43">
        <v>135.21125789999999</v>
      </c>
      <c r="Z727" s="43">
        <f t="shared" si="156"/>
        <v>0</v>
      </c>
      <c r="AA727" s="43">
        <f t="shared" si="157"/>
        <v>167507</v>
      </c>
      <c r="AB727" s="43">
        <f t="shared" si="158"/>
        <v>52467</v>
      </c>
      <c r="AC727" s="43">
        <f t="shared" si="168"/>
        <v>2.7401368684900142E-2</v>
      </c>
      <c r="AD727" s="43">
        <f t="shared" si="169"/>
        <v>0.88062297462500005</v>
      </c>
      <c r="AF727" s="43">
        <v>12.689714512419105</v>
      </c>
      <c r="AG727" s="43">
        <v>3.3444754E-2</v>
      </c>
      <c r="AH727" s="43">
        <v>3.9109827E-2</v>
      </c>
      <c r="AI727" s="43">
        <v>0.82492842899999996</v>
      </c>
      <c r="AJ727" s="43">
        <v>2.7088986899999998</v>
      </c>
      <c r="AK727" s="43">
        <v>8.7168304410000008</v>
      </c>
      <c r="AL727" s="43">
        <v>7.9684349999999994E-3</v>
      </c>
      <c r="AM727" s="230">
        <v>6.6680172488640652E-2</v>
      </c>
      <c r="AN727" s="43">
        <v>0.88407181199999996</v>
      </c>
    </row>
    <row r="728" spans="1:40" x14ac:dyDescent="0.25">
      <c r="A728" s="134">
        <v>718</v>
      </c>
      <c r="B728" s="134" t="s">
        <v>196</v>
      </c>
      <c r="C728" s="134" t="s">
        <v>61</v>
      </c>
      <c r="D728" s="134" t="s">
        <v>197</v>
      </c>
      <c r="E728" s="134">
        <v>953</v>
      </c>
      <c r="F728" s="134">
        <v>3729</v>
      </c>
      <c r="G728" s="134">
        <v>138</v>
      </c>
      <c r="H728" s="134">
        <v>197</v>
      </c>
      <c r="I728" s="200">
        <v>0.148663248453</v>
      </c>
      <c r="J728" s="134">
        <v>3926</v>
      </c>
      <c r="K728" s="134">
        <v>26408.678949500001</v>
      </c>
      <c r="L728" s="42">
        <v>0.83250019759799998</v>
      </c>
      <c r="M728" s="42">
        <v>0.17130434782599999</v>
      </c>
      <c r="N728" s="134">
        <v>0</v>
      </c>
      <c r="O728" s="43" t="s">
        <v>664</v>
      </c>
      <c r="P728" s="43">
        <f t="shared" si="159"/>
        <v>13.260537623161872</v>
      </c>
      <c r="Q728" s="43">
        <f t="shared" si="160"/>
        <v>4.1766473999999998E-2</v>
      </c>
      <c r="R728" s="43">
        <f t="shared" si="161"/>
        <v>1.8356408000000001E-2</v>
      </c>
      <c r="S728" s="43">
        <f t="shared" si="162"/>
        <v>0.83250019799999997</v>
      </c>
      <c r="T728" s="43">
        <f t="shared" si="163"/>
        <v>3.156848112</v>
      </c>
      <c r="U728" s="43">
        <f t="shared" si="164"/>
        <v>9.1340194459999999</v>
      </c>
      <c r="V728" s="43">
        <f t="shared" si="165"/>
        <v>8.7827559999999992E-3</v>
      </c>
      <c r="W728" s="230">
        <f t="shared" si="166"/>
        <v>9.2209140595921391E-2</v>
      </c>
      <c r="X728" s="43">
        <f t="shared" si="167"/>
        <v>0.85542082100000005</v>
      </c>
      <c r="Y728" s="43">
        <v>61.1102931</v>
      </c>
      <c r="Z728" s="43">
        <f t="shared" si="156"/>
        <v>0</v>
      </c>
      <c r="AA728" s="43">
        <f t="shared" si="157"/>
        <v>167507</v>
      </c>
      <c r="AB728" s="43">
        <f t="shared" si="158"/>
        <v>52467</v>
      </c>
      <c r="AC728" s="43">
        <f t="shared" si="168"/>
        <v>2.7401368684900142E-2</v>
      </c>
      <c r="AD728" s="43">
        <f t="shared" si="169"/>
        <v>0.88062297462500005</v>
      </c>
      <c r="AF728" s="43">
        <v>13.260537623161872</v>
      </c>
      <c r="AG728" s="43">
        <v>4.1766473999999998E-2</v>
      </c>
      <c r="AH728" s="43">
        <v>1.8356408000000001E-2</v>
      </c>
      <c r="AI728" s="43">
        <v>0.83250019799999997</v>
      </c>
      <c r="AJ728" s="43">
        <v>3.156848112</v>
      </c>
      <c r="AK728" s="43">
        <v>9.1340194459999999</v>
      </c>
      <c r="AL728" s="43">
        <v>8.7827559999999992E-3</v>
      </c>
      <c r="AM728" s="230">
        <v>9.2209140595921391E-2</v>
      </c>
      <c r="AN728" s="43">
        <v>0.85542082100000005</v>
      </c>
    </row>
    <row r="729" spans="1:40" x14ac:dyDescent="0.25">
      <c r="A729" s="134">
        <v>719</v>
      </c>
      <c r="B729" s="134" t="s">
        <v>196</v>
      </c>
      <c r="C729" s="134" t="s">
        <v>61</v>
      </c>
      <c r="D729" s="134" t="s">
        <v>197</v>
      </c>
      <c r="E729" s="134">
        <v>455</v>
      </c>
      <c r="F729" s="134">
        <v>1652</v>
      </c>
      <c r="G729" s="134">
        <v>85</v>
      </c>
      <c r="H729" s="134">
        <v>156</v>
      </c>
      <c r="I729" s="200">
        <v>0.131490440402</v>
      </c>
      <c r="J729" s="134">
        <v>1808</v>
      </c>
      <c r="K729" s="134">
        <v>13750.049010999999</v>
      </c>
      <c r="L729" s="42">
        <v>0.85353145979199996</v>
      </c>
      <c r="M729" s="42">
        <v>0.255319148936</v>
      </c>
      <c r="N729" s="134">
        <v>0</v>
      </c>
      <c r="O729" s="43" t="s">
        <v>664</v>
      </c>
      <c r="P729" s="43">
        <f t="shared" si="159"/>
        <v>13.22054668584348</v>
      </c>
      <c r="Q729" s="43">
        <f t="shared" si="160"/>
        <v>3.5485335999999999E-2</v>
      </c>
      <c r="R729" s="43">
        <f t="shared" si="161"/>
        <v>1.6197224999999999E-2</v>
      </c>
      <c r="S729" s="43">
        <f t="shared" si="162"/>
        <v>0.85353146000000002</v>
      </c>
      <c r="T729" s="43">
        <f t="shared" si="163"/>
        <v>3.1348108109999999</v>
      </c>
      <c r="U729" s="43">
        <f t="shared" si="164"/>
        <v>9.1093622720000003</v>
      </c>
      <c r="V729" s="43">
        <f t="shared" si="165"/>
        <v>6.7137569999999999E-3</v>
      </c>
      <c r="W729" s="230">
        <f t="shared" si="166"/>
        <v>7.5438950554994971E-2</v>
      </c>
      <c r="X729" s="43">
        <f t="shared" si="167"/>
        <v>0.87647494100000001</v>
      </c>
      <c r="Y729" s="43">
        <v>120.00108640000001</v>
      </c>
      <c r="Z729" s="43">
        <f t="shared" si="156"/>
        <v>0</v>
      </c>
      <c r="AA729" s="43">
        <f t="shared" si="157"/>
        <v>167507</v>
      </c>
      <c r="AB729" s="43">
        <f t="shared" si="158"/>
        <v>52467</v>
      </c>
      <c r="AC729" s="43">
        <f t="shared" si="168"/>
        <v>2.7401368684900142E-2</v>
      </c>
      <c r="AD729" s="43">
        <f t="shared" si="169"/>
        <v>0.88062297462500005</v>
      </c>
      <c r="AF729" s="43">
        <v>13.22054668584348</v>
      </c>
      <c r="AG729" s="43">
        <v>3.5485335999999999E-2</v>
      </c>
      <c r="AH729" s="43">
        <v>1.6197224999999999E-2</v>
      </c>
      <c r="AI729" s="43">
        <v>0.85353146000000002</v>
      </c>
      <c r="AJ729" s="43">
        <v>3.1348108109999999</v>
      </c>
      <c r="AK729" s="43">
        <v>9.1093622720000003</v>
      </c>
      <c r="AL729" s="43">
        <v>6.7137569999999999E-3</v>
      </c>
      <c r="AM729" s="230">
        <v>7.5438950554994971E-2</v>
      </c>
      <c r="AN729" s="43">
        <v>0.87647494100000001</v>
      </c>
    </row>
    <row r="730" spans="1:40" x14ac:dyDescent="0.25">
      <c r="A730" s="134">
        <v>720</v>
      </c>
      <c r="B730" s="134" t="s">
        <v>196</v>
      </c>
      <c r="C730" s="134" t="s">
        <v>61</v>
      </c>
      <c r="D730" s="134" t="s">
        <v>197</v>
      </c>
      <c r="E730" s="134">
        <v>489</v>
      </c>
      <c r="F730" s="134">
        <v>1779</v>
      </c>
      <c r="G730" s="134">
        <v>117</v>
      </c>
      <c r="H730" s="134">
        <v>250</v>
      </c>
      <c r="I730" s="200">
        <v>0.17958513596600001</v>
      </c>
      <c r="J730" s="134">
        <v>2029</v>
      </c>
      <c r="K730" s="134">
        <v>11298.262459699999</v>
      </c>
      <c r="L730" s="42">
        <v>0.87591958783000001</v>
      </c>
      <c r="M730" s="42">
        <v>0.33829499323399997</v>
      </c>
      <c r="N730" s="134">
        <v>0</v>
      </c>
      <c r="O730" s="43" t="s">
        <v>666</v>
      </c>
      <c r="P730" s="43">
        <f t="shared" si="159"/>
        <v>13.458518327808306</v>
      </c>
      <c r="Q730" s="43">
        <f t="shared" si="160"/>
        <v>3.1999829E-2</v>
      </c>
      <c r="R730" s="43">
        <f t="shared" si="161"/>
        <v>1.5949672000000002E-2</v>
      </c>
      <c r="S730" s="43">
        <f t="shared" si="162"/>
        <v>0.87591958800000003</v>
      </c>
      <c r="T730" s="43">
        <f t="shared" si="163"/>
        <v>3.5512478569999999</v>
      </c>
      <c r="U730" s="43">
        <f t="shared" si="164"/>
        <v>9.9013019349999993</v>
      </c>
      <c r="V730" s="43">
        <f t="shared" si="165"/>
        <v>6.7153910000000002E-3</v>
      </c>
      <c r="W730" s="230">
        <f t="shared" si="166"/>
        <v>6.5116903757261008E-2</v>
      </c>
      <c r="X730" s="43">
        <f t="shared" si="167"/>
        <v>0.89584429200000004</v>
      </c>
      <c r="Y730" s="43">
        <v>129.4006311</v>
      </c>
      <c r="Z730" s="43">
        <f t="shared" si="156"/>
        <v>0</v>
      </c>
      <c r="AA730" s="43">
        <f t="shared" si="157"/>
        <v>167507</v>
      </c>
      <c r="AB730" s="43">
        <f t="shared" si="158"/>
        <v>52467</v>
      </c>
      <c r="AC730" s="43">
        <f t="shared" si="168"/>
        <v>2.7401368684900142E-2</v>
      </c>
      <c r="AD730" s="43">
        <f t="shared" si="169"/>
        <v>0.88062297462500005</v>
      </c>
      <c r="AF730" s="43">
        <v>13.458518327808306</v>
      </c>
      <c r="AG730" s="43">
        <v>3.1999829E-2</v>
      </c>
      <c r="AH730" s="43">
        <v>1.5949672000000002E-2</v>
      </c>
      <c r="AI730" s="43">
        <v>0.87591958800000003</v>
      </c>
      <c r="AJ730" s="43">
        <v>3.5512478569999999</v>
      </c>
      <c r="AK730" s="43">
        <v>9.9013019349999993</v>
      </c>
      <c r="AL730" s="43">
        <v>6.7153910000000002E-3</v>
      </c>
      <c r="AM730" s="230">
        <v>6.5116903757261008E-2</v>
      </c>
      <c r="AN730" s="43">
        <v>0.89584429200000004</v>
      </c>
    </row>
    <row r="731" spans="1:40" x14ac:dyDescent="0.25">
      <c r="A731" s="134">
        <v>721</v>
      </c>
      <c r="B731" s="134" t="s">
        <v>196</v>
      </c>
      <c r="C731" s="134" t="s">
        <v>61</v>
      </c>
      <c r="D731" s="134" t="s">
        <v>197</v>
      </c>
      <c r="E731" s="134">
        <v>1163</v>
      </c>
      <c r="F731" s="134">
        <v>4708</v>
      </c>
      <c r="G731" s="134">
        <v>156</v>
      </c>
      <c r="H731" s="134">
        <v>321</v>
      </c>
      <c r="I731" s="200">
        <v>0.244081645461</v>
      </c>
      <c r="J731" s="134">
        <v>5029</v>
      </c>
      <c r="K731" s="134">
        <v>20603.761460599999</v>
      </c>
      <c r="L731" s="42">
        <v>0.83800902363999996</v>
      </c>
      <c r="M731" s="42">
        <v>0.21630727762800001</v>
      </c>
      <c r="N731" s="134">
        <v>0</v>
      </c>
      <c r="O731" s="43" t="s">
        <v>664</v>
      </c>
      <c r="P731" s="43">
        <f t="shared" si="159"/>
        <v>13.111621300719984</v>
      </c>
      <c r="Q731" s="43">
        <f t="shared" si="160"/>
        <v>4.1553847999999997E-2</v>
      </c>
      <c r="R731" s="43">
        <f t="shared" si="161"/>
        <v>1.8470822000000001E-2</v>
      </c>
      <c r="S731" s="43">
        <f t="shared" si="162"/>
        <v>0.83800902399999999</v>
      </c>
      <c r="T731" s="43">
        <f t="shared" si="163"/>
        <v>3.3195297090000002</v>
      </c>
      <c r="U731" s="43">
        <f t="shared" si="164"/>
        <v>9.3642271719999997</v>
      </c>
      <c r="V731" s="43">
        <f t="shared" si="165"/>
        <v>9.9188019999999991E-3</v>
      </c>
      <c r="W731" s="230">
        <f t="shared" si="166"/>
        <v>9.5519419111492768E-2</v>
      </c>
      <c r="X731" s="43">
        <f t="shared" si="167"/>
        <v>0.85078861299999997</v>
      </c>
      <c r="Y731" s="43">
        <v>77.507125029999997</v>
      </c>
      <c r="Z731" s="43">
        <f t="shared" si="156"/>
        <v>0</v>
      </c>
      <c r="AA731" s="43">
        <f t="shared" si="157"/>
        <v>167507</v>
      </c>
      <c r="AB731" s="43">
        <f t="shared" si="158"/>
        <v>52467</v>
      </c>
      <c r="AC731" s="43">
        <f t="shared" si="168"/>
        <v>2.7401368684900142E-2</v>
      </c>
      <c r="AD731" s="43">
        <f t="shared" si="169"/>
        <v>0.88062297462500005</v>
      </c>
      <c r="AF731" s="43">
        <v>13.111621300719984</v>
      </c>
      <c r="AG731" s="43">
        <v>4.1553847999999997E-2</v>
      </c>
      <c r="AH731" s="43">
        <v>1.8470822000000001E-2</v>
      </c>
      <c r="AI731" s="43">
        <v>0.83800902399999999</v>
      </c>
      <c r="AJ731" s="43">
        <v>3.3195297090000002</v>
      </c>
      <c r="AK731" s="43">
        <v>9.3642271719999997</v>
      </c>
      <c r="AL731" s="43">
        <v>9.9188019999999991E-3</v>
      </c>
      <c r="AM731" s="230">
        <v>9.5519419111492768E-2</v>
      </c>
      <c r="AN731" s="43">
        <v>0.85078861299999997</v>
      </c>
    </row>
    <row r="732" spans="1:40" x14ac:dyDescent="0.25">
      <c r="A732" s="134">
        <v>722</v>
      </c>
      <c r="B732" s="134" t="s">
        <v>196</v>
      </c>
      <c r="C732" s="134" t="s">
        <v>61</v>
      </c>
      <c r="D732" s="134" t="s">
        <v>197</v>
      </c>
      <c r="E732" s="134">
        <v>937</v>
      </c>
      <c r="F732" s="134">
        <v>3476</v>
      </c>
      <c r="G732" s="134">
        <v>201</v>
      </c>
      <c r="H732" s="134">
        <v>240</v>
      </c>
      <c r="I732" s="200">
        <v>0.32952968110000003</v>
      </c>
      <c r="J732" s="134">
        <v>3716</v>
      </c>
      <c r="K732" s="134">
        <v>11276.677680700001</v>
      </c>
      <c r="L732" s="42">
        <v>0.89455422863300005</v>
      </c>
      <c r="M732" s="42">
        <v>0.20390824129099999</v>
      </c>
      <c r="N732" s="134">
        <v>0</v>
      </c>
      <c r="O732" s="43" t="s">
        <v>664</v>
      </c>
      <c r="P732" s="43">
        <f t="shared" si="159"/>
        <v>13.972973640845415</v>
      </c>
      <c r="Q732" s="43">
        <f t="shared" si="160"/>
        <v>3.1773688000000001E-2</v>
      </c>
      <c r="R732" s="43">
        <f t="shared" si="161"/>
        <v>1.5288224E-2</v>
      </c>
      <c r="S732" s="43">
        <f t="shared" si="162"/>
        <v>0.89455422900000003</v>
      </c>
      <c r="T732" s="43">
        <f t="shared" si="163"/>
        <v>3.9060094969999999</v>
      </c>
      <c r="U732" s="43">
        <f t="shared" si="164"/>
        <v>10.74442181</v>
      </c>
      <c r="V732" s="43">
        <f t="shared" si="165"/>
        <v>4.4174349999999999E-3</v>
      </c>
      <c r="W732" s="230">
        <f t="shared" si="166"/>
        <v>6.8775971149406631E-2</v>
      </c>
      <c r="X732" s="43">
        <f t="shared" si="167"/>
        <v>0.91280556999999996</v>
      </c>
      <c r="Y732" s="43">
        <v>95.420984680000004</v>
      </c>
      <c r="Z732" s="43">
        <f t="shared" si="156"/>
        <v>0</v>
      </c>
      <c r="AA732" s="43">
        <f t="shared" si="157"/>
        <v>167507</v>
      </c>
      <c r="AB732" s="43">
        <f t="shared" si="158"/>
        <v>52467</v>
      </c>
      <c r="AC732" s="43">
        <f t="shared" si="168"/>
        <v>2.7401368684900142E-2</v>
      </c>
      <c r="AD732" s="43">
        <f t="shared" si="169"/>
        <v>0.88062297462500005</v>
      </c>
      <c r="AF732" s="43">
        <v>13.972973640845415</v>
      </c>
      <c r="AG732" s="43">
        <v>3.1773688000000001E-2</v>
      </c>
      <c r="AH732" s="43">
        <v>1.5288224E-2</v>
      </c>
      <c r="AI732" s="43">
        <v>0.89455422900000003</v>
      </c>
      <c r="AJ732" s="43">
        <v>3.9060094969999999</v>
      </c>
      <c r="AK732" s="43">
        <v>10.74442181</v>
      </c>
      <c r="AL732" s="43">
        <v>4.4174349999999999E-3</v>
      </c>
      <c r="AM732" s="230">
        <v>6.8775971149406631E-2</v>
      </c>
      <c r="AN732" s="43">
        <v>0.91280556999999996</v>
      </c>
    </row>
    <row r="733" spans="1:40" x14ac:dyDescent="0.25">
      <c r="A733" s="134">
        <v>723</v>
      </c>
      <c r="B733" s="134" t="s">
        <v>196</v>
      </c>
      <c r="C733" s="134" t="s">
        <v>61</v>
      </c>
      <c r="D733" s="134" t="s">
        <v>197</v>
      </c>
      <c r="E733" s="134">
        <v>326</v>
      </c>
      <c r="F733" s="134">
        <v>1155</v>
      </c>
      <c r="G733" s="134">
        <v>103</v>
      </c>
      <c r="H733" s="134">
        <v>1294</v>
      </c>
      <c r="I733" s="200">
        <v>0.15651387697399999</v>
      </c>
      <c r="J733" s="134">
        <v>2449</v>
      </c>
      <c r="K733" s="134">
        <v>15647.1748534</v>
      </c>
      <c r="L733" s="42">
        <v>0.88066484937199996</v>
      </c>
      <c r="M733" s="42">
        <v>0.79876543209899997</v>
      </c>
      <c r="N733" s="134">
        <v>0</v>
      </c>
      <c r="O733" s="43" t="s">
        <v>664</v>
      </c>
      <c r="P733" s="43">
        <f t="shared" si="159"/>
        <v>14.017649027405891</v>
      </c>
      <c r="Q733" s="43">
        <f t="shared" si="160"/>
        <v>2.2927481999999999E-2</v>
      </c>
      <c r="R733" s="43">
        <f t="shared" si="161"/>
        <v>1.2918162E-2</v>
      </c>
      <c r="S733" s="43">
        <f t="shared" si="162"/>
        <v>0.88066484899999997</v>
      </c>
      <c r="T733" s="43">
        <f t="shared" si="163"/>
        <v>3.3903810719999998</v>
      </c>
      <c r="U733" s="43">
        <f t="shared" si="164"/>
        <v>9.5826900070000001</v>
      </c>
      <c r="V733" s="43">
        <f t="shared" si="165"/>
        <v>7.9776770000000007E-3</v>
      </c>
      <c r="W733" s="230">
        <f t="shared" si="166"/>
        <v>3.5984890650162152E-2</v>
      </c>
      <c r="X733" s="43">
        <f t="shared" si="167"/>
        <v>0.91397466400000005</v>
      </c>
      <c r="Y733" s="43">
        <v>82.958917009999993</v>
      </c>
      <c r="Z733" s="43">
        <f t="shared" si="156"/>
        <v>0</v>
      </c>
      <c r="AA733" s="43">
        <f t="shared" si="157"/>
        <v>167507</v>
      </c>
      <c r="AB733" s="43">
        <f t="shared" si="158"/>
        <v>52467</v>
      </c>
      <c r="AC733" s="43">
        <f t="shared" si="168"/>
        <v>2.7401368684900142E-2</v>
      </c>
      <c r="AD733" s="43">
        <f t="shared" si="169"/>
        <v>0.88062297462500005</v>
      </c>
      <c r="AF733" s="43">
        <v>14.017649027405891</v>
      </c>
      <c r="AG733" s="43">
        <v>2.2927481999999999E-2</v>
      </c>
      <c r="AH733" s="43">
        <v>1.2918162E-2</v>
      </c>
      <c r="AI733" s="43">
        <v>0.88066484899999997</v>
      </c>
      <c r="AJ733" s="43">
        <v>3.3903810719999998</v>
      </c>
      <c r="AK733" s="43">
        <v>9.5826900070000001</v>
      </c>
      <c r="AL733" s="43">
        <v>7.9776770000000007E-3</v>
      </c>
      <c r="AM733" s="230">
        <v>3.5984890650162152E-2</v>
      </c>
      <c r="AN733" s="43">
        <v>0.91397466400000005</v>
      </c>
    </row>
    <row r="734" spans="1:40" x14ac:dyDescent="0.25">
      <c r="A734" s="134">
        <v>724</v>
      </c>
      <c r="B734" s="134" t="s">
        <v>196</v>
      </c>
      <c r="C734" s="134" t="s">
        <v>61</v>
      </c>
      <c r="D734" s="134" t="s">
        <v>197</v>
      </c>
      <c r="E734" s="134">
        <v>628</v>
      </c>
      <c r="F734" s="134">
        <v>2229</v>
      </c>
      <c r="G734" s="134">
        <v>157</v>
      </c>
      <c r="H734" s="134">
        <v>952</v>
      </c>
      <c r="I734" s="200">
        <v>0.23896949827</v>
      </c>
      <c r="J734" s="134">
        <v>3181</v>
      </c>
      <c r="K734" s="134">
        <v>13311.322252600001</v>
      </c>
      <c r="L734" s="42">
        <v>0.85547154649699997</v>
      </c>
      <c r="M734" s="42">
        <v>0.60253164557000005</v>
      </c>
      <c r="N734" s="134">
        <v>0</v>
      </c>
      <c r="O734" s="43" t="s">
        <v>664</v>
      </c>
      <c r="P734" s="43">
        <f t="shared" si="159"/>
        <v>13.424618410579779</v>
      </c>
      <c r="Q734" s="43">
        <f t="shared" si="160"/>
        <v>2.8999562E-2</v>
      </c>
      <c r="R734" s="43">
        <f t="shared" si="161"/>
        <v>1.4529914999999999E-2</v>
      </c>
      <c r="S734" s="43">
        <f t="shared" si="162"/>
        <v>0.85547154599999997</v>
      </c>
      <c r="T734" s="43">
        <f t="shared" si="163"/>
        <v>3.17179455</v>
      </c>
      <c r="U734" s="43">
        <f t="shared" si="164"/>
        <v>8.7723301730000003</v>
      </c>
      <c r="V734" s="43">
        <f t="shared" si="165"/>
        <v>7.7203970000000004E-3</v>
      </c>
      <c r="W734" s="230">
        <f t="shared" si="166"/>
        <v>5.2508968624254748E-2</v>
      </c>
      <c r="X734" s="43">
        <f t="shared" si="167"/>
        <v>0.88728091799999997</v>
      </c>
      <c r="Y734" s="43">
        <v>97.849503260000006</v>
      </c>
      <c r="Z734" s="43">
        <f t="shared" si="156"/>
        <v>0</v>
      </c>
      <c r="AA734" s="43">
        <f t="shared" si="157"/>
        <v>167507</v>
      </c>
      <c r="AB734" s="43">
        <f t="shared" si="158"/>
        <v>52467</v>
      </c>
      <c r="AC734" s="43">
        <f t="shared" si="168"/>
        <v>2.7401368684900142E-2</v>
      </c>
      <c r="AD734" s="43">
        <f t="shared" si="169"/>
        <v>0.88062297462500005</v>
      </c>
      <c r="AF734" s="43">
        <v>13.424618410579779</v>
      </c>
      <c r="AG734" s="43">
        <v>2.8999562E-2</v>
      </c>
      <c r="AH734" s="43">
        <v>1.4529914999999999E-2</v>
      </c>
      <c r="AI734" s="43">
        <v>0.85547154599999997</v>
      </c>
      <c r="AJ734" s="43">
        <v>3.17179455</v>
      </c>
      <c r="AK734" s="43">
        <v>8.7723301730000003</v>
      </c>
      <c r="AL734" s="43">
        <v>7.7203970000000004E-3</v>
      </c>
      <c r="AM734" s="230">
        <v>5.2508968624254748E-2</v>
      </c>
      <c r="AN734" s="43">
        <v>0.88728091799999997</v>
      </c>
    </row>
    <row r="735" spans="1:40" x14ac:dyDescent="0.25">
      <c r="A735" s="134">
        <v>725</v>
      </c>
      <c r="B735" s="134" t="s">
        <v>196</v>
      </c>
      <c r="C735" s="134" t="s">
        <v>61</v>
      </c>
      <c r="D735" s="134" t="s">
        <v>197</v>
      </c>
      <c r="E735" s="134">
        <v>132</v>
      </c>
      <c r="F735" s="134">
        <v>385</v>
      </c>
      <c r="G735" s="134">
        <v>152</v>
      </c>
      <c r="H735" s="134">
        <v>3347</v>
      </c>
      <c r="I735" s="200">
        <v>0.233835503812</v>
      </c>
      <c r="J735" s="134">
        <v>3732</v>
      </c>
      <c r="K735" s="134">
        <v>15959.937388300001</v>
      </c>
      <c r="L735" s="42">
        <v>0.87450875319599997</v>
      </c>
      <c r="M735" s="42">
        <v>0.962058062662</v>
      </c>
      <c r="N735" s="134">
        <v>0</v>
      </c>
      <c r="O735" s="43" t="s">
        <v>664</v>
      </c>
      <c r="P735" s="43">
        <f t="shared" si="159"/>
        <v>12.907485928827368</v>
      </c>
      <c r="Q735" s="43">
        <f t="shared" si="160"/>
        <v>2.1847252000000001E-2</v>
      </c>
      <c r="R735" s="43">
        <f t="shared" si="161"/>
        <v>1.0523675999999999E-2</v>
      </c>
      <c r="S735" s="43">
        <f t="shared" si="162"/>
        <v>0.87450875299999997</v>
      </c>
      <c r="T735" s="43">
        <f t="shared" si="163"/>
        <v>3.0166431380000001</v>
      </c>
      <c r="U735" s="43">
        <f t="shared" si="164"/>
        <v>7.4319114869999998</v>
      </c>
      <c r="V735" s="43">
        <f t="shared" si="165"/>
        <v>9.5525690000000003E-3</v>
      </c>
      <c r="W735" s="230">
        <f t="shared" si="166"/>
        <v>4.7077438861994954E-2</v>
      </c>
      <c r="X735" s="43">
        <f t="shared" si="167"/>
        <v>0.90492080699999999</v>
      </c>
      <c r="Y735" s="43">
        <v>235.92789669999999</v>
      </c>
      <c r="Z735" s="43">
        <f t="shared" si="156"/>
        <v>0</v>
      </c>
      <c r="AA735" s="43">
        <f t="shared" si="157"/>
        <v>167507</v>
      </c>
      <c r="AB735" s="43">
        <f t="shared" si="158"/>
        <v>52467</v>
      </c>
      <c r="AC735" s="43">
        <f t="shared" si="168"/>
        <v>2.7401368684900142E-2</v>
      </c>
      <c r="AD735" s="43">
        <f t="shared" si="169"/>
        <v>0.88062297462500005</v>
      </c>
      <c r="AF735" s="43">
        <v>12.907485928827368</v>
      </c>
      <c r="AG735" s="43">
        <v>2.1847252000000001E-2</v>
      </c>
      <c r="AH735" s="43">
        <v>1.0523675999999999E-2</v>
      </c>
      <c r="AI735" s="43">
        <v>0.87450875299999997</v>
      </c>
      <c r="AJ735" s="43">
        <v>3.0166431380000001</v>
      </c>
      <c r="AK735" s="43">
        <v>7.4319114869999998</v>
      </c>
      <c r="AL735" s="43">
        <v>9.5525690000000003E-3</v>
      </c>
      <c r="AM735" s="230">
        <v>4.7077438861994954E-2</v>
      </c>
      <c r="AN735" s="43">
        <v>0.90492080699999999</v>
      </c>
    </row>
    <row r="736" spans="1:40" x14ac:dyDescent="0.25">
      <c r="A736" s="134">
        <v>726</v>
      </c>
      <c r="B736" s="134" t="s">
        <v>196</v>
      </c>
      <c r="C736" s="134" t="s">
        <v>61</v>
      </c>
      <c r="D736" s="134" t="s">
        <v>197</v>
      </c>
      <c r="E736" s="134">
        <v>539</v>
      </c>
      <c r="F736" s="134">
        <v>1576</v>
      </c>
      <c r="G736" s="134">
        <v>105</v>
      </c>
      <c r="H736" s="134">
        <v>833</v>
      </c>
      <c r="I736" s="200">
        <v>0.162046602323</v>
      </c>
      <c r="J736" s="134">
        <v>2409</v>
      </c>
      <c r="K736" s="134">
        <v>14866.093860999999</v>
      </c>
      <c r="L736" s="42">
        <v>0.86248612916300005</v>
      </c>
      <c r="M736" s="42">
        <v>0.60714285714299998</v>
      </c>
      <c r="N736" s="134">
        <v>0</v>
      </c>
      <c r="O736" s="43" t="s">
        <v>664</v>
      </c>
      <c r="P736" s="43">
        <f t="shared" si="159"/>
        <v>12.95507706241767</v>
      </c>
      <c r="Q736" s="43">
        <f t="shared" si="160"/>
        <v>2.3564305000000001E-2</v>
      </c>
      <c r="R736" s="43">
        <f t="shared" si="161"/>
        <v>1.3176871E-2</v>
      </c>
      <c r="S736" s="43">
        <f t="shared" si="162"/>
        <v>0.86248612899999999</v>
      </c>
      <c r="T736" s="43">
        <f t="shared" si="163"/>
        <v>3.3124879370000002</v>
      </c>
      <c r="U736" s="43">
        <f t="shared" si="164"/>
        <v>7.852382982</v>
      </c>
      <c r="V736" s="43">
        <f t="shared" si="165"/>
        <v>8.7469190000000006E-3</v>
      </c>
      <c r="W736" s="230">
        <f t="shared" si="166"/>
        <v>4.6686293145413664E-2</v>
      </c>
      <c r="X736" s="43">
        <f t="shared" si="167"/>
        <v>0.89494425</v>
      </c>
      <c r="Y736" s="43">
        <v>105.44372679999999</v>
      </c>
      <c r="Z736" s="43">
        <f t="shared" si="156"/>
        <v>0</v>
      </c>
      <c r="AA736" s="43">
        <f t="shared" si="157"/>
        <v>167507</v>
      </c>
      <c r="AB736" s="43">
        <f t="shared" si="158"/>
        <v>52467</v>
      </c>
      <c r="AC736" s="43">
        <f t="shared" si="168"/>
        <v>2.7401368684900142E-2</v>
      </c>
      <c r="AD736" s="43">
        <f t="shared" si="169"/>
        <v>0.88062297462500005</v>
      </c>
      <c r="AF736" s="43">
        <v>12.95507706241767</v>
      </c>
      <c r="AG736" s="43">
        <v>2.3564305000000001E-2</v>
      </c>
      <c r="AH736" s="43">
        <v>1.3176871E-2</v>
      </c>
      <c r="AI736" s="43">
        <v>0.86248612899999999</v>
      </c>
      <c r="AJ736" s="43">
        <v>3.3124879370000002</v>
      </c>
      <c r="AK736" s="43">
        <v>7.852382982</v>
      </c>
      <c r="AL736" s="43">
        <v>8.7469190000000006E-3</v>
      </c>
      <c r="AM736" s="230">
        <v>4.6686293145413664E-2</v>
      </c>
      <c r="AN736" s="43">
        <v>0.89494425</v>
      </c>
    </row>
    <row r="737" spans="1:40" x14ac:dyDescent="0.25">
      <c r="A737" s="134">
        <v>727</v>
      </c>
      <c r="B737" s="134" t="s">
        <v>196</v>
      </c>
      <c r="C737" s="134" t="s">
        <v>61</v>
      </c>
      <c r="D737" s="134" t="s">
        <v>197</v>
      </c>
      <c r="E737" s="134">
        <v>581</v>
      </c>
      <c r="F737" s="134">
        <v>1700</v>
      </c>
      <c r="G737" s="134">
        <v>142</v>
      </c>
      <c r="H737" s="134">
        <v>205</v>
      </c>
      <c r="I737" s="200">
        <v>0.219603237004</v>
      </c>
      <c r="J737" s="134">
        <v>1905</v>
      </c>
      <c r="K737" s="134">
        <v>8674.7355184299995</v>
      </c>
      <c r="L737" s="42">
        <v>0.84489088744899998</v>
      </c>
      <c r="M737" s="42">
        <v>0.26081424936399999</v>
      </c>
      <c r="N737" s="134">
        <v>0</v>
      </c>
      <c r="O737" s="43" t="s">
        <v>666</v>
      </c>
      <c r="P737" s="43">
        <f t="shared" si="159"/>
        <v>12.473625701167654</v>
      </c>
      <c r="Q737" s="43">
        <f t="shared" si="160"/>
        <v>2.9358550000000001E-2</v>
      </c>
      <c r="R737" s="43">
        <f t="shared" si="161"/>
        <v>1.4347309000000001E-2</v>
      </c>
      <c r="S737" s="43">
        <f t="shared" si="162"/>
        <v>0.84489088700000003</v>
      </c>
      <c r="T737" s="43">
        <f t="shared" si="163"/>
        <v>3.18921659</v>
      </c>
      <c r="U737" s="43">
        <f t="shared" si="164"/>
        <v>7.9511473209999997</v>
      </c>
      <c r="V737" s="43">
        <f t="shared" si="165"/>
        <v>5.8084060000000003E-3</v>
      </c>
      <c r="W737" s="230">
        <f t="shared" si="166"/>
        <v>5.8986433224079989E-2</v>
      </c>
      <c r="X737" s="43">
        <f t="shared" si="167"/>
        <v>0.88380077199999996</v>
      </c>
      <c r="Y737" s="43">
        <v>190.6651474</v>
      </c>
      <c r="Z737" s="43">
        <f t="shared" si="156"/>
        <v>0</v>
      </c>
      <c r="AA737" s="43">
        <f t="shared" si="157"/>
        <v>167507</v>
      </c>
      <c r="AB737" s="43">
        <f t="shared" si="158"/>
        <v>52467</v>
      </c>
      <c r="AC737" s="43">
        <f t="shared" si="168"/>
        <v>2.7401368684900142E-2</v>
      </c>
      <c r="AD737" s="43">
        <f t="shared" si="169"/>
        <v>0.88062297462500005</v>
      </c>
      <c r="AF737" s="43">
        <v>12.473625701167654</v>
      </c>
      <c r="AG737" s="43">
        <v>2.9358550000000001E-2</v>
      </c>
      <c r="AH737" s="43">
        <v>1.4347309000000001E-2</v>
      </c>
      <c r="AI737" s="43">
        <v>0.84489088700000003</v>
      </c>
      <c r="AJ737" s="43">
        <v>3.18921659</v>
      </c>
      <c r="AK737" s="43">
        <v>7.9511473209999997</v>
      </c>
      <c r="AL737" s="43">
        <v>5.8084060000000003E-3</v>
      </c>
      <c r="AM737" s="230">
        <v>5.8986433224079989E-2</v>
      </c>
      <c r="AN737" s="43">
        <v>0.88380077199999996</v>
      </c>
    </row>
    <row r="738" spans="1:40" x14ac:dyDescent="0.25">
      <c r="A738" s="134">
        <v>728</v>
      </c>
      <c r="B738" s="134" t="s">
        <v>196</v>
      </c>
      <c r="C738" s="134" t="s">
        <v>61</v>
      </c>
      <c r="D738" s="134" t="s">
        <v>197</v>
      </c>
      <c r="E738" s="134">
        <v>1045</v>
      </c>
      <c r="F738" s="134">
        <v>3060</v>
      </c>
      <c r="G738" s="134">
        <v>159</v>
      </c>
      <c r="H738" s="134">
        <v>267</v>
      </c>
      <c r="I738" s="200">
        <v>0.247055015105</v>
      </c>
      <c r="J738" s="134">
        <v>3327</v>
      </c>
      <c r="K738" s="134">
        <v>13466.6361603</v>
      </c>
      <c r="L738" s="42">
        <v>0.85429098684399996</v>
      </c>
      <c r="M738" s="42">
        <v>0.20350609756099999</v>
      </c>
      <c r="N738" s="134">
        <v>0</v>
      </c>
      <c r="O738" s="43" t="s">
        <v>666</v>
      </c>
      <c r="P738" s="43">
        <f t="shared" si="159"/>
        <v>13.187547780232544</v>
      </c>
      <c r="Q738" s="43">
        <f t="shared" si="160"/>
        <v>3.8112966999999998E-2</v>
      </c>
      <c r="R738" s="43">
        <f t="shared" si="161"/>
        <v>1.3730256999999999E-2</v>
      </c>
      <c r="S738" s="43">
        <f t="shared" si="162"/>
        <v>0.85429098699999995</v>
      </c>
      <c r="T738" s="43">
        <f t="shared" si="163"/>
        <v>3.5773774710000001</v>
      </c>
      <c r="U738" s="43">
        <f t="shared" si="164"/>
        <v>8.6441982389999996</v>
      </c>
      <c r="V738" s="43">
        <f t="shared" si="165"/>
        <v>5.8369509999999999E-3</v>
      </c>
      <c r="W738" s="230">
        <f t="shared" si="166"/>
        <v>6.1946137839796307E-2</v>
      </c>
      <c r="X738" s="43">
        <f t="shared" si="167"/>
        <v>0.89317316099999999</v>
      </c>
      <c r="Y738" s="43">
        <v>86.559643910000005</v>
      </c>
      <c r="Z738" s="43">
        <f t="shared" si="156"/>
        <v>0</v>
      </c>
      <c r="AA738" s="43">
        <f t="shared" si="157"/>
        <v>167507</v>
      </c>
      <c r="AB738" s="43">
        <f t="shared" si="158"/>
        <v>52467</v>
      </c>
      <c r="AC738" s="43">
        <f t="shared" si="168"/>
        <v>2.7401368684900142E-2</v>
      </c>
      <c r="AD738" s="43">
        <f t="shared" si="169"/>
        <v>0.88062297462500005</v>
      </c>
      <c r="AF738" s="43">
        <v>13.187547780232544</v>
      </c>
      <c r="AG738" s="43">
        <v>3.8112966999999998E-2</v>
      </c>
      <c r="AH738" s="43">
        <v>1.3730256999999999E-2</v>
      </c>
      <c r="AI738" s="43">
        <v>0.85429098699999995</v>
      </c>
      <c r="AJ738" s="43">
        <v>3.5773774710000001</v>
      </c>
      <c r="AK738" s="43">
        <v>8.6441982389999996</v>
      </c>
      <c r="AL738" s="43">
        <v>5.8369509999999999E-3</v>
      </c>
      <c r="AM738" s="230">
        <v>6.1946137839796307E-2</v>
      </c>
      <c r="AN738" s="43">
        <v>0.89317316099999999</v>
      </c>
    </row>
    <row r="739" spans="1:40" x14ac:dyDescent="0.25">
      <c r="A739" s="134">
        <v>729</v>
      </c>
      <c r="B739" s="134" t="s">
        <v>196</v>
      </c>
      <c r="C739" s="134" t="s">
        <v>61</v>
      </c>
      <c r="D739" s="134" t="s">
        <v>197</v>
      </c>
      <c r="E739" s="134">
        <v>71</v>
      </c>
      <c r="F739" s="134">
        <v>209</v>
      </c>
      <c r="G739" s="134">
        <v>118</v>
      </c>
      <c r="H739" s="134">
        <v>891</v>
      </c>
      <c r="I739" s="200">
        <v>0.18400323303400001</v>
      </c>
      <c r="J739" s="134">
        <v>1100</v>
      </c>
      <c r="K739" s="134">
        <v>5978.1558283599998</v>
      </c>
      <c r="L739" s="42">
        <v>0.83327326940199997</v>
      </c>
      <c r="M739" s="42">
        <v>0.92619542619499995</v>
      </c>
      <c r="N739" s="134">
        <v>0</v>
      </c>
      <c r="O739" s="43" t="s">
        <v>666</v>
      </c>
      <c r="P739" s="43">
        <f t="shared" si="159"/>
        <v>13.305891336692701</v>
      </c>
      <c r="Q739" s="43">
        <f t="shared" si="160"/>
        <v>0.106942121</v>
      </c>
      <c r="R739" s="43">
        <f t="shared" si="161"/>
        <v>4.5140730000000004E-3</v>
      </c>
      <c r="S739" s="43">
        <f t="shared" si="162"/>
        <v>0.83327326899999998</v>
      </c>
      <c r="T739" s="43">
        <f t="shared" si="163"/>
        <v>3.3417161360000001</v>
      </c>
      <c r="U739" s="43">
        <f t="shared" si="164"/>
        <v>6.9017237199999997</v>
      </c>
      <c r="V739" s="43">
        <f t="shared" si="165"/>
        <v>8.6904289999999995E-3</v>
      </c>
      <c r="W739" s="230">
        <f t="shared" si="166"/>
        <v>3.2231267652433955E-2</v>
      </c>
      <c r="X739" s="43">
        <f t="shared" si="167"/>
        <v>0.91658466100000002</v>
      </c>
      <c r="Y739" s="43">
        <v>51.539369780000001</v>
      </c>
      <c r="Z739" s="43">
        <f t="shared" si="156"/>
        <v>0</v>
      </c>
      <c r="AA739" s="43">
        <f t="shared" si="157"/>
        <v>167507</v>
      </c>
      <c r="AB739" s="43">
        <f t="shared" si="158"/>
        <v>52467</v>
      </c>
      <c r="AC739" s="43">
        <f t="shared" si="168"/>
        <v>2.7401368684900142E-2</v>
      </c>
      <c r="AD739" s="43">
        <f t="shared" si="169"/>
        <v>0.88062297462500005</v>
      </c>
      <c r="AF739" s="43">
        <v>13.305891336692701</v>
      </c>
      <c r="AG739" s="43">
        <v>0.106942121</v>
      </c>
      <c r="AH739" s="43">
        <v>4.5140730000000004E-3</v>
      </c>
      <c r="AI739" s="43">
        <v>0.83327326899999998</v>
      </c>
      <c r="AJ739" s="43">
        <v>3.3417161360000001</v>
      </c>
      <c r="AK739" s="43">
        <v>6.9017237199999997</v>
      </c>
      <c r="AL739" s="43">
        <v>8.6904289999999995E-3</v>
      </c>
      <c r="AM739" s="230">
        <v>3.2231267652433955E-2</v>
      </c>
      <c r="AN739" s="43">
        <v>0.91658466100000002</v>
      </c>
    </row>
    <row r="740" spans="1:40" x14ac:dyDescent="0.25">
      <c r="A740" s="134">
        <v>730</v>
      </c>
      <c r="B740" s="134" t="s">
        <v>196</v>
      </c>
      <c r="C740" s="134" t="s">
        <v>61</v>
      </c>
      <c r="D740" s="134" t="s">
        <v>197</v>
      </c>
      <c r="E740" s="134">
        <v>501</v>
      </c>
      <c r="F740" s="134">
        <v>1467</v>
      </c>
      <c r="G740" s="134">
        <v>81</v>
      </c>
      <c r="H740" s="134">
        <v>457</v>
      </c>
      <c r="I740" s="200">
        <v>0.12544526261899999</v>
      </c>
      <c r="J740" s="134">
        <v>1924</v>
      </c>
      <c r="K740" s="134">
        <v>15337.3667513</v>
      </c>
      <c r="L740" s="42">
        <v>0.856517002523</v>
      </c>
      <c r="M740" s="42">
        <v>0.477035490605</v>
      </c>
      <c r="N740" s="134">
        <v>0</v>
      </c>
      <c r="O740" s="43" t="s">
        <v>664</v>
      </c>
      <c r="P740" s="43">
        <f t="shared" si="159"/>
        <v>12.868882524798682</v>
      </c>
      <c r="Q740" s="43">
        <f t="shared" si="160"/>
        <v>2.9085178999999999E-2</v>
      </c>
      <c r="R740" s="43">
        <f t="shared" si="161"/>
        <v>1.444792E-2</v>
      </c>
      <c r="S740" s="43">
        <f t="shared" si="162"/>
        <v>0.856517003</v>
      </c>
      <c r="T740" s="43">
        <f t="shared" si="163"/>
        <v>3.4394962219999998</v>
      </c>
      <c r="U740" s="43">
        <f t="shared" si="164"/>
        <v>8.1146904410000005</v>
      </c>
      <c r="V740" s="43">
        <f t="shared" si="165"/>
        <v>8.1383519999999997E-3</v>
      </c>
      <c r="W740" s="230">
        <f t="shared" si="166"/>
        <v>5.2576976924549018E-2</v>
      </c>
      <c r="X740" s="43">
        <f t="shared" si="167"/>
        <v>0.89103874800000005</v>
      </c>
      <c r="Y740" s="43">
        <v>93.333933889999997</v>
      </c>
      <c r="Z740" s="43">
        <f t="shared" si="156"/>
        <v>0</v>
      </c>
      <c r="AA740" s="43">
        <f t="shared" si="157"/>
        <v>167507</v>
      </c>
      <c r="AB740" s="43">
        <f t="shared" si="158"/>
        <v>52467</v>
      </c>
      <c r="AC740" s="43">
        <f t="shared" si="168"/>
        <v>2.7401368684900142E-2</v>
      </c>
      <c r="AD740" s="43">
        <f t="shared" si="169"/>
        <v>0.88062297462500005</v>
      </c>
      <c r="AF740" s="43">
        <v>12.868882524798682</v>
      </c>
      <c r="AG740" s="43">
        <v>2.9085178999999999E-2</v>
      </c>
      <c r="AH740" s="43">
        <v>1.444792E-2</v>
      </c>
      <c r="AI740" s="43">
        <v>0.856517003</v>
      </c>
      <c r="AJ740" s="43">
        <v>3.4394962219999998</v>
      </c>
      <c r="AK740" s="43">
        <v>8.1146904410000005</v>
      </c>
      <c r="AL740" s="43">
        <v>8.1383519999999997E-3</v>
      </c>
      <c r="AM740" s="230">
        <v>5.2576976924549018E-2</v>
      </c>
      <c r="AN740" s="43">
        <v>0.89103874800000005</v>
      </c>
    </row>
    <row r="741" spans="1:40" x14ac:dyDescent="0.25">
      <c r="A741" s="134">
        <v>731</v>
      </c>
      <c r="B741" s="134" t="s">
        <v>196</v>
      </c>
      <c r="C741" s="134" t="s">
        <v>61</v>
      </c>
      <c r="D741" s="134" t="s">
        <v>197</v>
      </c>
      <c r="E741" s="134">
        <v>337</v>
      </c>
      <c r="F741" s="134">
        <v>986</v>
      </c>
      <c r="G741" s="134">
        <v>65</v>
      </c>
      <c r="H741" s="134">
        <v>213</v>
      </c>
      <c r="I741" s="200">
        <v>0.101176187279</v>
      </c>
      <c r="J741" s="134">
        <v>1199</v>
      </c>
      <c r="K741" s="134">
        <v>11850.614578799999</v>
      </c>
      <c r="L741" s="42">
        <v>0.85583677005100001</v>
      </c>
      <c r="M741" s="42">
        <v>0.38727272727299999</v>
      </c>
      <c r="N741" s="134">
        <v>0</v>
      </c>
      <c r="O741" s="43" t="s">
        <v>666</v>
      </c>
      <c r="P741" s="43">
        <f t="shared" si="159"/>
        <v>12.816425862902452</v>
      </c>
      <c r="Q741" s="43">
        <f t="shared" si="160"/>
        <v>2.9273298999999999E-2</v>
      </c>
      <c r="R741" s="43">
        <f t="shared" si="161"/>
        <v>1.4500122000000001E-2</v>
      </c>
      <c r="S741" s="43">
        <f t="shared" si="162"/>
        <v>0.85583677000000002</v>
      </c>
      <c r="T741" s="43">
        <f t="shared" si="163"/>
        <v>3.4470150460000002</v>
      </c>
      <c r="U741" s="43">
        <f t="shared" si="164"/>
        <v>7.9901910190000001</v>
      </c>
      <c r="V741" s="43">
        <f t="shared" si="165"/>
        <v>6.8504849999999999E-3</v>
      </c>
      <c r="W741" s="230">
        <f t="shared" si="166"/>
        <v>5.5025966926335927E-2</v>
      </c>
      <c r="X741" s="43">
        <f t="shared" si="167"/>
        <v>0.883200082</v>
      </c>
      <c r="Y741" s="43">
        <v>103.1981737</v>
      </c>
      <c r="Z741" s="43">
        <f t="shared" si="156"/>
        <v>0</v>
      </c>
      <c r="AA741" s="43">
        <f t="shared" si="157"/>
        <v>167507</v>
      </c>
      <c r="AB741" s="43">
        <f t="shared" si="158"/>
        <v>52467</v>
      </c>
      <c r="AC741" s="43">
        <f t="shared" si="168"/>
        <v>2.7401368684900142E-2</v>
      </c>
      <c r="AD741" s="43">
        <f t="shared" si="169"/>
        <v>0.88062297462500005</v>
      </c>
      <c r="AF741" s="43">
        <v>12.816425862902452</v>
      </c>
      <c r="AG741" s="43">
        <v>2.9273298999999999E-2</v>
      </c>
      <c r="AH741" s="43">
        <v>1.4500122000000001E-2</v>
      </c>
      <c r="AI741" s="43">
        <v>0.85583677000000002</v>
      </c>
      <c r="AJ741" s="43">
        <v>3.4470150460000002</v>
      </c>
      <c r="AK741" s="43">
        <v>7.9901910190000001</v>
      </c>
      <c r="AL741" s="43">
        <v>6.8504849999999999E-3</v>
      </c>
      <c r="AM741" s="230">
        <v>5.5025966926335927E-2</v>
      </c>
      <c r="AN741" s="43">
        <v>0.883200082</v>
      </c>
    </row>
    <row r="742" spans="1:40" x14ac:dyDescent="0.25">
      <c r="A742" s="134">
        <v>732</v>
      </c>
      <c r="B742" s="134" t="s">
        <v>196</v>
      </c>
      <c r="C742" s="134" t="s">
        <v>61</v>
      </c>
      <c r="D742" s="134" t="s">
        <v>197</v>
      </c>
      <c r="E742" s="134">
        <v>107</v>
      </c>
      <c r="F742" s="134">
        <v>312</v>
      </c>
      <c r="G742" s="134">
        <v>45</v>
      </c>
      <c r="H742" s="134">
        <v>50</v>
      </c>
      <c r="I742" s="200">
        <v>7.0446352905799994E-2</v>
      </c>
      <c r="J742" s="134">
        <v>362</v>
      </c>
      <c r="K742" s="134">
        <v>5138.6620466200002</v>
      </c>
      <c r="L742" s="42">
        <v>0.86649291819899998</v>
      </c>
      <c r="M742" s="42">
        <v>0.31847133758000001</v>
      </c>
      <c r="N742" s="134">
        <v>0</v>
      </c>
      <c r="O742" s="43" t="s">
        <v>666</v>
      </c>
      <c r="P742" s="43">
        <f t="shared" si="159"/>
        <v>12.625155921057551</v>
      </c>
      <c r="Q742" s="43">
        <f t="shared" si="160"/>
        <v>1.8460774999999999E-2</v>
      </c>
      <c r="R742" s="43">
        <f t="shared" si="161"/>
        <v>1.3992957E-2</v>
      </c>
      <c r="S742" s="43">
        <f t="shared" si="162"/>
        <v>0.86649291799999995</v>
      </c>
      <c r="T742" s="43">
        <f t="shared" si="163"/>
        <v>3.6612903229999998</v>
      </c>
      <c r="U742" s="43">
        <f t="shared" si="164"/>
        <v>7.9282425170000002</v>
      </c>
      <c r="V742" s="43">
        <f t="shared" si="165"/>
        <v>3.4865109999999999E-3</v>
      </c>
      <c r="W742" s="230">
        <f t="shared" si="166"/>
        <v>3.3607681755829906E-2</v>
      </c>
      <c r="X742" s="43">
        <f t="shared" si="167"/>
        <v>0.88906035699999997</v>
      </c>
      <c r="Y742" s="43">
        <v>101.8722925</v>
      </c>
      <c r="Z742" s="43">
        <f t="shared" si="156"/>
        <v>0</v>
      </c>
      <c r="AA742" s="43">
        <f t="shared" si="157"/>
        <v>167507</v>
      </c>
      <c r="AB742" s="43">
        <f t="shared" si="158"/>
        <v>52467</v>
      </c>
      <c r="AC742" s="43">
        <f t="shared" si="168"/>
        <v>2.7401368684900142E-2</v>
      </c>
      <c r="AD742" s="43">
        <f t="shared" si="169"/>
        <v>0.88062297462500005</v>
      </c>
      <c r="AF742" s="43">
        <v>12.625155921057551</v>
      </c>
      <c r="AG742" s="43">
        <v>1.8460774999999999E-2</v>
      </c>
      <c r="AH742" s="43">
        <v>1.3992957E-2</v>
      </c>
      <c r="AI742" s="43">
        <v>0.86649291799999995</v>
      </c>
      <c r="AJ742" s="43">
        <v>3.6612903229999998</v>
      </c>
      <c r="AK742" s="43">
        <v>7.9282425170000002</v>
      </c>
      <c r="AL742" s="43">
        <v>3.4865109999999999E-3</v>
      </c>
      <c r="AM742" s="230">
        <v>3.3607681755829906E-2</v>
      </c>
      <c r="AN742" s="43">
        <v>0.88906035699999997</v>
      </c>
    </row>
    <row r="743" spans="1:40" x14ac:dyDescent="0.25">
      <c r="A743" s="134">
        <v>733</v>
      </c>
      <c r="B743" s="134" t="s">
        <v>196</v>
      </c>
      <c r="C743" s="134" t="s">
        <v>61</v>
      </c>
      <c r="D743" s="134" t="s">
        <v>197</v>
      </c>
      <c r="E743" s="134">
        <v>222</v>
      </c>
      <c r="F743" s="134">
        <v>650</v>
      </c>
      <c r="G743" s="134">
        <v>39</v>
      </c>
      <c r="H743" s="134">
        <v>72</v>
      </c>
      <c r="I743" s="200">
        <v>6.06110739472E-2</v>
      </c>
      <c r="J743" s="134">
        <v>722</v>
      </c>
      <c r="K743" s="134">
        <v>11912.014636600001</v>
      </c>
      <c r="L743" s="42">
        <v>0.873263104495</v>
      </c>
      <c r="M743" s="42">
        <v>0.24489795918400001</v>
      </c>
      <c r="N743" s="134">
        <v>0</v>
      </c>
      <c r="O743" s="43" t="s">
        <v>666</v>
      </c>
      <c r="P743" s="43">
        <f t="shared" si="159"/>
        <v>13.170074610173391</v>
      </c>
      <c r="Q743" s="43">
        <f t="shared" si="160"/>
        <v>2.2844189000000001E-2</v>
      </c>
      <c r="R743" s="43">
        <f t="shared" si="161"/>
        <v>1.4838418000000001E-2</v>
      </c>
      <c r="S743" s="43">
        <f t="shared" si="162"/>
        <v>0.87326310399999996</v>
      </c>
      <c r="T743" s="43">
        <f t="shared" si="163"/>
        <v>3.8442731860000001</v>
      </c>
      <c r="U743" s="43">
        <f t="shared" si="164"/>
        <v>8.8410258299999995</v>
      </c>
      <c r="V743" s="43">
        <f t="shared" si="165"/>
        <v>4.5348070000000001E-3</v>
      </c>
      <c r="W743" s="230">
        <f t="shared" si="166"/>
        <v>4.4357018439545912E-2</v>
      </c>
      <c r="X743" s="43">
        <f t="shared" si="167"/>
        <v>0.89161511199999999</v>
      </c>
      <c r="Y743" s="43">
        <v>100.9549026</v>
      </c>
      <c r="Z743" s="43">
        <f t="shared" si="156"/>
        <v>0</v>
      </c>
      <c r="AA743" s="43">
        <f t="shared" si="157"/>
        <v>167507</v>
      </c>
      <c r="AB743" s="43">
        <f t="shared" si="158"/>
        <v>52467</v>
      </c>
      <c r="AC743" s="43">
        <f t="shared" si="168"/>
        <v>2.7401368684900142E-2</v>
      </c>
      <c r="AD743" s="43">
        <f t="shared" si="169"/>
        <v>0.88062297462500005</v>
      </c>
      <c r="AF743" s="43">
        <v>13.170074610173391</v>
      </c>
      <c r="AG743" s="43">
        <v>2.2844189000000001E-2</v>
      </c>
      <c r="AH743" s="43">
        <v>1.4838418000000001E-2</v>
      </c>
      <c r="AI743" s="43">
        <v>0.87326310399999996</v>
      </c>
      <c r="AJ743" s="43">
        <v>3.8442731860000001</v>
      </c>
      <c r="AK743" s="43">
        <v>8.8410258299999995</v>
      </c>
      <c r="AL743" s="43">
        <v>4.5348070000000001E-3</v>
      </c>
      <c r="AM743" s="230">
        <v>4.4357018439545912E-2</v>
      </c>
      <c r="AN743" s="43">
        <v>0.89161511199999999</v>
      </c>
    </row>
    <row r="744" spans="1:40" x14ac:dyDescent="0.25">
      <c r="A744" s="134">
        <v>734</v>
      </c>
      <c r="B744" s="134" t="s">
        <v>196</v>
      </c>
      <c r="C744" s="134" t="s">
        <v>61</v>
      </c>
      <c r="D744" s="134" t="s">
        <v>197</v>
      </c>
      <c r="E744" s="134">
        <v>382</v>
      </c>
      <c r="F744" s="134">
        <v>1118</v>
      </c>
      <c r="G744" s="134">
        <v>133</v>
      </c>
      <c r="H744" s="134">
        <v>601</v>
      </c>
      <c r="I744" s="200">
        <v>0.20699042991200001</v>
      </c>
      <c r="J744" s="134">
        <v>1719</v>
      </c>
      <c r="K744" s="134">
        <v>8304.7317730300001</v>
      </c>
      <c r="L744" s="42">
        <v>0.87761776224400001</v>
      </c>
      <c r="M744" s="42">
        <v>0.61139369277699995</v>
      </c>
      <c r="N744" s="134">
        <v>0</v>
      </c>
      <c r="O744" s="43" t="s">
        <v>666</v>
      </c>
      <c r="P744" s="43">
        <f t="shared" si="159"/>
        <v>13.371715010358526</v>
      </c>
      <c r="Q744" s="43">
        <f t="shared" si="160"/>
        <v>1.951288E-2</v>
      </c>
      <c r="R744" s="43">
        <f t="shared" si="161"/>
        <v>1.3106364000000001E-2</v>
      </c>
      <c r="S744" s="43">
        <f t="shared" si="162"/>
        <v>0.87761776199999997</v>
      </c>
      <c r="T744" s="43">
        <f t="shared" si="163"/>
        <v>3.5722288440000001</v>
      </c>
      <c r="U744" s="43">
        <f t="shared" si="164"/>
        <v>8.4030731739999993</v>
      </c>
      <c r="V744" s="43">
        <f t="shared" si="165"/>
        <v>7.1700339999999996E-3</v>
      </c>
      <c r="W744" s="230">
        <f t="shared" si="166"/>
        <v>3.6844722508124109E-2</v>
      </c>
      <c r="X744" s="43">
        <f t="shared" si="167"/>
        <v>0.91279157200000005</v>
      </c>
      <c r="Y744" s="43">
        <v>55.223535740000003</v>
      </c>
      <c r="Z744" s="43">
        <f t="shared" si="156"/>
        <v>0</v>
      </c>
      <c r="AA744" s="43">
        <f t="shared" si="157"/>
        <v>167507</v>
      </c>
      <c r="AB744" s="43">
        <f t="shared" si="158"/>
        <v>52467</v>
      </c>
      <c r="AC744" s="43">
        <f t="shared" si="168"/>
        <v>2.7401368684900142E-2</v>
      </c>
      <c r="AD744" s="43">
        <f t="shared" si="169"/>
        <v>0.88062297462500005</v>
      </c>
      <c r="AF744" s="43">
        <v>13.371715010358526</v>
      </c>
      <c r="AG744" s="43">
        <v>1.951288E-2</v>
      </c>
      <c r="AH744" s="43">
        <v>1.3106364000000001E-2</v>
      </c>
      <c r="AI744" s="43">
        <v>0.87761776199999997</v>
      </c>
      <c r="AJ744" s="43">
        <v>3.5722288440000001</v>
      </c>
      <c r="AK744" s="43">
        <v>8.4030731739999993</v>
      </c>
      <c r="AL744" s="43">
        <v>7.1700339999999996E-3</v>
      </c>
      <c r="AM744" s="230">
        <v>3.6844722508124109E-2</v>
      </c>
      <c r="AN744" s="43">
        <v>0.91279157200000005</v>
      </c>
    </row>
    <row r="745" spans="1:40" x14ac:dyDescent="0.25">
      <c r="A745" s="134">
        <v>735</v>
      </c>
      <c r="B745" s="134" t="s">
        <v>196</v>
      </c>
      <c r="C745" s="134" t="s">
        <v>61</v>
      </c>
      <c r="D745" s="134" t="s">
        <v>197</v>
      </c>
      <c r="E745" s="134">
        <v>0</v>
      </c>
      <c r="F745" s="134">
        <v>0</v>
      </c>
      <c r="G745" s="134">
        <v>697</v>
      </c>
      <c r="H745" s="134">
        <v>709</v>
      </c>
      <c r="I745" s="200">
        <v>1.1179296257</v>
      </c>
      <c r="J745" s="134">
        <v>709</v>
      </c>
      <c r="K745" s="134">
        <v>634.20807866500002</v>
      </c>
      <c r="L745" s="42">
        <v>0.95812796275500001</v>
      </c>
      <c r="M745" s="42">
        <v>1</v>
      </c>
      <c r="N745" s="134">
        <v>0</v>
      </c>
      <c r="O745" s="43" t="s">
        <v>665</v>
      </c>
      <c r="P745" s="43">
        <f t="shared" si="159"/>
        <v>16.323452789508227</v>
      </c>
      <c r="Q745" s="43">
        <f t="shared" si="160"/>
        <v>1.3373041E-2</v>
      </c>
      <c r="R745" s="43">
        <f t="shared" si="161"/>
        <v>7.0587790000000003E-3</v>
      </c>
      <c r="S745" s="43">
        <f t="shared" si="162"/>
        <v>0.95812796300000003</v>
      </c>
      <c r="T745" s="43">
        <f t="shared" si="163"/>
        <v>5.64823451</v>
      </c>
      <c r="U745" s="43">
        <f t="shared" si="164"/>
        <v>10.57715804</v>
      </c>
      <c r="V745" s="43">
        <f t="shared" si="165"/>
        <v>5.7834619999999996E-3</v>
      </c>
      <c r="W745" s="230">
        <f t="shared" si="166"/>
        <v>6.4053398561389682E-3</v>
      </c>
      <c r="X745" s="43">
        <f t="shared" si="167"/>
        <v>0.967455069</v>
      </c>
      <c r="Y745" s="43">
        <v>9.3284496560000001</v>
      </c>
      <c r="Z745" s="43">
        <f t="shared" si="156"/>
        <v>0</v>
      </c>
      <c r="AA745" s="43">
        <f t="shared" si="157"/>
        <v>167507</v>
      </c>
      <c r="AB745" s="43">
        <f t="shared" si="158"/>
        <v>52467</v>
      </c>
      <c r="AC745" s="43">
        <f t="shared" si="168"/>
        <v>2.7401368684900142E-2</v>
      </c>
      <c r="AD745" s="43">
        <f t="shared" si="169"/>
        <v>0.88062297462500005</v>
      </c>
      <c r="AF745" s="43">
        <v>16.323452789508227</v>
      </c>
      <c r="AG745" s="43">
        <v>1.3373041E-2</v>
      </c>
      <c r="AH745" s="43">
        <v>7.0587790000000003E-3</v>
      </c>
      <c r="AI745" s="43">
        <v>0.95812796300000003</v>
      </c>
      <c r="AJ745" s="43">
        <v>5.64823451</v>
      </c>
      <c r="AK745" s="43">
        <v>10.57715804</v>
      </c>
      <c r="AL745" s="43">
        <v>5.7834619999999996E-3</v>
      </c>
      <c r="AM745" s="230">
        <v>6.4053398561389682E-3</v>
      </c>
      <c r="AN745" s="43">
        <v>0.967455069</v>
      </c>
    </row>
    <row r="746" spans="1:40" x14ac:dyDescent="0.25">
      <c r="A746" s="134">
        <v>736</v>
      </c>
      <c r="B746" s="134" t="s">
        <v>196</v>
      </c>
      <c r="C746" s="134" t="s">
        <v>61</v>
      </c>
      <c r="D746" s="134" t="s">
        <v>197</v>
      </c>
      <c r="E746" s="134">
        <v>0</v>
      </c>
      <c r="F746" s="134">
        <v>0</v>
      </c>
      <c r="G746" s="134">
        <v>446</v>
      </c>
      <c r="H746" s="134">
        <v>1542</v>
      </c>
      <c r="I746" s="200">
        <v>0.71582523743899995</v>
      </c>
      <c r="J746" s="134">
        <v>1542</v>
      </c>
      <c r="K746" s="134">
        <v>2154.1570754300001</v>
      </c>
      <c r="L746" s="42">
        <v>0.95729632466900005</v>
      </c>
      <c r="M746" s="42">
        <v>1</v>
      </c>
      <c r="N746" s="134">
        <v>0</v>
      </c>
      <c r="O746" s="43" t="s">
        <v>666</v>
      </c>
      <c r="P746" s="43">
        <f t="shared" si="159"/>
        <v>16.539580096034392</v>
      </c>
      <c r="Q746" s="43">
        <f t="shared" si="160"/>
        <v>4.2489889999999999E-3</v>
      </c>
      <c r="R746" s="43">
        <f t="shared" si="161"/>
        <v>7.2820719999999997E-3</v>
      </c>
      <c r="S746" s="43">
        <f t="shared" si="162"/>
        <v>0.95729632499999995</v>
      </c>
      <c r="T746" s="43">
        <f t="shared" si="163"/>
        <v>5.333638863</v>
      </c>
      <c r="U746" s="43">
        <f t="shared" si="164"/>
        <v>10.382211829999999</v>
      </c>
      <c r="V746" s="43">
        <f t="shared" si="165"/>
        <v>5.9986930000000003E-3</v>
      </c>
      <c r="W746" s="230">
        <f t="shared" si="166"/>
        <v>4.4445764288966764E-3</v>
      </c>
      <c r="X746" s="43">
        <f t="shared" si="167"/>
        <v>0.97981627800000004</v>
      </c>
      <c r="Y746" s="43">
        <v>8.5546951</v>
      </c>
      <c r="Z746" s="43">
        <f t="shared" si="156"/>
        <v>0</v>
      </c>
      <c r="AA746" s="43">
        <f t="shared" si="157"/>
        <v>167507</v>
      </c>
      <c r="AB746" s="43">
        <f t="shared" si="158"/>
        <v>52467</v>
      </c>
      <c r="AC746" s="43">
        <f t="shared" si="168"/>
        <v>2.7401368684900142E-2</v>
      </c>
      <c r="AD746" s="43">
        <f t="shared" si="169"/>
        <v>0.88062297462500005</v>
      </c>
      <c r="AF746" s="43">
        <v>16.539580096034392</v>
      </c>
      <c r="AG746" s="43">
        <v>4.2489889999999999E-3</v>
      </c>
      <c r="AH746" s="43">
        <v>7.2820719999999997E-3</v>
      </c>
      <c r="AI746" s="43">
        <v>0.95729632499999995</v>
      </c>
      <c r="AJ746" s="43">
        <v>5.333638863</v>
      </c>
      <c r="AK746" s="43">
        <v>10.382211829999999</v>
      </c>
      <c r="AL746" s="43">
        <v>5.9986930000000003E-3</v>
      </c>
      <c r="AM746" s="230">
        <v>4.4445764288966764E-3</v>
      </c>
      <c r="AN746" s="43">
        <v>0.97981627800000004</v>
      </c>
    </row>
    <row r="747" spans="1:40" x14ac:dyDescent="0.25">
      <c r="A747" s="134">
        <v>737</v>
      </c>
      <c r="B747" s="134" t="s">
        <v>196</v>
      </c>
      <c r="C747" s="134" t="s">
        <v>61</v>
      </c>
      <c r="D747" s="134" t="s">
        <v>197</v>
      </c>
      <c r="E747" s="134">
        <v>14</v>
      </c>
      <c r="F747" s="134">
        <v>47</v>
      </c>
      <c r="G747" s="134">
        <v>171</v>
      </c>
      <c r="H747" s="134">
        <v>1408</v>
      </c>
      <c r="I747" s="200">
        <v>0.27407479546500002</v>
      </c>
      <c r="J747" s="134">
        <v>1455</v>
      </c>
      <c r="K747" s="134">
        <v>5308.7698105600002</v>
      </c>
      <c r="L747" s="42">
        <v>0.94265004741900005</v>
      </c>
      <c r="M747" s="42">
        <v>0.99015471167400004</v>
      </c>
      <c r="N747" s="134">
        <v>0</v>
      </c>
      <c r="O747" s="43" t="s">
        <v>666</v>
      </c>
      <c r="P747" s="43">
        <f t="shared" si="159"/>
        <v>14.981869639647273</v>
      </c>
      <c r="Q747" s="43">
        <f t="shared" si="160"/>
        <v>1.1714763E-2</v>
      </c>
      <c r="R747" s="43">
        <f t="shared" si="161"/>
        <v>8.4812359999999996E-3</v>
      </c>
      <c r="S747" s="43">
        <f t="shared" si="162"/>
        <v>0.94265004699999999</v>
      </c>
      <c r="T747" s="43">
        <f t="shared" si="163"/>
        <v>4.5319713449999997</v>
      </c>
      <c r="U747" s="43">
        <f t="shared" si="164"/>
        <v>9.6926602600000002</v>
      </c>
      <c r="V747" s="43">
        <f t="shared" si="165"/>
        <v>7.2942759999999997E-3</v>
      </c>
      <c r="W747" s="230">
        <f t="shared" si="166"/>
        <v>1.3769512430140681E-2</v>
      </c>
      <c r="X747" s="43">
        <f t="shared" si="167"/>
        <v>0.96356716099999995</v>
      </c>
      <c r="Y747" s="43">
        <v>8.5546951</v>
      </c>
      <c r="Z747" s="43">
        <f t="shared" si="156"/>
        <v>0</v>
      </c>
      <c r="AA747" s="43">
        <f t="shared" si="157"/>
        <v>167507</v>
      </c>
      <c r="AB747" s="43">
        <f t="shared" si="158"/>
        <v>52467</v>
      </c>
      <c r="AC747" s="43">
        <f t="shared" si="168"/>
        <v>2.7401368684900142E-2</v>
      </c>
      <c r="AD747" s="43">
        <f t="shared" si="169"/>
        <v>0.88062297462500005</v>
      </c>
      <c r="AF747" s="43">
        <v>14.981869639647273</v>
      </c>
      <c r="AG747" s="43">
        <v>1.1714763E-2</v>
      </c>
      <c r="AH747" s="43">
        <v>8.4812359999999996E-3</v>
      </c>
      <c r="AI747" s="43">
        <v>0.94265004699999999</v>
      </c>
      <c r="AJ747" s="43">
        <v>4.5319713449999997</v>
      </c>
      <c r="AK747" s="43">
        <v>9.6926602600000002</v>
      </c>
      <c r="AL747" s="43">
        <v>7.2942759999999997E-3</v>
      </c>
      <c r="AM747" s="230">
        <v>1.3769512430140681E-2</v>
      </c>
      <c r="AN747" s="43">
        <v>0.96356716099999995</v>
      </c>
    </row>
    <row r="748" spans="1:40" x14ac:dyDescent="0.25">
      <c r="A748" s="134">
        <v>738</v>
      </c>
      <c r="B748" s="134" t="s">
        <v>196</v>
      </c>
      <c r="C748" s="134" t="s">
        <v>61</v>
      </c>
      <c r="D748" s="134" t="s">
        <v>197</v>
      </c>
      <c r="E748" s="134">
        <v>0</v>
      </c>
      <c r="F748" s="134">
        <v>0</v>
      </c>
      <c r="G748" s="134">
        <v>139</v>
      </c>
      <c r="H748" s="134">
        <v>720</v>
      </c>
      <c r="I748" s="200">
        <v>0.22383672068300001</v>
      </c>
      <c r="J748" s="134">
        <v>720</v>
      </c>
      <c r="K748" s="134">
        <v>3216.63039828</v>
      </c>
      <c r="L748" s="42">
        <v>0.93110378334099997</v>
      </c>
      <c r="M748" s="42">
        <v>1</v>
      </c>
      <c r="N748" s="134">
        <v>0</v>
      </c>
      <c r="O748" s="43" t="s">
        <v>666</v>
      </c>
      <c r="P748" s="43">
        <f t="shared" si="159"/>
        <v>14.719234260784152</v>
      </c>
      <c r="Q748" s="43">
        <f t="shared" si="160"/>
        <v>8.1852060000000004E-3</v>
      </c>
      <c r="R748" s="43">
        <f t="shared" si="161"/>
        <v>8.0096000000000004E-3</v>
      </c>
      <c r="S748" s="43">
        <f t="shared" si="162"/>
        <v>0.93110378299999996</v>
      </c>
      <c r="T748" s="43">
        <f t="shared" si="163"/>
        <v>4.2847478470000002</v>
      </c>
      <c r="U748" s="43">
        <f t="shared" si="164"/>
        <v>9.1983735919999994</v>
      </c>
      <c r="V748" s="43">
        <f t="shared" si="165"/>
        <v>6.234496E-3</v>
      </c>
      <c r="W748" s="230">
        <f t="shared" si="166"/>
        <v>8.3638838276293547E-3</v>
      </c>
      <c r="X748" s="43">
        <f t="shared" si="167"/>
        <v>0.94946545800000004</v>
      </c>
      <c r="Y748" s="43">
        <v>8.5546951</v>
      </c>
      <c r="Z748" s="43">
        <f t="shared" si="156"/>
        <v>0</v>
      </c>
      <c r="AA748" s="43">
        <f t="shared" si="157"/>
        <v>167507</v>
      </c>
      <c r="AB748" s="43">
        <f t="shared" si="158"/>
        <v>52467</v>
      </c>
      <c r="AC748" s="43">
        <f t="shared" si="168"/>
        <v>2.7401368684900142E-2</v>
      </c>
      <c r="AD748" s="43">
        <f t="shared" si="169"/>
        <v>0.88062297462500005</v>
      </c>
      <c r="AF748" s="43">
        <v>14.719234260784152</v>
      </c>
      <c r="AG748" s="43">
        <v>8.1852060000000004E-3</v>
      </c>
      <c r="AH748" s="43">
        <v>8.0096000000000004E-3</v>
      </c>
      <c r="AI748" s="43">
        <v>0.93110378299999996</v>
      </c>
      <c r="AJ748" s="43">
        <v>4.2847478470000002</v>
      </c>
      <c r="AK748" s="43">
        <v>9.1983735919999994</v>
      </c>
      <c r="AL748" s="43">
        <v>6.234496E-3</v>
      </c>
      <c r="AM748" s="230">
        <v>8.3638838276293547E-3</v>
      </c>
      <c r="AN748" s="43">
        <v>0.94946545800000004</v>
      </c>
    </row>
    <row r="749" spans="1:40" x14ac:dyDescent="0.25">
      <c r="A749" s="134">
        <v>739</v>
      </c>
      <c r="B749" s="134" t="s">
        <v>196</v>
      </c>
      <c r="C749" s="134" t="s">
        <v>61</v>
      </c>
      <c r="D749" s="134" t="s">
        <v>197</v>
      </c>
      <c r="E749" s="134">
        <v>1337</v>
      </c>
      <c r="F749" s="134">
        <v>4500</v>
      </c>
      <c r="G749" s="134">
        <v>276</v>
      </c>
      <c r="H749" s="134">
        <v>435</v>
      </c>
      <c r="I749" s="200">
        <v>0.28370200881500002</v>
      </c>
      <c r="J749" s="134">
        <v>4935</v>
      </c>
      <c r="K749" s="134">
        <v>17395.012536599999</v>
      </c>
      <c r="L749" s="42">
        <v>0.86987703810600003</v>
      </c>
      <c r="M749" s="42">
        <v>0.245485327314</v>
      </c>
      <c r="N749" s="134">
        <v>0</v>
      </c>
      <c r="O749" s="43" t="s">
        <v>666</v>
      </c>
      <c r="P749" s="43">
        <f t="shared" si="159"/>
        <v>12.778367957238403</v>
      </c>
      <c r="Q749" s="43">
        <f t="shared" si="160"/>
        <v>2.9173877000000001E-2</v>
      </c>
      <c r="R749" s="43">
        <f t="shared" si="161"/>
        <v>1.4592343000000001E-2</v>
      </c>
      <c r="S749" s="43">
        <f t="shared" si="162"/>
        <v>0.86987703800000005</v>
      </c>
      <c r="T749" s="43">
        <f t="shared" si="163"/>
        <v>3.3132683690000002</v>
      </c>
      <c r="U749" s="43">
        <f t="shared" si="164"/>
        <v>8.8420313339999996</v>
      </c>
      <c r="V749" s="43">
        <f t="shared" si="165"/>
        <v>5.5257680000000003E-3</v>
      </c>
      <c r="W749" s="230">
        <f t="shared" si="166"/>
        <v>6.1022732308237702E-2</v>
      </c>
      <c r="X749" s="43">
        <f t="shared" si="167"/>
        <v>0.89542252</v>
      </c>
      <c r="Y749" s="43">
        <v>110.8311051</v>
      </c>
      <c r="Z749" s="43">
        <f t="shared" si="156"/>
        <v>0</v>
      </c>
      <c r="AA749" s="43">
        <f t="shared" si="157"/>
        <v>167507</v>
      </c>
      <c r="AB749" s="43">
        <f t="shared" si="158"/>
        <v>52467</v>
      </c>
      <c r="AC749" s="43">
        <f t="shared" si="168"/>
        <v>2.7401368684900142E-2</v>
      </c>
      <c r="AD749" s="43">
        <f t="shared" si="169"/>
        <v>0.88062297462500005</v>
      </c>
      <c r="AF749" s="43">
        <v>12.778367957238403</v>
      </c>
      <c r="AG749" s="43">
        <v>2.9173877000000001E-2</v>
      </c>
      <c r="AH749" s="43">
        <v>1.4592343000000001E-2</v>
      </c>
      <c r="AI749" s="43">
        <v>0.86987703800000005</v>
      </c>
      <c r="AJ749" s="43">
        <v>3.3132683690000002</v>
      </c>
      <c r="AK749" s="43">
        <v>8.8420313339999996</v>
      </c>
      <c r="AL749" s="43">
        <v>5.5257680000000003E-3</v>
      </c>
      <c r="AM749" s="230">
        <v>6.1022732308237702E-2</v>
      </c>
      <c r="AN749" s="43">
        <v>0.89542252</v>
      </c>
    </row>
    <row r="750" spans="1:40" x14ac:dyDescent="0.25">
      <c r="A750" s="134">
        <v>740</v>
      </c>
      <c r="B750" s="134" t="s">
        <v>196</v>
      </c>
      <c r="C750" s="134" t="s">
        <v>61</v>
      </c>
      <c r="D750" s="134" t="s">
        <v>197</v>
      </c>
      <c r="E750" s="134">
        <v>462</v>
      </c>
      <c r="F750" s="134">
        <v>1557</v>
      </c>
      <c r="G750" s="134">
        <v>167</v>
      </c>
      <c r="H750" s="134">
        <v>120</v>
      </c>
      <c r="I750" s="200">
        <v>0.17586669854299999</v>
      </c>
      <c r="J750" s="134">
        <v>1677</v>
      </c>
      <c r="K750" s="134">
        <v>9535.6313269700004</v>
      </c>
      <c r="L750" s="42">
        <v>0.87923878935099997</v>
      </c>
      <c r="M750" s="42">
        <v>0.20618556700999999</v>
      </c>
      <c r="N750" s="134">
        <v>0</v>
      </c>
      <c r="O750" s="43" t="s">
        <v>666</v>
      </c>
      <c r="P750" s="43">
        <f t="shared" si="159"/>
        <v>12.978075028677443</v>
      </c>
      <c r="Q750" s="43">
        <f t="shared" si="160"/>
        <v>2.8361026000000001E-2</v>
      </c>
      <c r="R750" s="43">
        <f t="shared" si="161"/>
        <v>1.4532992E-2</v>
      </c>
      <c r="S750" s="43">
        <f t="shared" si="162"/>
        <v>0.87923878899999997</v>
      </c>
      <c r="T750" s="43">
        <f t="shared" si="163"/>
        <v>3.42765114</v>
      </c>
      <c r="U750" s="43">
        <f t="shared" si="164"/>
        <v>9.0118977820000001</v>
      </c>
      <c r="V750" s="43">
        <f t="shared" si="165"/>
        <v>3.7456199999999999E-3</v>
      </c>
      <c r="W750" s="230">
        <f t="shared" si="166"/>
        <v>5.74999664370964E-2</v>
      </c>
      <c r="X750" s="43">
        <f t="shared" si="167"/>
        <v>0.90547343800000002</v>
      </c>
      <c r="Y750" s="43">
        <v>130.3845724</v>
      </c>
      <c r="Z750" s="43">
        <f t="shared" si="156"/>
        <v>0</v>
      </c>
      <c r="AA750" s="43">
        <f t="shared" si="157"/>
        <v>167507</v>
      </c>
      <c r="AB750" s="43">
        <f t="shared" si="158"/>
        <v>52467</v>
      </c>
      <c r="AC750" s="43">
        <f t="shared" si="168"/>
        <v>2.7401368684900142E-2</v>
      </c>
      <c r="AD750" s="43">
        <f t="shared" si="169"/>
        <v>0.88062297462500005</v>
      </c>
      <c r="AF750" s="43">
        <v>12.978075028677443</v>
      </c>
      <c r="AG750" s="43">
        <v>2.8361026000000001E-2</v>
      </c>
      <c r="AH750" s="43">
        <v>1.4532992E-2</v>
      </c>
      <c r="AI750" s="43">
        <v>0.87923878899999997</v>
      </c>
      <c r="AJ750" s="43">
        <v>3.42765114</v>
      </c>
      <c r="AK750" s="43">
        <v>9.0118977820000001</v>
      </c>
      <c r="AL750" s="43">
        <v>3.7456199999999999E-3</v>
      </c>
      <c r="AM750" s="230">
        <v>5.74999664370964E-2</v>
      </c>
      <c r="AN750" s="43">
        <v>0.90547343800000002</v>
      </c>
    </row>
    <row r="751" spans="1:40" x14ac:dyDescent="0.25">
      <c r="A751" s="134">
        <v>741</v>
      </c>
      <c r="B751" s="134" t="s">
        <v>196</v>
      </c>
      <c r="C751" s="134" t="s">
        <v>61</v>
      </c>
      <c r="D751" s="134" t="s">
        <v>197</v>
      </c>
      <c r="E751" s="134">
        <v>193</v>
      </c>
      <c r="F751" s="134">
        <v>651</v>
      </c>
      <c r="G751" s="134">
        <v>43</v>
      </c>
      <c r="H751" s="134">
        <v>1106</v>
      </c>
      <c r="I751" s="200">
        <v>7.0130306299300005E-2</v>
      </c>
      <c r="J751" s="134">
        <v>1757</v>
      </c>
      <c r="K751" s="134">
        <v>25053.3627003</v>
      </c>
      <c r="L751" s="42">
        <v>0.90071682162800004</v>
      </c>
      <c r="M751" s="42">
        <v>0.85142417244000002</v>
      </c>
      <c r="N751" s="134">
        <v>0</v>
      </c>
      <c r="O751" s="43" t="s">
        <v>664</v>
      </c>
      <c r="P751" s="43">
        <f t="shared" si="159"/>
        <v>13.94107364401111</v>
      </c>
      <c r="Q751" s="43">
        <f t="shared" si="160"/>
        <v>2.0397189999999999E-2</v>
      </c>
      <c r="R751" s="43">
        <f t="shared" si="161"/>
        <v>1.2132197000000001E-2</v>
      </c>
      <c r="S751" s="43">
        <f t="shared" si="162"/>
        <v>0.90071682200000003</v>
      </c>
      <c r="T751" s="43">
        <f t="shared" si="163"/>
        <v>3.871171967</v>
      </c>
      <c r="U751" s="43">
        <f t="shared" si="164"/>
        <v>8.7721913209999993</v>
      </c>
      <c r="V751" s="43">
        <f t="shared" si="165"/>
        <v>8.3187039999999997E-3</v>
      </c>
      <c r="W751" s="230">
        <f t="shared" si="166"/>
        <v>3.4032875837855088E-2</v>
      </c>
      <c r="X751" s="43">
        <f t="shared" si="167"/>
        <v>0.92253830199999998</v>
      </c>
      <c r="Y751" s="43">
        <v>8.5904866680000005</v>
      </c>
      <c r="Z751" s="43">
        <f t="shared" si="156"/>
        <v>0</v>
      </c>
      <c r="AA751" s="43">
        <f t="shared" si="157"/>
        <v>167507</v>
      </c>
      <c r="AB751" s="43">
        <f t="shared" si="158"/>
        <v>52467</v>
      </c>
      <c r="AC751" s="43">
        <f t="shared" si="168"/>
        <v>2.7401368684900142E-2</v>
      </c>
      <c r="AD751" s="43">
        <f t="shared" si="169"/>
        <v>0.88062297462500005</v>
      </c>
      <c r="AF751" s="43">
        <v>13.94107364401111</v>
      </c>
      <c r="AG751" s="43">
        <v>2.0397189999999999E-2</v>
      </c>
      <c r="AH751" s="43">
        <v>1.2132197000000001E-2</v>
      </c>
      <c r="AI751" s="43">
        <v>0.90071682200000003</v>
      </c>
      <c r="AJ751" s="43">
        <v>3.871171967</v>
      </c>
      <c r="AK751" s="43">
        <v>8.7721913209999993</v>
      </c>
      <c r="AL751" s="43">
        <v>8.3187039999999997E-3</v>
      </c>
      <c r="AM751" s="230">
        <v>3.4032875837855088E-2</v>
      </c>
      <c r="AN751" s="43">
        <v>0.92253830199999998</v>
      </c>
    </row>
    <row r="752" spans="1:40" x14ac:dyDescent="0.25">
      <c r="A752" s="134">
        <v>742</v>
      </c>
      <c r="B752" s="134" t="s">
        <v>196</v>
      </c>
      <c r="C752" s="134" t="s">
        <v>61</v>
      </c>
      <c r="D752" s="134" t="s">
        <v>197</v>
      </c>
      <c r="E752" s="134">
        <v>51</v>
      </c>
      <c r="F752" s="134">
        <v>173</v>
      </c>
      <c r="G752" s="134">
        <v>542</v>
      </c>
      <c r="H752" s="134">
        <v>1115</v>
      </c>
      <c r="I752" s="200">
        <v>0.86851020463600004</v>
      </c>
      <c r="J752" s="134">
        <v>1288</v>
      </c>
      <c r="K752" s="134">
        <v>1482.9992706200001</v>
      </c>
      <c r="L752" s="42">
        <v>0.92462065819999995</v>
      </c>
      <c r="M752" s="42">
        <v>0.95626072041200005</v>
      </c>
      <c r="N752" s="134">
        <v>0</v>
      </c>
      <c r="O752" s="43" t="s">
        <v>666</v>
      </c>
      <c r="P752" s="43">
        <f t="shared" si="159"/>
        <v>13.351478039164366</v>
      </c>
      <c r="Q752" s="43">
        <f t="shared" si="160"/>
        <v>1.440723E-2</v>
      </c>
      <c r="R752" s="43">
        <f t="shared" si="161"/>
        <v>1.0283489999999999E-2</v>
      </c>
      <c r="S752" s="43">
        <f t="shared" si="162"/>
        <v>0.92462065800000004</v>
      </c>
      <c r="T752" s="43">
        <f t="shared" si="163"/>
        <v>3.7566513760000002</v>
      </c>
      <c r="U752" s="43">
        <f t="shared" si="164"/>
        <v>9.0674163700000001</v>
      </c>
      <c r="V752" s="43">
        <f t="shared" si="165"/>
        <v>8.3716580000000006E-3</v>
      </c>
      <c r="W752" s="230">
        <f t="shared" si="166"/>
        <v>1.3398634255111589E-2</v>
      </c>
      <c r="X752" s="43">
        <f t="shared" si="167"/>
        <v>0.94883433900000003</v>
      </c>
      <c r="Y752" s="43">
        <v>9.4821176349999998</v>
      </c>
      <c r="Z752" s="43">
        <f t="shared" si="156"/>
        <v>0</v>
      </c>
      <c r="AA752" s="43">
        <f t="shared" si="157"/>
        <v>167507</v>
      </c>
      <c r="AB752" s="43">
        <f t="shared" si="158"/>
        <v>52467</v>
      </c>
      <c r="AC752" s="43">
        <f t="shared" si="168"/>
        <v>2.7401368684900142E-2</v>
      </c>
      <c r="AD752" s="43">
        <f t="shared" si="169"/>
        <v>0.88062297462500005</v>
      </c>
      <c r="AF752" s="43">
        <v>13.351478039164366</v>
      </c>
      <c r="AG752" s="43">
        <v>1.440723E-2</v>
      </c>
      <c r="AH752" s="43">
        <v>1.0283489999999999E-2</v>
      </c>
      <c r="AI752" s="43">
        <v>0.92462065800000004</v>
      </c>
      <c r="AJ752" s="43">
        <v>3.7566513760000002</v>
      </c>
      <c r="AK752" s="43">
        <v>9.0674163700000001</v>
      </c>
      <c r="AL752" s="43">
        <v>8.3716580000000006E-3</v>
      </c>
      <c r="AM752" s="230">
        <v>1.3398634255111589E-2</v>
      </c>
      <c r="AN752" s="43">
        <v>0.94883433900000003</v>
      </c>
    </row>
    <row r="753" spans="1:40" x14ac:dyDescent="0.25">
      <c r="A753" s="134">
        <v>743</v>
      </c>
      <c r="B753" s="134" t="s">
        <v>196</v>
      </c>
      <c r="C753" s="134" t="s">
        <v>61</v>
      </c>
      <c r="D753" s="134" t="s">
        <v>197</v>
      </c>
      <c r="E753" s="134">
        <v>23</v>
      </c>
      <c r="F753" s="134">
        <v>78</v>
      </c>
      <c r="G753" s="134">
        <v>124</v>
      </c>
      <c r="H753" s="134">
        <v>1022</v>
      </c>
      <c r="I753" s="200">
        <v>0.199882571324</v>
      </c>
      <c r="J753" s="134">
        <v>1100</v>
      </c>
      <c r="K753" s="134">
        <v>5503.2311857599998</v>
      </c>
      <c r="L753" s="42">
        <v>0.92624772681300005</v>
      </c>
      <c r="M753" s="42">
        <v>0.97799043062199997</v>
      </c>
      <c r="N753" s="134">
        <v>0</v>
      </c>
      <c r="O753" s="43" t="s">
        <v>666</v>
      </c>
      <c r="P753" s="43">
        <f t="shared" si="159"/>
        <v>14.318756928876088</v>
      </c>
      <c r="Q753" s="43">
        <f t="shared" si="160"/>
        <v>1.066169E-2</v>
      </c>
      <c r="R753" s="43">
        <f t="shared" si="161"/>
        <v>9.2056619999999999E-3</v>
      </c>
      <c r="S753" s="43">
        <f t="shared" si="162"/>
        <v>0.92624772700000002</v>
      </c>
      <c r="T753" s="43">
        <f t="shared" si="163"/>
        <v>4.0490322580000004</v>
      </c>
      <c r="U753" s="43">
        <f t="shared" si="164"/>
        <v>9.0492813749999996</v>
      </c>
      <c r="V753" s="43">
        <f t="shared" si="165"/>
        <v>7.5582829999999998E-3</v>
      </c>
      <c r="W753" s="230">
        <f t="shared" si="166"/>
        <v>1.2340852522251325E-2</v>
      </c>
      <c r="X753" s="43">
        <f t="shared" si="167"/>
        <v>0.95097540999999997</v>
      </c>
      <c r="Y753" s="43">
        <v>8.5546951</v>
      </c>
      <c r="Z753" s="43">
        <f t="shared" si="156"/>
        <v>0</v>
      </c>
      <c r="AA753" s="43">
        <f t="shared" si="157"/>
        <v>167507</v>
      </c>
      <c r="AB753" s="43">
        <f t="shared" si="158"/>
        <v>52467</v>
      </c>
      <c r="AC753" s="43">
        <f t="shared" si="168"/>
        <v>2.7401368684900142E-2</v>
      </c>
      <c r="AD753" s="43">
        <f t="shared" si="169"/>
        <v>0.88062297462500005</v>
      </c>
      <c r="AF753" s="43">
        <v>14.318756928876088</v>
      </c>
      <c r="AG753" s="43">
        <v>1.066169E-2</v>
      </c>
      <c r="AH753" s="43">
        <v>9.2056619999999999E-3</v>
      </c>
      <c r="AI753" s="43">
        <v>0.92624772700000002</v>
      </c>
      <c r="AJ753" s="43">
        <v>4.0490322580000004</v>
      </c>
      <c r="AK753" s="43">
        <v>9.0492813749999996</v>
      </c>
      <c r="AL753" s="43">
        <v>7.5582829999999998E-3</v>
      </c>
      <c r="AM753" s="230">
        <v>1.2340852522251325E-2</v>
      </c>
      <c r="AN753" s="43">
        <v>0.95097540999999997</v>
      </c>
    </row>
    <row r="754" spans="1:40" x14ac:dyDescent="0.25">
      <c r="A754" s="134">
        <v>744</v>
      </c>
      <c r="B754" s="134" t="s">
        <v>196</v>
      </c>
      <c r="C754" s="134" t="s">
        <v>61</v>
      </c>
      <c r="D754" s="134" t="s">
        <v>197</v>
      </c>
      <c r="E754" s="134">
        <v>5</v>
      </c>
      <c r="F754" s="134">
        <v>17</v>
      </c>
      <c r="G754" s="134">
        <v>136</v>
      </c>
      <c r="H754" s="134">
        <v>1435</v>
      </c>
      <c r="I754" s="200">
        <v>0.217756814878</v>
      </c>
      <c r="J754" s="134">
        <v>1452</v>
      </c>
      <c r="K754" s="134">
        <v>6667.9887874599999</v>
      </c>
      <c r="L754" s="42">
        <v>0.93219293494599997</v>
      </c>
      <c r="M754" s="42">
        <v>0.99652777777799995</v>
      </c>
      <c r="N754" s="134">
        <v>0</v>
      </c>
      <c r="O754" s="43" t="s">
        <v>666</v>
      </c>
      <c r="P754" s="43">
        <f t="shared" si="159"/>
        <v>14.549014425418607</v>
      </c>
      <c r="Q754" s="43">
        <f t="shared" si="160"/>
        <v>9.7340069999999994E-3</v>
      </c>
      <c r="R754" s="43">
        <f t="shared" si="161"/>
        <v>8.6808690000000008E-3</v>
      </c>
      <c r="S754" s="43">
        <f t="shared" si="162"/>
        <v>0.932192935</v>
      </c>
      <c r="T754" s="43">
        <f t="shared" si="163"/>
        <v>4.1104767339999997</v>
      </c>
      <c r="U754" s="43">
        <f t="shared" si="164"/>
        <v>9.0267255110000004</v>
      </c>
      <c r="V754" s="43">
        <f t="shared" si="165"/>
        <v>7.7017869999999999E-3</v>
      </c>
      <c r="W754" s="230">
        <f t="shared" si="166"/>
        <v>1.1137968624105408E-2</v>
      </c>
      <c r="X754" s="43">
        <f t="shared" si="167"/>
        <v>0.957948244</v>
      </c>
      <c r="Y754" s="43">
        <v>8.5546951</v>
      </c>
      <c r="Z754" s="43">
        <f t="shared" si="156"/>
        <v>0</v>
      </c>
      <c r="AA754" s="43">
        <f t="shared" si="157"/>
        <v>167507</v>
      </c>
      <c r="AB754" s="43">
        <f t="shared" si="158"/>
        <v>52467</v>
      </c>
      <c r="AC754" s="43">
        <f t="shared" si="168"/>
        <v>2.7401368684900142E-2</v>
      </c>
      <c r="AD754" s="43">
        <f t="shared" si="169"/>
        <v>0.88062297462500005</v>
      </c>
      <c r="AF754" s="43">
        <v>14.549014425418607</v>
      </c>
      <c r="AG754" s="43">
        <v>9.7340069999999994E-3</v>
      </c>
      <c r="AH754" s="43">
        <v>8.6808690000000008E-3</v>
      </c>
      <c r="AI754" s="43">
        <v>0.932192935</v>
      </c>
      <c r="AJ754" s="43">
        <v>4.1104767339999997</v>
      </c>
      <c r="AK754" s="43">
        <v>9.0267255110000004</v>
      </c>
      <c r="AL754" s="43">
        <v>7.7017869999999999E-3</v>
      </c>
      <c r="AM754" s="230">
        <v>1.1137968624105408E-2</v>
      </c>
      <c r="AN754" s="43">
        <v>0.957948244</v>
      </c>
    </row>
    <row r="755" spans="1:40" x14ac:dyDescent="0.25">
      <c r="A755" s="134">
        <v>745</v>
      </c>
      <c r="B755" s="134" t="s">
        <v>196</v>
      </c>
      <c r="C755" s="134" t="s">
        <v>61</v>
      </c>
      <c r="D755" s="134" t="s">
        <v>197</v>
      </c>
      <c r="E755" s="134">
        <v>5</v>
      </c>
      <c r="F755" s="134">
        <v>17</v>
      </c>
      <c r="G755" s="134">
        <v>237</v>
      </c>
      <c r="H755" s="134">
        <v>1665</v>
      </c>
      <c r="I755" s="200">
        <v>0.38056447899899998</v>
      </c>
      <c r="J755" s="134">
        <v>1682</v>
      </c>
      <c r="K755" s="134">
        <v>4419.7503782399999</v>
      </c>
      <c r="L755" s="42">
        <v>0.95584109264799999</v>
      </c>
      <c r="M755" s="42">
        <v>0.99700598802399998</v>
      </c>
      <c r="N755" s="134">
        <v>0</v>
      </c>
      <c r="O755" s="43" t="s">
        <v>666</v>
      </c>
      <c r="P755" s="43">
        <f t="shared" si="159"/>
        <v>16.599704011401872</v>
      </c>
      <c r="Q755" s="43">
        <f t="shared" si="160"/>
        <v>4.504447E-3</v>
      </c>
      <c r="R755" s="43">
        <f t="shared" si="161"/>
        <v>7.4038120000000001E-3</v>
      </c>
      <c r="S755" s="43">
        <f t="shared" si="162"/>
        <v>0.95584109299999997</v>
      </c>
      <c r="T755" s="43">
        <f t="shared" si="163"/>
        <v>5.343004884</v>
      </c>
      <c r="U755" s="43">
        <f t="shared" si="164"/>
        <v>10.28072527</v>
      </c>
      <c r="V755" s="43">
        <f t="shared" si="165"/>
        <v>5.9066919999999998E-3</v>
      </c>
      <c r="W755" s="230">
        <f t="shared" si="166"/>
        <v>6.1917070438038697E-3</v>
      </c>
      <c r="X755" s="43">
        <f t="shared" si="167"/>
        <v>0.97759191700000003</v>
      </c>
      <c r="Y755" s="43">
        <v>8.5546951</v>
      </c>
      <c r="Z755" s="43">
        <f t="shared" si="156"/>
        <v>0</v>
      </c>
      <c r="AA755" s="43">
        <f t="shared" si="157"/>
        <v>167507</v>
      </c>
      <c r="AB755" s="43">
        <f t="shared" si="158"/>
        <v>52467</v>
      </c>
      <c r="AC755" s="43">
        <f t="shared" si="168"/>
        <v>2.7401368684900142E-2</v>
      </c>
      <c r="AD755" s="43">
        <f t="shared" si="169"/>
        <v>0.88062297462500005</v>
      </c>
      <c r="AF755" s="43">
        <v>16.599704011401872</v>
      </c>
      <c r="AG755" s="43">
        <v>4.504447E-3</v>
      </c>
      <c r="AH755" s="43">
        <v>7.4038120000000001E-3</v>
      </c>
      <c r="AI755" s="43">
        <v>0.95584109299999997</v>
      </c>
      <c r="AJ755" s="43">
        <v>5.343004884</v>
      </c>
      <c r="AK755" s="43">
        <v>10.28072527</v>
      </c>
      <c r="AL755" s="43">
        <v>5.9066919999999998E-3</v>
      </c>
      <c r="AM755" s="230">
        <v>6.1917070438038697E-3</v>
      </c>
      <c r="AN755" s="43">
        <v>0.97759191700000003</v>
      </c>
    </row>
    <row r="756" spans="1:40" x14ac:dyDescent="0.25">
      <c r="A756" s="134">
        <v>746</v>
      </c>
      <c r="B756" s="134" t="s">
        <v>196</v>
      </c>
      <c r="C756" s="134" t="s">
        <v>61</v>
      </c>
      <c r="D756" s="134" t="s">
        <v>197</v>
      </c>
      <c r="E756" s="134">
        <v>2</v>
      </c>
      <c r="F756" s="134">
        <v>7</v>
      </c>
      <c r="G756" s="134">
        <v>99</v>
      </c>
      <c r="H756" s="134">
        <v>696</v>
      </c>
      <c r="I756" s="200">
        <v>0.158000618367</v>
      </c>
      <c r="J756" s="134">
        <v>703</v>
      </c>
      <c r="K756" s="134">
        <v>4449.34967512</v>
      </c>
      <c r="L756" s="42">
        <v>0.94681100715199995</v>
      </c>
      <c r="M756" s="42">
        <v>0.997134670487</v>
      </c>
      <c r="N756" s="134">
        <v>0</v>
      </c>
      <c r="O756" s="43" t="s">
        <v>666</v>
      </c>
      <c r="P756" s="43">
        <f t="shared" si="159"/>
        <v>15.454907080766263</v>
      </c>
      <c r="Q756" s="43">
        <f t="shared" si="160"/>
        <v>7.5707329999999996E-3</v>
      </c>
      <c r="R756" s="43">
        <f t="shared" si="161"/>
        <v>7.8768280000000006E-3</v>
      </c>
      <c r="S756" s="43">
        <f t="shared" si="162"/>
        <v>0.94681100699999998</v>
      </c>
      <c r="T756" s="43">
        <f t="shared" si="163"/>
        <v>4.8427260810000003</v>
      </c>
      <c r="U756" s="43">
        <f t="shared" si="164"/>
        <v>9.3237708759999993</v>
      </c>
      <c r="V756" s="43">
        <f t="shared" si="165"/>
        <v>6.2904939999999998E-3</v>
      </c>
      <c r="W756" s="230">
        <f t="shared" si="166"/>
        <v>8.1046059606549661E-3</v>
      </c>
      <c r="X756" s="43">
        <f t="shared" si="167"/>
        <v>0.96110260300000006</v>
      </c>
      <c r="Y756" s="43">
        <v>8.5546951</v>
      </c>
      <c r="Z756" s="43">
        <f t="shared" si="156"/>
        <v>0</v>
      </c>
      <c r="AA756" s="43">
        <f t="shared" si="157"/>
        <v>167507</v>
      </c>
      <c r="AB756" s="43">
        <f t="shared" si="158"/>
        <v>52467</v>
      </c>
      <c r="AC756" s="43">
        <f t="shared" si="168"/>
        <v>2.7401368684900142E-2</v>
      </c>
      <c r="AD756" s="43">
        <f t="shared" si="169"/>
        <v>0.88062297462500005</v>
      </c>
      <c r="AF756" s="43">
        <v>15.454907080766263</v>
      </c>
      <c r="AG756" s="43">
        <v>7.5707329999999996E-3</v>
      </c>
      <c r="AH756" s="43">
        <v>7.8768280000000006E-3</v>
      </c>
      <c r="AI756" s="43">
        <v>0.94681100699999998</v>
      </c>
      <c r="AJ756" s="43">
        <v>4.8427260810000003</v>
      </c>
      <c r="AK756" s="43">
        <v>9.3237708759999993</v>
      </c>
      <c r="AL756" s="43">
        <v>6.2904939999999998E-3</v>
      </c>
      <c r="AM756" s="230">
        <v>8.1046059606549661E-3</v>
      </c>
      <c r="AN756" s="43">
        <v>0.96110260300000006</v>
      </c>
    </row>
    <row r="757" spans="1:40" x14ac:dyDescent="0.25">
      <c r="A757" s="134">
        <v>747</v>
      </c>
      <c r="B757" s="134" t="s">
        <v>196</v>
      </c>
      <c r="C757" s="134" t="s">
        <v>61</v>
      </c>
      <c r="D757" s="134" t="s">
        <v>197</v>
      </c>
      <c r="E757" s="134">
        <v>0</v>
      </c>
      <c r="F757" s="134">
        <v>0</v>
      </c>
      <c r="G757" s="134">
        <v>636</v>
      </c>
      <c r="H757" s="134">
        <v>541</v>
      </c>
      <c r="I757" s="200">
        <v>1.0213301885799999</v>
      </c>
      <c r="J757" s="134">
        <v>541</v>
      </c>
      <c r="K757" s="134">
        <v>529.70136988900003</v>
      </c>
      <c r="L757" s="42">
        <v>0.97430678902699996</v>
      </c>
      <c r="M757" s="42">
        <v>1</v>
      </c>
      <c r="N757" s="134">
        <v>0</v>
      </c>
      <c r="O757" s="43" t="s">
        <v>665</v>
      </c>
      <c r="P757" s="43">
        <f t="shared" si="159"/>
        <v>16.397079699383571</v>
      </c>
      <c r="Q757" s="43">
        <f t="shared" si="160"/>
        <v>3.0707096671212127E-2</v>
      </c>
      <c r="R757" s="43">
        <f t="shared" si="161"/>
        <v>6.8334320000000004E-3</v>
      </c>
      <c r="S757" s="43">
        <f t="shared" si="162"/>
        <v>0.97430678900000001</v>
      </c>
      <c r="T757" s="43">
        <f t="shared" si="163"/>
        <v>5.9150090420000003</v>
      </c>
      <c r="U757" s="43">
        <f t="shared" si="164"/>
        <v>11.16946514</v>
      </c>
      <c r="V757" s="43">
        <f t="shared" si="165"/>
        <v>5.1968500000000003E-3</v>
      </c>
      <c r="W757" s="230">
        <f t="shared" si="166"/>
        <v>5.3964673252890782E-2</v>
      </c>
      <c r="X757" s="43">
        <f t="shared" si="167"/>
        <v>0.97409448799999998</v>
      </c>
      <c r="Y757" s="43">
        <v>8.5546951</v>
      </c>
      <c r="Z757" s="43">
        <f t="shared" si="156"/>
        <v>0</v>
      </c>
      <c r="AA757" s="43">
        <f t="shared" si="157"/>
        <v>167507</v>
      </c>
      <c r="AB757" s="43">
        <f t="shared" si="158"/>
        <v>52467</v>
      </c>
      <c r="AC757" s="43">
        <f t="shared" si="168"/>
        <v>2.7401368684900142E-2</v>
      </c>
      <c r="AD757" s="43">
        <f t="shared" si="169"/>
        <v>0.88062297462500005</v>
      </c>
      <c r="AF757" s="43">
        <v>16.397079699383571</v>
      </c>
      <c r="AG757" s="43">
        <v>0</v>
      </c>
      <c r="AH757" s="43">
        <v>6.8334320000000004E-3</v>
      </c>
      <c r="AI757" s="43">
        <v>0.97430678900000001</v>
      </c>
      <c r="AJ757" s="43">
        <v>5.9150090420000003</v>
      </c>
      <c r="AK757" s="43">
        <v>11.16946514</v>
      </c>
      <c r="AL757" s="43">
        <v>5.1968500000000003E-3</v>
      </c>
      <c r="AM757" s="230">
        <v>0</v>
      </c>
      <c r="AN757" s="43">
        <v>0.97409448799999998</v>
      </c>
    </row>
    <row r="758" spans="1:40" x14ac:dyDescent="0.25">
      <c r="A758" s="134">
        <v>748</v>
      </c>
      <c r="B758" s="134" t="s">
        <v>196</v>
      </c>
      <c r="C758" s="134" t="s">
        <v>61</v>
      </c>
      <c r="D758" s="134" t="s">
        <v>197</v>
      </c>
      <c r="E758" s="134">
        <v>0</v>
      </c>
      <c r="F758" s="134">
        <v>0</v>
      </c>
      <c r="G758" s="134">
        <v>427</v>
      </c>
      <c r="H758" s="134">
        <v>1366</v>
      </c>
      <c r="I758" s="200">
        <v>0.68570892725599997</v>
      </c>
      <c r="J758" s="134">
        <v>1366</v>
      </c>
      <c r="K758" s="134">
        <v>1992.09890043</v>
      </c>
      <c r="L758" s="42">
        <v>0.95797677107900003</v>
      </c>
      <c r="M758" s="42">
        <v>1</v>
      </c>
      <c r="N758" s="134">
        <v>0</v>
      </c>
      <c r="O758" s="43" t="s">
        <v>666</v>
      </c>
      <c r="P758" s="43">
        <f t="shared" si="159"/>
        <v>15.769135785048755</v>
      </c>
      <c r="Q758" s="43">
        <f t="shared" si="160"/>
        <v>4.0826589999999998E-3</v>
      </c>
      <c r="R758" s="43">
        <f t="shared" si="161"/>
        <v>7.7831970000000004E-3</v>
      </c>
      <c r="S758" s="43">
        <f t="shared" si="162"/>
        <v>0.957976771</v>
      </c>
      <c r="T758" s="43">
        <f t="shared" si="163"/>
        <v>5.0728626940000003</v>
      </c>
      <c r="U758" s="43">
        <f t="shared" si="164"/>
        <v>10.202081</v>
      </c>
      <c r="V758" s="43">
        <f t="shared" si="165"/>
        <v>6.4578839999999997E-3</v>
      </c>
      <c r="W758" s="230">
        <f t="shared" si="166"/>
        <v>4.9383819536775305E-3</v>
      </c>
      <c r="X758" s="43">
        <f t="shared" si="167"/>
        <v>0.97669351900000001</v>
      </c>
      <c r="Y758" s="43">
        <v>8.5546951</v>
      </c>
      <c r="Z758" s="43">
        <f t="shared" si="156"/>
        <v>0</v>
      </c>
      <c r="AA758" s="43">
        <f t="shared" si="157"/>
        <v>167507</v>
      </c>
      <c r="AB758" s="43">
        <f t="shared" si="158"/>
        <v>52467</v>
      </c>
      <c r="AC758" s="43">
        <f t="shared" si="168"/>
        <v>2.7401368684900142E-2</v>
      </c>
      <c r="AD758" s="43">
        <f t="shared" si="169"/>
        <v>0.88062297462500005</v>
      </c>
      <c r="AF758" s="43">
        <v>15.769135785048755</v>
      </c>
      <c r="AG758" s="43">
        <v>4.0826589999999998E-3</v>
      </c>
      <c r="AH758" s="43">
        <v>7.7831970000000004E-3</v>
      </c>
      <c r="AI758" s="43">
        <v>0.957976771</v>
      </c>
      <c r="AJ758" s="43">
        <v>5.0728626940000003</v>
      </c>
      <c r="AK758" s="43">
        <v>10.202081</v>
      </c>
      <c r="AL758" s="43">
        <v>6.4578839999999997E-3</v>
      </c>
      <c r="AM758" s="230">
        <v>4.9383819536775305E-3</v>
      </c>
      <c r="AN758" s="43">
        <v>0.97669351900000001</v>
      </c>
    </row>
    <row r="759" spans="1:40" x14ac:dyDescent="0.25">
      <c r="A759" s="134">
        <v>749</v>
      </c>
      <c r="B759" s="134" t="s">
        <v>196</v>
      </c>
      <c r="C759" s="134" t="s">
        <v>61</v>
      </c>
      <c r="D759" s="134" t="s">
        <v>197</v>
      </c>
      <c r="E759" s="134">
        <v>8</v>
      </c>
      <c r="F759" s="134">
        <v>27</v>
      </c>
      <c r="G759" s="134">
        <v>735</v>
      </c>
      <c r="H759" s="134">
        <v>3806</v>
      </c>
      <c r="I759" s="200">
        <v>1.1796409888799999</v>
      </c>
      <c r="J759" s="134">
        <v>3833</v>
      </c>
      <c r="K759" s="134">
        <v>3249.2936716600002</v>
      </c>
      <c r="L759" s="42">
        <v>0.96704632873800001</v>
      </c>
      <c r="M759" s="42">
        <v>0.99790246460400001</v>
      </c>
      <c r="N759" s="134">
        <v>0</v>
      </c>
      <c r="O759" s="43" t="s">
        <v>666</v>
      </c>
      <c r="P759" s="43">
        <f t="shared" si="159"/>
        <v>15.83792550168393</v>
      </c>
      <c r="Q759" s="43">
        <f t="shared" si="160"/>
        <v>6.38036E-5</v>
      </c>
      <c r="R759" s="43">
        <f t="shared" si="161"/>
        <v>7.4522659999999999E-3</v>
      </c>
      <c r="S759" s="43">
        <f t="shared" si="162"/>
        <v>0.96704632899999998</v>
      </c>
      <c r="T759" s="43">
        <f t="shared" si="163"/>
        <v>5.4800097809999997</v>
      </c>
      <c r="U759" s="43">
        <f t="shared" si="164"/>
        <v>10.755984509999999</v>
      </c>
      <c r="V759" s="43">
        <f t="shared" si="165"/>
        <v>6.2031489999999998E-3</v>
      </c>
      <c r="W759" s="230">
        <f t="shared" si="166"/>
        <v>1.2472819647185506E-4</v>
      </c>
      <c r="X759" s="43">
        <f t="shared" si="167"/>
        <v>0.99023378200000001</v>
      </c>
      <c r="Y759" s="43">
        <v>8.5546951</v>
      </c>
      <c r="Z759" s="43">
        <f t="shared" si="156"/>
        <v>0</v>
      </c>
      <c r="AA759" s="43">
        <f t="shared" si="157"/>
        <v>167507</v>
      </c>
      <c r="AB759" s="43">
        <f t="shared" si="158"/>
        <v>52467</v>
      </c>
      <c r="AC759" s="43">
        <f t="shared" si="168"/>
        <v>2.7401368684900142E-2</v>
      </c>
      <c r="AD759" s="43">
        <f t="shared" si="169"/>
        <v>0.88062297462500005</v>
      </c>
      <c r="AF759" s="43">
        <v>15.83792550168393</v>
      </c>
      <c r="AG759" s="201">
        <v>6.38036E-5</v>
      </c>
      <c r="AH759" s="43">
        <v>7.4522659999999999E-3</v>
      </c>
      <c r="AI759" s="43">
        <v>0.96704632899999998</v>
      </c>
      <c r="AJ759" s="43">
        <v>5.4800097809999997</v>
      </c>
      <c r="AK759" s="43">
        <v>10.755984509999999</v>
      </c>
      <c r="AL759" s="43">
        <v>6.2031489999999998E-3</v>
      </c>
      <c r="AM759" s="230">
        <v>1.2472819647185506E-4</v>
      </c>
      <c r="AN759" s="43">
        <v>0.99023378200000001</v>
      </c>
    </row>
    <row r="760" spans="1:40" x14ac:dyDescent="0.25">
      <c r="A760" s="134">
        <v>750</v>
      </c>
      <c r="B760" s="134" t="s">
        <v>196</v>
      </c>
      <c r="C760" s="134" t="s">
        <v>61</v>
      </c>
      <c r="D760" s="134" t="s">
        <v>197</v>
      </c>
      <c r="E760" s="134">
        <v>14</v>
      </c>
      <c r="F760" s="134">
        <v>47</v>
      </c>
      <c r="G760" s="134">
        <v>423</v>
      </c>
      <c r="H760" s="134">
        <v>3171</v>
      </c>
      <c r="I760" s="200">
        <v>0.678515229439</v>
      </c>
      <c r="J760" s="134">
        <v>3218</v>
      </c>
      <c r="K760" s="134">
        <v>4742.7085795200001</v>
      </c>
      <c r="L760" s="42">
        <v>0.92681350733500001</v>
      </c>
      <c r="M760" s="42">
        <v>0.99560439560400005</v>
      </c>
      <c r="N760" s="134">
        <v>0</v>
      </c>
      <c r="O760" s="43" t="s">
        <v>666</v>
      </c>
      <c r="P760" s="43">
        <f t="shared" si="159"/>
        <v>13.813838269818918</v>
      </c>
      <c r="Q760" s="43">
        <f t="shared" si="160"/>
        <v>1.3174056E-2</v>
      </c>
      <c r="R760" s="43">
        <f t="shared" si="161"/>
        <v>8.7148380000000008E-3</v>
      </c>
      <c r="S760" s="43">
        <f t="shared" si="162"/>
        <v>0.92681350699999998</v>
      </c>
      <c r="T760" s="43">
        <f t="shared" si="163"/>
        <v>3.9277932610000001</v>
      </c>
      <c r="U760" s="43">
        <f t="shared" si="164"/>
        <v>8.9580953510000008</v>
      </c>
      <c r="V760" s="43">
        <f t="shared" si="165"/>
        <v>7.5944280000000003E-3</v>
      </c>
      <c r="W760" s="230">
        <f t="shared" si="166"/>
        <v>1.5348683735654111E-2</v>
      </c>
      <c r="X760" s="43">
        <f t="shared" si="167"/>
        <v>0.95615030099999998</v>
      </c>
      <c r="Y760" s="43">
        <v>8.5616320140000006</v>
      </c>
      <c r="Z760" s="43">
        <f t="shared" si="156"/>
        <v>0</v>
      </c>
      <c r="AA760" s="43">
        <f t="shared" si="157"/>
        <v>167507</v>
      </c>
      <c r="AB760" s="43">
        <f t="shared" si="158"/>
        <v>52467</v>
      </c>
      <c r="AC760" s="43">
        <f t="shared" si="168"/>
        <v>2.7401368684900142E-2</v>
      </c>
      <c r="AD760" s="43">
        <f t="shared" si="169"/>
        <v>0.88062297462500005</v>
      </c>
      <c r="AF760" s="43">
        <v>13.813838269818918</v>
      </c>
      <c r="AG760" s="43">
        <v>1.3174056E-2</v>
      </c>
      <c r="AH760" s="43">
        <v>8.7148380000000008E-3</v>
      </c>
      <c r="AI760" s="43">
        <v>0.92681350699999998</v>
      </c>
      <c r="AJ760" s="43">
        <v>3.9277932610000001</v>
      </c>
      <c r="AK760" s="43">
        <v>8.9580953510000008</v>
      </c>
      <c r="AL760" s="43">
        <v>7.5944280000000003E-3</v>
      </c>
      <c r="AM760" s="230">
        <v>1.5348683735654111E-2</v>
      </c>
      <c r="AN760" s="43">
        <v>0.95615030099999998</v>
      </c>
    </row>
    <row r="761" spans="1:40" x14ac:dyDescent="0.25">
      <c r="A761" s="134">
        <v>751</v>
      </c>
      <c r="B761" s="134" t="s">
        <v>196</v>
      </c>
      <c r="C761" s="134" t="s">
        <v>61</v>
      </c>
      <c r="D761" s="134" t="s">
        <v>197</v>
      </c>
      <c r="E761" s="134">
        <v>196</v>
      </c>
      <c r="F761" s="134">
        <v>658</v>
      </c>
      <c r="G761" s="134">
        <v>141</v>
      </c>
      <c r="H761" s="134">
        <v>546</v>
      </c>
      <c r="I761" s="200">
        <v>0.22582130446900001</v>
      </c>
      <c r="J761" s="134">
        <v>1204</v>
      </c>
      <c r="K761" s="134">
        <v>5331.6493004599997</v>
      </c>
      <c r="L761" s="42">
        <v>0.90378653784100005</v>
      </c>
      <c r="M761" s="42">
        <v>0.73584905660400002</v>
      </c>
      <c r="N761" s="134">
        <v>0</v>
      </c>
      <c r="O761" s="43" t="s">
        <v>666</v>
      </c>
      <c r="P761" s="43">
        <f t="shared" si="159"/>
        <v>12.693866587320329</v>
      </c>
      <c r="Q761" s="43">
        <f t="shared" si="160"/>
        <v>2.3216015E-2</v>
      </c>
      <c r="R761" s="43">
        <f t="shared" si="161"/>
        <v>1.2033406E-2</v>
      </c>
      <c r="S761" s="43">
        <f t="shared" si="162"/>
        <v>0.90378653799999997</v>
      </c>
      <c r="T761" s="43">
        <f t="shared" si="163"/>
        <v>3.594149909</v>
      </c>
      <c r="U761" s="43">
        <f t="shared" si="164"/>
        <v>8.6413638519999996</v>
      </c>
      <c r="V761" s="43">
        <f t="shared" si="165"/>
        <v>6.1434269999999999E-3</v>
      </c>
      <c r="W761" s="230">
        <f t="shared" si="166"/>
        <v>3.160118673019869E-2</v>
      </c>
      <c r="X761" s="43">
        <f t="shared" si="167"/>
        <v>0.92792711800000005</v>
      </c>
      <c r="Y761" s="43">
        <v>8.8079425180000008</v>
      </c>
      <c r="Z761" s="43">
        <f t="shared" si="156"/>
        <v>0</v>
      </c>
      <c r="AA761" s="43">
        <f t="shared" si="157"/>
        <v>167507</v>
      </c>
      <c r="AB761" s="43">
        <f t="shared" si="158"/>
        <v>52467</v>
      </c>
      <c r="AC761" s="43">
        <f t="shared" si="168"/>
        <v>2.7401368684900142E-2</v>
      </c>
      <c r="AD761" s="43">
        <f t="shared" si="169"/>
        <v>0.88062297462500005</v>
      </c>
      <c r="AF761" s="43">
        <v>12.693866587320329</v>
      </c>
      <c r="AG761" s="43">
        <v>2.3216015E-2</v>
      </c>
      <c r="AH761" s="43">
        <v>1.2033406E-2</v>
      </c>
      <c r="AI761" s="43">
        <v>0.90378653799999997</v>
      </c>
      <c r="AJ761" s="43">
        <v>3.594149909</v>
      </c>
      <c r="AK761" s="43">
        <v>8.6413638519999996</v>
      </c>
      <c r="AL761" s="43">
        <v>6.1434269999999999E-3</v>
      </c>
      <c r="AM761" s="230">
        <v>3.160118673019869E-2</v>
      </c>
      <c r="AN761" s="43">
        <v>0.92792711800000005</v>
      </c>
    </row>
    <row r="762" spans="1:40" x14ac:dyDescent="0.25">
      <c r="A762" s="134">
        <v>752</v>
      </c>
      <c r="B762" s="134" t="s">
        <v>196</v>
      </c>
      <c r="C762" s="134" t="s">
        <v>61</v>
      </c>
      <c r="D762" s="134" t="s">
        <v>197</v>
      </c>
      <c r="E762" s="134">
        <v>106</v>
      </c>
      <c r="F762" s="134">
        <v>358</v>
      </c>
      <c r="G762" s="134">
        <v>6218</v>
      </c>
      <c r="H762" s="134">
        <v>903</v>
      </c>
      <c r="I762" s="200">
        <v>9.9746161993500007</v>
      </c>
      <c r="J762" s="134">
        <v>1261</v>
      </c>
      <c r="K762" s="134">
        <v>126.420904303</v>
      </c>
      <c r="L762" s="42">
        <v>0.96753540084099998</v>
      </c>
      <c r="M762" s="42">
        <v>0.89494549058499995</v>
      </c>
      <c r="N762" s="134">
        <v>0</v>
      </c>
      <c r="O762" s="43" t="s">
        <v>665</v>
      </c>
      <c r="P762" s="43">
        <f t="shared" si="159"/>
        <v>16.548560595549322</v>
      </c>
      <c r="Q762" s="43">
        <f t="shared" si="160"/>
        <v>1.1970830999999999E-2</v>
      </c>
      <c r="R762" s="43">
        <f t="shared" si="161"/>
        <v>8.2601959999999992E-3</v>
      </c>
      <c r="S762" s="43">
        <f t="shared" si="162"/>
        <v>0.96753540100000002</v>
      </c>
      <c r="T762" s="43">
        <f t="shared" si="163"/>
        <v>6.5337593780000001</v>
      </c>
      <c r="U762" s="43">
        <f t="shared" si="164"/>
        <v>12.92819984</v>
      </c>
      <c r="V762" s="43">
        <f t="shared" si="165"/>
        <v>4.6112460000000003E-3</v>
      </c>
      <c r="W762" s="230">
        <f t="shared" si="166"/>
        <v>8.2191195935271757E-3</v>
      </c>
      <c r="X762" s="43">
        <f t="shared" si="167"/>
        <v>0.97900388500000002</v>
      </c>
      <c r="Y762" s="43">
        <v>8.6687852949999993</v>
      </c>
      <c r="Z762" s="43">
        <f t="shared" si="156"/>
        <v>0</v>
      </c>
      <c r="AA762" s="43">
        <f t="shared" si="157"/>
        <v>167507</v>
      </c>
      <c r="AB762" s="43">
        <f t="shared" si="158"/>
        <v>52467</v>
      </c>
      <c r="AC762" s="43">
        <f t="shared" si="168"/>
        <v>2.7401368684900142E-2</v>
      </c>
      <c r="AD762" s="43">
        <f t="shared" si="169"/>
        <v>0.88062297462500005</v>
      </c>
      <c r="AF762" s="43">
        <v>16.548560595549322</v>
      </c>
      <c r="AG762" s="43">
        <v>1.1970830999999999E-2</v>
      </c>
      <c r="AH762" s="43">
        <v>8.2601959999999992E-3</v>
      </c>
      <c r="AI762" s="43">
        <v>0.96753540100000002</v>
      </c>
      <c r="AJ762" s="43">
        <v>6.5337593780000001</v>
      </c>
      <c r="AK762" s="43">
        <v>12.92819984</v>
      </c>
      <c r="AL762" s="43">
        <v>4.6112460000000003E-3</v>
      </c>
      <c r="AM762" s="230">
        <v>8.2191195935271757E-3</v>
      </c>
      <c r="AN762" s="43">
        <v>0.97900388500000002</v>
      </c>
    </row>
    <row r="763" spans="1:40" x14ac:dyDescent="0.25">
      <c r="A763" s="134">
        <v>753</v>
      </c>
      <c r="B763" s="134" t="s">
        <v>196</v>
      </c>
      <c r="C763" s="134" t="s">
        <v>61</v>
      </c>
      <c r="D763" s="134" t="s">
        <v>197</v>
      </c>
      <c r="E763" s="134">
        <v>2</v>
      </c>
      <c r="F763" s="134">
        <v>6</v>
      </c>
      <c r="G763" s="134">
        <v>184</v>
      </c>
      <c r="H763" s="134">
        <v>811</v>
      </c>
      <c r="I763" s="200">
        <v>0.29674261250900003</v>
      </c>
      <c r="J763" s="134">
        <v>817</v>
      </c>
      <c r="K763" s="134">
        <v>2753.2277656199999</v>
      </c>
      <c r="L763" s="42">
        <v>0.76705184040499996</v>
      </c>
      <c r="M763" s="42">
        <v>0.99753997539999995</v>
      </c>
      <c r="N763" s="134">
        <v>0</v>
      </c>
      <c r="O763" s="43" t="s">
        <v>664</v>
      </c>
      <c r="P763" s="43">
        <f t="shared" si="159"/>
        <v>12.678405857989331</v>
      </c>
      <c r="Q763" s="43">
        <f t="shared" si="160"/>
        <v>2.5311416999999999E-2</v>
      </c>
      <c r="R763" s="43">
        <f t="shared" si="161"/>
        <v>0.133060551</v>
      </c>
      <c r="S763" s="43">
        <f t="shared" si="162"/>
        <v>0.76705184000000004</v>
      </c>
      <c r="T763" s="43">
        <f t="shared" si="163"/>
        <v>3.1229270219999998</v>
      </c>
      <c r="U763" s="43">
        <f t="shared" si="164"/>
        <v>8.1141633469999999</v>
      </c>
      <c r="V763" s="43">
        <f t="shared" si="165"/>
        <v>7.1670049999999997E-3</v>
      </c>
      <c r="W763" s="230">
        <f t="shared" si="166"/>
        <v>1.3909011880614316E-2</v>
      </c>
      <c r="X763" s="43">
        <f t="shared" si="167"/>
        <v>0.94845938399999996</v>
      </c>
      <c r="Y763" s="43">
        <v>55.613758310000001</v>
      </c>
      <c r="Z763" s="43">
        <f t="shared" si="156"/>
        <v>0</v>
      </c>
      <c r="AA763" s="43">
        <f t="shared" si="157"/>
        <v>167507</v>
      </c>
      <c r="AB763" s="43">
        <f t="shared" si="158"/>
        <v>52467</v>
      </c>
      <c r="AC763" s="43">
        <f t="shared" si="168"/>
        <v>2.7401368684900142E-2</v>
      </c>
      <c r="AD763" s="43">
        <f t="shared" si="169"/>
        <v>0.88062297462500005</v>
      </c>
      <c r="AF763" s="43">
        <v>12.678405857989331</v>
      </c>
      <c r="AG763" s="43">
        <v>2.5311416999999999E-2</v>
      </c>
      <c r="AH763" s="43">
        <v>0.133060551</v>
      </c>
      <c r="AI763" s="43">
        <v>0.76705184000000004</v>
      </c>
      <c r="AJ763" s="43">
        <v>3.1229270219999998</v>
      </c>
      <c r="AK763" s="43">
        <v>8.1141633469999999</v>
      </c>
      <c r="AL763" s="43">
        <v>7.1670049999999997E-3</v>
      </c>
      <c r="AM763" s="230">
        <v>1.3909011880614316E-2</v>
      </c>
      <c r="AN763" s="43">
        <v>0.94845938399999996</v>
      </c>
    </row>
    <row r="764" spans="1:40" x14ac:dyDescent="0.25">
      <c r="A764" s="134">
        <v>754</v>
      </c>
      <c r="B764" s="134" t="s">
        <v>196</v>
      </c>
      <c r="C764" s="134" t="s">
        <v>61</v>
      </c>
      <c r="D764" s="134" t="s">
        <v>197</v>
      </c>
      <c r="E764" s="134">
        <v>738</v>
      </c>
      <c r="F764" s="134">
        <v>2376</v>
      </c>
      <c r="G764" s="134">
        <v>233</v>
      </c>
      <c r="H764" s="134">
        <v>1286</v>
      </c>
      <c r="I764" s="200">
        <v>0.37624549092499998</v>
      </c>
      <c r="J764" s="134">
        <v>3662</v>
      </c>
      <c r="K764" s="134">
        <v>9733.0070082700004</v>
      </c>
      <c r="L764" s="42">
        <v>0.84603139783600001</v>
      </c>
      <c r="M764" s="42">
        <v>0.63537549407100002</v>
      </c>
      <c r="N764" s="134">
        <v>0</v>
      </c>
      <c r="O764" s="43" t="s">
        <v>666</v>
      </c>
      <c r="P764" s="43">
        <f t="shared" si="159"/>
        <v>12.699717587367628</v>
      </c>
      <c r="Q764" s="43">
        <f t="shared" si="160"/>
        <v>2.5154637000000001E-2</v>
      </c>
      <c r="R764" s="43">
        <f t="shared" si="161"/>
        <v>4.2889881999999997E-2</v>
      </c>
      <c r="S764" s="43">
        <f t="shared" si="162"/>
        <v>0.84603139800000005</v>
      </c>
      <c r="T764" s="43">
        <f t="shared" si="163"/>
        <v>3.008548878</v>
      </c>
      <c r="U764" s="43">
        <f t="shared" si="164"/>
        <v>8.4454158459999995</v>
      </c>
      <c r="V764" s="43">
        <f t="shared" si="165"/>
        <v>7.0599340000000003E-3</v>
      </c>
      <c r="W764" s="230">
        <f t="shared" si="166"/>
        <v>4.2142706090954933E-2</v>
      </c>
      <c r="X764" s="43">
        <f t="shared" si="167"/>
        <v>0.91358901599999998</v>
      </c>
      <c r="Y764" s="43">
        <v>57.638396710000002</v>
      </c>
      <c r="Z764" s="43">
        <f t="shared" si="156"/>
        <v>0</v>
      </c>
      <c r="AA764" s="43">
        <f t="shared" si="157"/>
        <v>167507</v>
      </c>
      <c r="AB764" s="43">
        <f t="shared" si="158"/>
        <v>52467</v>
      </c>
      <c r="AC764" s="43">
        <f t="shared" si="168"/>
        <v>2.7401368684900142E-2</v>
      </c>
      <c r="AD764" s="43">
        <f t="shared" si="169"/>
        <v>0.88062297462500005</v>
      </c>
      <c r="AF764" s="43">
        <v>12.699717587367628</v>
      </c>
      <c r="AG764" s="43">
        <v>2.5154637000000001E-2</v>
      </c>
      <c r="AH764" s="43">
        <v>4.2889881999999997E-2</v>
      </c>
      <c r="AI764" s="43">
        <v>0.84603139800000005</v>
      </c>
      <c r="AJ764" s="43">
        <v>3.008548878</v>
      </c>
      <c r="AK764" s="43">
        <v>8.4454158459999995</v>
      </c>
      <c r="AL764" s="43">
        <v>7.0599340000000003E-3</v>
      </c>
      <c r="AM764" s="230">
        <v>4.2142706090954933E-2</v>
      </c>
      <c r="AN764" s="43">
        <v>0.91358901599999998</v>
      </c>
    </row>
    <row r="765" spans="1:40" x14ac:dyDescent="0.25">
      <c r="A765" s="134">
        <v>755</v>
      </c>
      <c r="B765" s="134" t="s">
        <v>196</v>
      </c>
      <c r="C765" s="134" t="s">
        <v>61</v>
      </c>
      <c r="D765" s="134" t="s">
        <v>197</v>
      </c>
      <c r="E765" s="134">
        <v>361</v>
      </c>
      <c r="F765" s="134">
        <v>1548</v>
      </c>
      <c r="G765" s="134">
        <v>86</v>
      </c>
      <c r="H765" s="134">
        <v>1772</v>
      </c>
      <c r="I765" s="200">
        <v>0.13556944433900001</v>
      </c>
      <c r="J765" s="134">
        <v>3320</v>
      </c>
      <c r="K765" s="134">
        <v>24489.294148699999</v>
      </c>
      <c r="L765" s="42">
        <v>0.86099278431500004</v>
      </c>
      <c r="M765" s="42">
        <v>0.83075480543799995</v>
      </c>
      <c r="N765" s="134">
        <v>0</v>
      </c>
      <c r="O765" s="43" t="s">
        <v>664</v>
      </c>
      <c r="P765" s="43">
        <f t="shared" si="159"/>
        <v>13.321103127751437</v>
      </c>
      <c r="Q765" s="43">
        <f t="shared" si="160"/>
        <v>2.9413432E-2</v>
      </c>
      <c r="R765" s="43">
        <f t="shared" si="161"/>
        <v>1.2987828E-2</v>
      </c>
      <c r="S765" s="43">
        <f t="shared" si="162"/>
        <v>0.86099278400000001</v>
      </c>
      <c r="T765" s="43">
        <f t="shared" si="163"/>
        <v>3.246559274</v>
      </c>
      <c r="U765" s="43">
        <f t="shared" si="164"/>
        <v>9.1422464019999996</v>
      </c>
      <c r="V765" s="43">
        <f t="shared" si="165"/>
        <v>8.2631920000000008E-3</v>
      </c>
      <c r="W765" s="230">
        <f t="shared" si="166"/>
        <v>4.9607626510552512E-2</v>
      </c>
      <c r="X765" s="43">
        <f t="shared" si="167"/>
        <v>0.87989043199999994</v>
      </c>
      <c r="Y765" s="43">
        <v>127.5816956</v>
      </c>
      <c r="Z765" s="43">
        <f t="shared" si="156"/>
        <v>0</v>
      </c>
      <c r="AA765" s="43">
        <f t="shared" si="157"/>
        <v>167507</v>
      </c>
      <c r="AB765" s="43">
        <f t="shared" si="158"/>
        <v>52467</v>
      </c>
      <c r="AC765" s="43">
        <f t="shared" si="168"/>
        <v>2.7401368684900142E-2</v>
      </c>
      <c r="AD765" s="43">
        <f t="shared" si="169"/>
        <v>0.88062297462500005</v>
      </c>
      <c r="AF765" s="43">
        <v>13.321103127751437</v>
      </c>
      <c r="AG765" s="43">
        <v>2.9413432E-2</v>
      </c>
      <c r="AH765" s="43">
        <v>1.2987828E-2</v>
      </c>
      <c r="AI765" s="43">
        <v>0.86099278400000001</v>
      </c>
      <c r="AJ765" s="43">
        <v>3.246559274</v>
      </c>
      <c r="AK765" s="43">
        <v>9.1422464019999996</v>
      </c>
      <c r="AL765" s="43">
        <v>8.2631920000000008E-3</v>
      </c>
      <c r="AM765" s="230">
        <v>4.9607626510552512E-2</v>
      </c>
      <c r="AN765" s="43">
        <v>0.87989043199999994</v>
      </c>
    </row>
    <row r="766" spans="1:40" x14ac:dyDescent="0.25">
      <c r="A766" s="134">
        <v>756</v>
      </c>
      <c r="B766" s="134" t="s">
        <v>196</v>
      </c>
      <c r="C766" s="134" t="s">
        <v>61</v>
      </c>
      <c r="D766" s="134" t="s">
        <v>197</v>
      </c>
      <c r="E766" s="134">
        <v>555</v>
      </c>
      <c r="F766" s="134">
        <v>2377</v>
      </c>
      <c r="G766" s="134">
        <v>122</v>
      </c>
      <c r="H766" s="134">
        <v>132</v>
      </c>
      <c r="I766" s="200">
        <v>0.193113073582</v>
      </c>
      <c r="J766" s="134">
        <v>2509</v>
      </c>
      <c r="K766" s="134">
        <v>12992.388104400001</v>
      </c>
      <c r="L766" s="42">
        <v>0.86705618696999998</v>
      </c>
      <c r="M766" s="42">
        <v>0.19213973799100001</v>
      </c>
      <c r="N766" s="134">
        <v>0</v>
      </c>
      <c r="O766" s="43" t="s">
        <v>666</v>
      </c>
      <c r="P766" s="43">
        <f t="shared" si="159"/>
        <v>13.266655677009625</v>
      </c>
      <c r="Q766" s="43">
        <f t="shared" si="160"/>
        <v>2.8455037999999998E-2</v>
      </c>
      <c r="R766" s="43">
        <f t="shared" si="161"/>
        <v>1.7114422000000001E-2</v>
      </c>
      <c r="S766" s="43">
        <f t="shared" si="162"/>
        <v>0.86705618699999998</v>
      </c>
      <c r="T766" s="43">
        <f t="shared" si="163"/>
        <v>3.281335479</v>
      </c>
      <c r="U766" s="43">
        <f t="shared" si="164"/>
        <v>9.3855463960000005</v>
      </c>
      <c r="V766" s="43">
        <f t="shared" si="165"/>
        <v>4.8728809999999999E-3</v>
      </c>
      <c r="W766" s="230">
        <f t="shared" si="166"/>
        <v>6.3008474576271178E-2</v>
      </c>
      <c r="X766" s="43">
        <f t="shared" si="167"/>
        <v>0.89066737299999998</v>
      </c>
      <c r="Y766" s="43">
        <v>129.43008209999999</v>
      </c>
      <c r="Z766" s="43">
        <f t="shared" si="156"/>
        <v>0</v>
      </c>
      <c r="AA766" s="43">
        <f t="shared" si="157"/>
        <v>167507</v>
      </c>
      <c r="AB766" s="43">
        <f t="shared" si="158"/>
        <v>52467</v>
      </c>
      <c r="AC766" s="43">
        <f t="shared" si="168"/>
        <v>2.7401368684900142E-2</v>
      </c>
      <c r="AD766" s="43">
        <f t="shared" si="169"/>
        <v>0.88062297462500005</v>
      </c>
      <c r="AF766" s="43">
        <v>13.266655677009625</v>
      </c>
      <c r="AG766" s="43">
        <v>2.8455037999999998E-2</v>
      </c>
      <c r="AH766" s="43">
        <v>1.7114422000000001E-2</v>
      </c>
      <c r="AI766" s="43">
        <v>0.86705618699999998</v>
      </c>
      <c r="AJ766" s="43">
        <v>3.281335479</v>
      </c>
      <c r="AK766" s="43">
        <v>9.3855463960000005</v>
      </c>
      <c r="AL766" s="43">
        <v>4.8728809999999999E-3</v>
      </c>
      <c r="AM766" s="230">
        <v>6.3008474576271178E-2</v>
      </c>
      <c r="AN766" s="43">
        <v>0.89066737299999998</v>
      </c>
    </row>
    <row r="767" spans="1:40" x14ac:dyDescent="0.25">
      <c r="A767" s="134">
        <v>757</v>
      </c>
      <c r="B767" s="134" t="s">
        <v>196</v>
      </c>
      <c r="C767" s="134" t="s">
        <v>61</v>
      </c>
      <c r="D767" s="134" t="s">
        <v>197</v>
      </c>
      <c r="E767" s="134">
        <v>1226</v>
      </c>
      <c r="F767" s="134">
        <v>4689</v>
      </c>
      <c r="G767" s="134">
        <v>240</v>
      </c>
      <c r="H767" s="134">
        <v>185</v>
      </c>
      <c r="I767" s="200">
        <v>0.37363732956000001</v>
      </c>
      <c r="J767" s="134">
        <v>4874</v>
      </c>
      <c r="K767" s="134">
        <v>13044.735133300001</v>
      </c>
      <c r="L767" s="42">
        <v>0.86905632194399995</v>
      </c>
      <c r="M767" s="42">
        <v>0.131112686038</v>
      </c>
      <c r="N767" s="134">
        <v>0</v>
      </c>
      <c r="O767" s="43" t="s">
        <v>666</v>
      </c>
      <c r="P767" s="43">
        <f t="shared" si="159"/>
        <v>13.424769144957512</v>
      </c>
      <c r="Q767" s="43">
        <f t="shared" si="160"/>
        <v>3.1158248999999999E-2</v>
      </c>
      <c r="R767" s="43">
        <f t="shared" si="161"/>
        <v>1.7400147000000001E-2</v>
      </c>
      <c r="S767" s="43">
        <f t="shared" si="162"/>
        <v>0.86905632200000005</v>
      </c>
      <c r="T767" s="43">
        <f t="shared" si="163"/>
        <v>3.471363636</v>
      </c>
      <c r="U767" s="43">
        <f t="shared" si="164"/>
        <v>9.8145364629999996</v>
      </c>
      <c r="V767" s="43">
        <f t="shared" si="165"/>
        <v>4.6385339999999997E-3</v>
      </c>
      <c r="W767" s="230">
        <f t="shared" si="166"/>
        <v>7.4054870739879694E-2</v>
      </c>
      <c r="X767" s="43">
        <f t="shared" si="167"/>
        <v>0.89825887699999996</v>
      </c>
      <c r="Y767" s="43">
        <v>141.44696590000001</v>
      </c>
      <c r="Z767" s="43">
        <f t="shared" si="156"/>
        <v>0</v>
      </c>
      <c r="AA767" s="43">
        <f t="shared" si="157"/>
        <v>167507</v>
      </c>
      <c r="AB767" s="43">
        <f t="shared" si="158"/>
        <v>52467</v>
      </c>
      <c r="AC767" s="43">
        <f t="shared" si="168"/>
        <v>2.7401368684900142E-2</v>
      </c>
      <c r="AD767" s="43">
        <f t="shared" si="169"/>
        <v>0.88062297462500005</v>
      </c>
      <c r="AF767" s="43">
        <v>13.424769144957512</v>
      </c>
      <c r="AG767" s="43">
        <v>3.1158248999999999E-2</v>
      </c>
      <c r="AH767" s="43">
        <v>1.7400147000000001E-2</v>
      </c>
      <c r="AI767" s="43">
        <v>0.86905632200000005</v>
      </c>
      <c r="AJ767" s="43">
        <v>3.471363636</v>
      </c>
      <c r="AK767" s="43">
        <v>9.8145364629999996</v>
      </c>
      <c r="AL767" s="43">
        <v>4.6385339999999997E-3</v>
      </c>
      <c r="AM767" s="230">
        <v>7.4054870739879694E-2</v>
      </c>
      <c r="AN767" s="43">
        <v>0.89825887699999996</v>
      </c>
    </row>
    <row r="768" spans="1:40" x14ac:dyDescent="0.25">
      <c r="A768" s="134">
        <v>758</v>
      </c>
      <c r="B768" s="134" t="s">
        <v>196</v>
      </c>
      <c r="C768" s="134" t="s">
        <v>61</v>
      </c>
      <c r="D768" s="134" t="s">
        <v>197</v>
      </c>
      <c r="E768" s="134">
        <v>0</v>
      </c>
      <c r="F768" s="134">
        <v>0</v>
      </c>
      <c r="G768" s="134">
        <v>80</v>
      </c>
      <c r="H768" s="134">
        <v>756</v>
      </c>
      <c r="I768" s="200">
        <v>0.14384325794799999</v>
      </c>
      <c r="J768" s="134">
        <v>756</v>
      </c>
      <c r="K768" s="134">
        <v>5255.7207809600004</v>
      </c>
      <c r="L768" s="42">
        <v>0.91992948913499994</v>
      </c>
      <c r="M768" s="42">
        <v>1</v>
      </c>
      <c r="N768" s="134">
        <v>0</v>
      </c>
      <c r="O768" s="43" t="s">
        <v>666</v>
      </c>
      <c r="P768" s="43">
        <f t="shared" si="159"/>
        <v>12.514192079913006</v>
      </c>
      <c r="Q768" s="43">
        <f t="shared" si="160"/>
        <v>1.7356521E-2</v>
      </c>
      <c r="R768" s="43">
        <f t="shared" si="161"/>
        <v>8.0087460000000006E-3</v>
      </c>
      <c r="S768" s="43">
        <f t="shared" si="162"/>
        <v>0.91992948900000004</v>
      </c>
      <c r="T768" s="43">
        <f t="shared" si="163"/>
        <v>3.7150340489999998</v>
      </c>
      <c r="U768" s="43">
        <f t="shared" si="164"/>
        <v>7.8901119599999996</v>
      </c>
      <c r="V768" s="43">
        <f t="shared" si="165"/>
        <v>6.9825770000000002E-3</v>
      </c>
      <c r="W768" s="230">
        <f t="shared" si="166"/>
        <v>1.3061261383409037E-2</v>
      </c>
      <c r="X768" s="43">
        <f t="shared" si="167"/>
        <v>0.94102094800000002</v>
      </c>
      <c r="Y768" s="43">
        <v>30.49717996</v>
      </c>
      <c r="Z768" s="43">
        <f t="shared" si="156"/>
        <v>0</v>
      </c>
      <c r="AA768" s="43">
        <f t="shared" si="157"/>
        <v>167507</v>
      </c>
      <c r="AB768" s="43">
        <f t="shared" si="158"/>
        <v>52467</v>
      </c>
      <c r="AC768" s="43">
        <f t="shared" si="168"/>
        <v>2.7401368684900142E-2</v>
      </c>
      <c r="AD768" s="43">
        <f t="shared" si="169"/>
        <v>0.88062297462500005</v>
      </c>
      <c r="AF768" s="43">
        <v>12.514192079913006</v>
      </c>
      <c r="AG768" s="43">
        <v>1.7356521E-2</v>
      </c>
      <c r="AH768" s="43">
        <v>8.0087460000000006E-3</v>
      </c>
      <c r="AI768" s="43">
        <v>0.91992948900000004</v>
      </c>
      <c r="AJ768" s="43">
        <v>3.7150340489999998</v>
      </c>
      <c r="AK768" s="43">
        <v>7.8901119599999996</v>
      </c>
      <c r="AL768" s="43">
        <v>6.9825770000000002E-3</v>
      </c>
      <c r="AM768" s="230">
        <v>1.3061261383409037E-2</v>
      </c>
      <c r="AN768" s="43">
        <v>0.94102094800000002</v>
      </c>
    </row>
    <row r="769" spans="1:40" x14ac:dyDescent="0.25">
      <c r="A769" s="134">
        <v>759</v>
      </c>
      <c r="B769" s="134" t="s">
        <v>196</v>
      </c>
      <c r="C769" s="134" t="s">
        <v>61</v>
      </c>
      <c r="D769" s="134" t="s">
        <v>197</v>
      </c>
      <c r="E769" s="134">
        <v>299</v>
      </c>
      <c r="F769" s="134">
        <v>925</v>
      </c>
      <c r="G769" s="134">
        <v>278</v>
      </c>
      <c r="H769" s="134">
        <v>75</v>
      </c>
      <c r="I769" s="200">
        <v>8.8182959836700006E-2</v>
      </c>
      <c r="J769" s="134">
        <v>1000</v>
      </c>
      <c r="K769" s="134">
        <v>11340.0593703</v>
      </c>
      <c r="L769" s="42">
        <v>0.87481762310099997</v>
      </c>
      <c r="M769" s="42">
        <v>0.200534759358</v>
      </c>
      <c r="N769" s="134">
        <v>1</v>
      </c>
      <c r="O769" s="43" t="s">
        <v>666</v>
      </c>
      <c r="P769" s="43">
        <f t="shared" si="159"/>
        <v>12.726931171114648</v>
      </c>
      <c r="Q769" s="43">
        <f t="shared" si="160"/>
        <v>2.6425638000000001E-2</v>
      </c>
      <c r="R769" s="43">
        <f t="shared" si="161"/>
        <v>1.2550911E-2</v>
      </c>
      <c r="S769" s="43">
        <f t="shared" si="162"/>
        <v>0.87481762299999999</v>
      </c>
      <c r="T769" s="43">
        <f t="shared" si="163"/>
        <v>3.1580601709999998</v>
      </c>
      <c r="U769" s="43">
        <f t="shared" si="164"/>
        <v>8.447440426</v>
      </c>
      <c r="V769" s="43">
        <f t="shared" si="165"/>
        <v>2.5376719999999999E-3</v>
      </c>
      <c r="W769" s="230">
        <f t="shared" si="166"/>
        <v>5.448134923308405E-2</v>
      </c>
      <c r="X769" s="43">
        <f t="shared" si="167"/>
        <v>0.89649441900000004</v>
      </c>
      <c r="Y769" s="43">
        <v>155.79818320000001</v>
      </c>
      <c r="Z769" s="43">
        <f t="shared" si="156"/>
        <v>0</v>
      </c>
      <c r="AA769" s="43">
        <f t="shared" si="157"/>
        <v>167507</v>
      </c>
      <c r="AB769" s="43">
        <f t="shared" si="158"/>
        <v>52467</v>
      </c>
      <c r="AC769" s="43">
        <f t="shared" si="168"/>
        <v>2.7401368684900142E-2</v>
      </c>
      <c r="AD769" s="43">
        <f t="shared" si="169"/>
        <v>0.88062297462500005</v>
      </c>
      <c r="AF769" s="43">
        <v>12.726931171114648</v>
      </c>
      <c r="AG769" s="43">
        <v>2.6425638000000001E-2</v>
      </c>
      <c r="AH769" s="43">
        <v>1.2550911E-2</v>
      </c>
      <c r="AI769" s="43">
        <v>0.87481762299999999</v>
      </c>
      <c r="AJ769" s="43">
        <v>3.1580601709999998</v>
      </c>
      <c r="AK769" s="43">
        <v>8.447440426</v>
      </c>
      <c r="AL769" s="43">
        <v>2.5376719999999999E-3</v>
      </c>
      <c r="AM769" s="230">
        <v>5.448134923308405E-2</v>
      </c>
      <c r="AN769" s="43">
        <v>0.89649441900000004</v>
      </c>
    </row>
    <row r="770" spans="1:40" x14ac:dyDescent="0.25">
      <c r="A770" s="134">
        <v>760</v>
      </c>
      <c r="B770" s="134" t="s">
        <v>196</v>
      </c>
      <c r="C770" s="134" t="s">
        <v>61</v>
      </c>
      <c r="D770" s="134" t="s">
        <v>197</v>
      </c>
      <c r="E770" s="134">
        <v>332</v>
      </c>
      <c r="F770" s="134">
        <v>1027</v>
      </c>
      <c r="G770" s="134">
        <v>59</v>
      </c>
      <c r="H770" s="134">
        <v>254</v>
      </c>
      <c r="I770" s="200">
        <v>0.105863524865</v>
      </c>
      <c r="J770" s="134">
        <v>1281</v>
      </c>
      <c r="K770" s="134">
        <v>12100.4850503</v>
      </c>
      <c r="L770" s="42">
        <v>0.87010285234499996</v>
      </c>
      <c r="M770" s="42">
        <v>0.43344709897599998</v>
      </c>
      <c r="N770" s="134">
        <v>1</v>
      </c>
      <c r="O770" s="43" t="s">
        <v>666</v>
      </c>
      <c r="P770" s="43">
        <f t="shared" si="159"/>
        <v>13.029475363823849</v>
      </c>
      <c r="Q770" s="43">
        <f t="shared" si="160"/>
        <v>3.7390675999999998E-2</v>
      </c>
      <c r="R770" s="43">
        <f t="shared" si="161"/>
        <v>1.3545724E-2</v>
      </c>
      <c r="S770" s="43">
        <f t="shared" si="162"/>
        <v>0.87010285200000004</v>
      </c>
      <c r="T770" s="43">
        <f t="shared" si="163"/>
        <v>3.4144329899999999</v>
      </c>
      <c r="U770" s="43">
        <f t="shared" si="164"/>
        <v>9.2386536320000001</v>
      </c>
      <c r="V770" s="43">
        <f t="shared" si="165"/>
        <v>6.5097410000000003E-3</v>
      </c>
      <c r="W770" s="230">
        <f t="shared" si="166"/>
        <v>6.2487224240137113E-2</v>
      </c>
      <c r="X770" s="43">
        <f t="shared" si="167"/>
        <v>0.88919288600000002</v>
      </c>
      <c r="Y770" s="43">
        <v>136.13061160000001</v>
      </c>
      <c r="Z770" s="43">
        <f t="shared" si="156"/>
        <v>0</v>
      </c>
      <c r="AA770" s="43">
        <f t="shared" si="157"/>
        <v>167507</v>
      </c>
      <c r="AB770" s="43">
        <f t="shared" si="158"/>
        <v>52467</v>
      </c>
      <c r="AC770" s="43">
        <f t="shared" si="168"/>
        <v>2.7401368684900142E-2</v>
      </c>
      <c r="AD770" s="43">
        <f t="shared" si="169"/>
        <v>0.88062297462500005</v>
      </c>
      <c r="AF770" s="43">
        <v>13.029475363823849</v>
      </c>
      <c r="AG770" s="43">
        <v>3.7390675999999998E-2</v>
      </c>
      <c r="AH770" s="43">
        <v>1.3545724E-2</v>
      </c>
      <c r="AI770" s="43">
        <v>0.87010285200000004</v>
      </c>
      <c r="AJ770" s="43">
        <v>3.4144329899999999</v>
      </c>
      <c r="AK770" s="43">
        <v>9.2386536320000001</v>
      </c>
      <c r="AL770" s="43">
        <v>6.5097410000000003E-3</v>
      </c>
      <c r="AM770" s="230">
        <v>6.2487224240137113E-2</v>
      </c>
      <c r="AN770" s="43">
        <v>0.88919288600000002</v>
      </c>
    </row>
    <row r="771" spans="1:40" x14ac:dyDescent="0.25">
      <c r="A771" s="134">
        <v>761</v>
      </c>
      <c r="B771" s="134" t="s">
        <v>196</v>
      </c>
      <c r="C771" s="134" t="s">
        <v>61</v>
      </c>
      <c r="D771" s="134" t="s">
        <v>197</v>
      </c>
      <c r="E771" s="134">
        <v>92</v>
      </c>
      <c r="F771" s="134">
        <v>285</v>
      </c>
      <c r="G771" s="134">
        <v>28</v>
      </c>
      <c r="H771" s="134">
        <v>44</v>
      </c>
      <c r="I771" s="200">
        <v>5.0070485202999997E-2</v>
      </c>
      <c r="J771" s="134">
        <v>329</v>
      </c>
      <c r="K771" s="134">
        <v>6570.7372050900003</v>
      </c>
      <c r="L771" s="42">
        <v>0.89430158476599997</v>
      </c>
      <c r="M771" s="42">
        <v>0.323529411765</v>
      </c>
      <c r="N771" s="134">
        <v>1</v>
      </c>
      <c r="O771" s="43" t="s">
        <v>666</v>
      </c>
      <c r="P771" s="43">
        <f t="shared" si="159"/>
        <v>13.197778252912036</v>
      </c>
      <c r="Q771" s="43">
        <f t="shared" si="160"/>
        <v>2.4170792999999999E-2</v>
      </c>
      <c r="R771" s="43">
        <f t="shared" si="161"/>
        <v>1.3274414999999999E-2</v>
      </c>
      <c r="S771" s="43">
        <f t="shared" si="162"/>
        <v>0.89430158500000001</v>
      </c>
      <c r="T771" s="43">
        <f t="shared" si="163"/>
        <v>3.8286479249999998</v>
      </c>
      <c r="U771" s="43">
        <f t="shared" si="164"/>
        <v>9.5713927109999997</v>
      </c>
      <c r="V771" s="43">
        <f t="shared" si="165"/>
        <v>2.5779520000000001E-3</v>
      </c>
      <c r="W771" s="230">
        <f t="shared" si="166"/>
        <v>3.5293395531549226E-2</v>
      </c>
      <c r="X771" s="43">
        <f t="shared" si="167"/>
        <v>0.90271298799999999</v>
      </c>
      <c r="Y771" s="43">
        <v>136.51817639999999</v>
      </c>
      <c r="Z771" s="43">
        <f t="shared" si="156"/>
        <v>0</v>
      </c>
      <c r="AA771" s="43">
        <f t="shared" si="157"/>
        <v>167507</v>
      </c>
      <c r="AB771" s="43">
        <f t="shared" si="158"/>
        <v>52467</v>
      </c>
      <c r="AC771" s="43">
        <f t="shared" si="168"/>
        <v>2.7401368684900142E-2</v>
      </c>
      <c r="AD771" s="43">
        <f t="shared" si="169"/>
        <v>0.88062297462500005</v>
      </c>
      <c r="AF771" s="43">
        <v>13.197778252912036</v>
      </c>
      <c r="AG771" s="43">
        <v>2.4170792999999999E-2</v>
      </c>
      <c r="AH771" s="43">
        <v>1.3274414999999999E-2</v>
      </c>
      <c r="AI771" s="43">
        <v>0.89430158500000001</v>
      </c>
      <c r="AJ771" s="43">
        <v>3.8286479249999998</v>
      </c>
      <c r="AK771" s="43">
        <v>9.5713927109999997</v>
      </c>
      <c r="AL771" s="43">
        <v>2.5779520000000001E-3</v>
      </c>
      <c r="AM771" s="230">
        <v>3.5293395531549226E-2</v>
      </c>
      <c r="AN771" s="43">
        <v>0.90271298799999999</v>
      </c>
    </row>
    <row r="772" spans="1:40" x14ac:dyDescent="0.25">
      <c r="A772" s="134">
        <v>762</v>
      </c>
      <c r="B772" s="134" t="s">
        <v>196</v>
      </c>
      <c r="C772" s="134" t="s">
        <v>61</v>
      </c>
      <c r="D772" s="134" t="s">
        <v>197</v>
      </c>
      <c r="E772" s="134">
        <v>589</v>
      </c>
      <c r="F772" s="134">
        <v>1820</v>
      </c>
      <c r="G772" s="134">
        <v>132</v>
      </c>
      <c r="H772" s="134">
        <v>2283</v>
      </c>
      <c r="I772" s="200">
        <v>0.23747267025900001</v>
      </c>
      <c r="J772" s="134">
        <v>4103</v>
      </c>
      <c r="K772" s="134">
        <v>17277.7776724</v>
      </c>
      <c r="L772" s="42">
        <v>0.87815353413099995</v>
      </c>
      <c r="M772" s="42">
        <v>0.79491643454000005</v>
      </c>
      <c r="N772" s="134">
        <v>0</v>
      </c>
      <c r="O772" s="43" t="s">
        <v>664</v>
      </c>
      <c r="P772" s="43">
        <f t="shared" si="159"/>
        <v>12.681642183176725</v>
      </c>
      <c r="Q772" s="43">
        <f t="shared" si="160"/>
        <v>1.8413813000000001E-2</v>
      </c>
      <c r="R772" s="43">
        <f t="shared" si="161"/>
        <v>1.1816653999999999E-2</v>
      </c>
      <c r="S772" s="43">
        <f t="shared" si="162"/>
        <v>0.87815353399999996</v>
      </c>
      <c r="T772" s="43">
        <f t="shared" si="163"/>
        <v>3.23853597</v>
      </c>
      <c r="U772" s="43">
        <f t="shared" si="164"/>
        <v>8.2740230819999994</v>
      </c>
      <c r="V772" s="43">
        <f t="shared" si="165"/>
        <v>8.1362129999999998E-3</v>
      </c>
      <c r="W772" s="230">
        <f t="shared" si="166"/>
        <v>3.2033359774942899E-2</v>
      </c>
      <c r="X772" s="43">
        <f t="shared" si="167"/>
        <v>0.90627966599999998</v>
      </c>
      <c r="Y772" s="43">
        <v>32.840588879999999</v>
      </c>
      <c r="Z772" s="43">
        <f t="shared" si="156"/>
        <v>0</v>
      </c>
      <c r="AA772" s="43">
        <f t="shared" si="157"/>
        <v>167507</v>
      </c>
      <c r="AB772" s="43">
        <f t="shared" si="158"/>
        <v>52467</v>
      </c>
      <c r="AC772" s="43">
        <f t="shared" si="168"/>
        <v>2.7401368684900142E-2</v>
      </c>
      <c r="AD772" s="43">
        <f t="shared" si="169"/>
        <v>0.88062297462500005</v>
      </c>
      <c r="AF772" s="43">
        <v>12.681642183176725</v>
      </c>
      <c r="AG772" s="43">
        <v>1.8413813000000001E-2</v>
      </c>
      <c r="AH772" s="43">
        <v>1.1816653999999999E-2</v>
      </c>
      <c r="AI772" s="43">
        <v>0.87815353399999996</v>
      </c>
      <c r="AJ772" s="43">
        <v>3.23853597</v>
      </c>
      <c r="AK772" s="43">
        <v>8.2740230819999994</v>
      </c>
      <c r="AL772" s="43">
        <v>8.1362129999999998E-3</v>
      </c>
      <c r="AM772" s="230">
        <v>3.2033359774942899E-2</v>
      </c>
      <c r="AN772" s="43">
        <v>0.90627966599999998</v>
      </c>
    </row>
    <row r="773" spans="1:40" x14ac:dyDescent="0.25">
      <c r="A773" s="134">
        <v>763</v>
      </c>
      <c r="B773" s="134" t="s">
        <v>196</v>
      </c>
      <c r="C773" s="134" t="s">
        <v>61</v>
      </c>
      <c r="D773" s="134" t="s">
        <v>197</v>
      </c>
      <c r="E773" s="134">
        <v>451</v>
      </c>
      <c r="F773" s="134">
        <v>1392</v>
      </c>
      <c r="G773" s="134">
        <v>67</v>
      </c>
      <c r="H773" s="134">
        <v>100</v>
      </c>
      <c r="I773" s="200">
        <v>0.12057922101</v>
      </c>
      <c r="J773" s="134">
        <v>1492</v>
      </c>
      <c r="K773" s="134">
        <v>12373.607886199999</v>
      </c>
      <c r="L773" s="42">
        <v>0.85518131984000001</v>
      </c>
      <c r="M773" s="42">
        <v>0.18148820326699999</v>
      </c>
      <c r="N773" s="134">
        <v>0</v>
      </c>
      <c r="O773" s="43" t="s">
        <v>666</v>
      </c>
      <c r="P773" s="43">
        <f t="shared" si="159"/>
        <v>12.925931974214828</v>
      </c>
      <c r="Q773" s="43">
        <f t="shared" si="160"/>
        <v>2.9069154999999999E-2</v>
      </c>
      <c r="R773" s="43">
        <f t="shared" si="161"/>
        <v>1.3866299E-2</v>
      </c>
      <c r="S773" s="43">
        <f t="shared" si="162"/>
        <v>0.85518132000000002</v>
      </c>
      <c r="T773" s="43">
        <f t="shared" si="163"/>
        <v>3.1095444689999998</v>
      </c>
      <c r="U773" s="43">
        <f t="shared" si="164"/>
        <v>8.4021674139999991</v>
      </c>
      <c r="V773" s="43">
        <f t="shared" si="165"/>
        <v>5.2266939999999996E-3</v>
      </c>
      <c r="W773" s="230">
        <f t="shared" si="166"/>
        <v>6.3639986511756244E-2</v>
      </c>
      <c r="X773" s="43">
        <f t="shared" si="167"/>
        <v>0.87843720300000006</v>
      </c>
      <c r="Y773" s="43">
        <v>154.58468669999999</v>
      </c>
      <c r="Z773" s="43">
        <f t="shared" si="156"/>
        <v>0</v>
      </c>
      <c r="AA773" s="43">
        <f t="shared" si="157"/>
        <v>167507</v>
      </c>
      <c r="AB773" s="43">
        <f t="shared" si="158"/>
        <v>52467</v>
      </c>
      <c r="AC773" s="43">
        <f t="shared" si="168"/>
        <v>2.7401368684900142E-2</v>
      </c>
      <c r="AD773" s="43">
        <f t="shared" si="169"/>
        <v>0.88062297462500005</v>
      </c>
      <c r="AF773" s="43">
        <v>12.925931974214828</v>
      </c>
      <c r="AG773" s="43">
        <v>2.9069154999999999E-2</v>
      </c>
      <c r="AH773" s="43">
        <v>1.3866299E-2</v>
      </c>
      <c r="AI773" s="43">
        <v>0.85518132000000002</v>
      </c>
      <c r="AJ773" s="43">
        <v>3.1095444689999998</v>
      </c>
      <c r="AK773" s="43">
        <v>8.4021674139999991</v>
      </c>
      <c r="AL773" s="43">
        <v>5.2266939999999996E-3</v>
      </c>
      <c r="AM773" s="230">
        <v>6.3639986511756244E-2</v>
      </c>
      <c r="AN773" s="43">
        <v>0.87843720300000006</v>
      </c>
    </row>
    <row r="774" spans="1:40" x14ac:dyDescent="0.25">
      <c r="A774" s="134">
        <v>764</v>
      </c>
      <c r="B774" s="134" t="s">
        <v>196</v>
      </c>
      <c r="C774" s="134" t="s">
        <v>61</v>
      </c>
      <c r="D774" s="134" t="s">
        <v>197</v>
      </c>
      <c r="E774" s="134">
        <v>0</v>
      </c>
      <c r="F774" s="134">
        <v>0</v>
      </c>
      <c r="G774" s="134">
        <v>344</v>
      </c>
      <c r="H774" s="134">
        <v>3453</v>
      </c>
      <c r="I774" s="200">
        <v>0.62014825351199998</v>
      </c>
      <c r="J774" s="134">
        <v>3453</v>
      </c>
      <c r="K774" s="134">
        <v>5568.0234209299997</v>
      </c>
      <c r="L774" s="42">
        <v>0.91938891350399998</v>
      </c>
      <c r="M774" s="42">
        <v>1</v>
      </c>
      <c r="N774" s="134">
        <v>0</v>
      </c>
      <c r="O774" s="43" t="s">
        <v>666</v>
      </c>
      <c r="P774" s="43">
        <f t="shared" si="159"/>
        <v>11.933611360449936</v>
      </c>
      <c r="Q774" s="43">
        <f t="shared" si="160"/>
        <v>1.4683875000000001E-2</v>
      </c>
      <c r="R774" s="43">
        <f t="shared" si="161"/>
        <v>8.8574840000000005E-3</v>
      </c>
      <c r="S774" s="43">
        <f t="shared" si="162"/>
        <v>0.919388914</v>
      </c>
      <c r="T774" s="43">
        <f t="shared" si="163"/>
        <v>3.4900171750000002</v>
      </c>
      <c r="U774" s="43">
        <f t="shared" si="164"/>
        <v>7.8755479189999997</v>
      </c>
      <c r="V774" s="43">
        <f t="shared" si="165"/>
        <v>7.8932619999999998E-3</v>
      </c>
      <c r="W774" s="230">
        <f t="shared" si="166"/>
        <v>2.0546281192517266E-2</v>
      </c>
      <c r="X774" s="43">
        <f t="shared" si="167"/>
        <v>0.94853513499999997</v>
      </c>
      <c r="Y774" s="43">
        <v>29.53578121</v>
      </c>
      <c r="Z774" s="43">
        <f t="shared" si="156"/>
        <v>0</v>
      </c>
      <c r="AA774" s="43">
        <f t="shared" si="157"/>
        <v>167507</v>
      </c>
      <c r="AB774" s="43">
        <f t="shared" si="158"/>
        <v>52467</v>
      </c>
      <c r="AC774" s="43">
        <f t="shared" si="168"/>
        <v>2.7401368684900142E-2</v>
      </c>
      <c r="AD774" s="43">
        <f t="shared" si="169"/>
        <v>0.88062297462500005</v>
      </c>
      <c r="AF774" s="43">
        <v>11.933611360449936</v>
      </c>
      <c r="AG774" s="43">
        <v>1.4683875000000001E-2</v>
      </c>
      <c r="AH774" s="43">
        <v>8.8574840000000005E-3</v>
      </c>
      <c r="AI774" s="43">
        <v>0.919388914</v>
      </c>
      <c r="AJ774" s="43">
        <v>3.4900171750000002</v>
      </c>
      <c r="AK774" s="43">
        <v>7.8755479189999997</v>
      </c>
      <c r="AL774" s="43">
        <v>7.8932619999999998E-3</v>
      </c>
      <c r="AM774" s="230">
        <v>2.0546281192517266E-2</v>
      </c>
      <c r="AN774" s="43">
        <v>0.94853513499999997</v>
      </c>
    </row>
    <row r="775" spans="1:40" x14ac:dyDescent="0.25">
      <c r="A775" s="134">
        <v>765</v>
      </c>
      <c r="B775" s="134" t="s">
        <v>196</v>
      </c>
      <c r="C775" s="134" t="s">
        <v>61</v>
      </c>
      <c r="D775" s="134" t="s">
        <v>197</v>
      </c>
      <c r="E775" s="134">
        <v>0</v>
      </c>
      <c r="F775" s="134">
        <v>0</v>
      </c>
      <c r="G775" s="134">
        <v>462</v>
      </c>
      <c r="H775" s="134">
        <v>3381</v>
      </c>
      <c r="I775" s="200">
        <v>0.83123150825799996</v>
      </c>
      <c r="J775" s="134">
        <v>3381</v>
      </c>
      <c r="K775" s="134">
        <v>4067.4589045399998</v>
      </c>
      <c r="L775" s="42">
        <v>0.950801141121</v>
      </c>
      <c r="M775" s="42">
        <v>1</v>
      </c>
      <c r="N775" s="134">
        <v>0</v>
      </c>
      <c r="O775" s="43" t="s">
        <v>666</v>
      </c>
      <c r="P775" s="43">
        <f t="shared" si="159"/>
        <v>12.54065825546491</v>
      </c>
      <c r="Q775" s="43">
        <f t="shared" si="160"/>
        <v>5.517844E-3</v>
      </c>
      <c r="R775" s="43">
        <f t="shared" si="161"/>
        <v>8.6771929999999997E-3</v>
      </c>
      <c r="S775" s="43">
        <f t="shared" si="162"/>
        <v>0.95080114100000002</v>
      </c>
      <c r="T775" s="43">
        <f t="shared" si="163"/>
        <v>4.2027948940000002</v>
      </c>
      <c r="U775" s="43">
        <f t="shared" si="164"/>
        <v>8.6792335769999998</v>
      </c>
      <c r="V775" s="43">
        <f t="shared" si="165"/>
        <v>7.6207549999999999E-3</v>
      </c>
      <c r="W775" s="230">
        <f t="shared" si="166"/>
        <v>5.1844524896578949E-3</v>
      </c>
      <c r="X775" s="43">
        <f t="shared" si="167"/>
        <v>0.97577340400000001</v>
      </c>
      <c r="Y775" s="43">
        <v>29.61950401</v>
      </c>
      <c r="Z775" s="43">
        <f t="shared" si="156"/>
        <v>0</v>
      </c>
      <c r="AA775" s="43">
        <f t="shared" si="157"/>
        <v>167507</v>
      </c>
      <c r="AB775" s="43">
        <f t="shared" si="158"/>
        <v>52467</v>
      </c>
      <c r="AC775" s="43">
        <f t="shared" si="168"/>
        <v>2.7401368684900142E-2</v>
      </c>
      <c r="AD775" s="43">
        <f t="shared" si="169"/>
        <v>0.88062297462500005</v>
      </c>
      <c r="AF775" s="43">
        <v>12.54065825546491</v>
      </c>
      <c r="AG775" s="43">
        <v>5.517844E-3</v>
      </c>
      <c r="AH775" s="43">
        <v>8.6771929999999997E-3</v>
      </c>
      <c r="AI775" s="43">
        <v>0.95080114100000002</v>
      </c>
      <c r="AJ775" s="43">
        <v>4.2027948940000002</v>
      </c>
      <c r="AK775" s="43">
        <v>8.6792335769999998</v>
      </c>
      <c r="AL775" s="43">
        <v>7.6207549999999999E-3</v>
      </c>
      <c r="AM775" s="230">
        <v>5.1844524896578949E-3</v>
      </c>
      <c r="AN775" s="43">
        <v>0.97577340400000001</v>
      </c>
    </row>
    <row r="776" spans="1:40" x14ac:dyDescent="0.25">
      <c r="A776" s="134">
        <v>766</v>
      </c>
      <c r="B776" s="134" t="s">
        <v>196</v>
      </c>
      <c r="C776" s="134" t="s">
        <v>61</v>
      </c>
      <c r="D776" s="134" t="s">
        <v>197</v>
      </c>
      <c r="E776" s="134">
        <v>1870</v>
      </c>
      <c r="F776" s="134">
        <v>6799</v>
      </c>
      <c r="G776" s="134">
        <v>333</v>
      </c>
      <c r="H776" s="134">
        <v>860</v>
      </c>
      <c r="I776" s="200">
        <v>0.54654869213599999</v>
      </c>
      <c r="J776" s="134">
        <v>7659</v>
      </c>
      <c r="K776" s="134">
        <v>14013.3900423</v>
      </c>
      <c r="L776" s="42">
        <v>0.86733712587199996</v>
      </c>
      <c r="M776" s="42">
        <v>0.31501831501799998</v>
      </c>
      <c r="N776" s="134">
        <v>0</v>
      </c>
      <c r="O776" s="43" t="s">
        <v>666</v>
      </c>
      <c r="P776" s="43">
        <f t="shared" si="159"/>
        <v>13.578785910017784</v>
      </c>
      <c r="Q776" s="43">
        <f t="shared" si="160"/>
        <v>3.5317754999999999E-2</v>
      </c>
      <c r="R776" s="43">
        <f t="shared" si="161"/>
        <v>1.4922193E-2</v>
      </c>
      <c r="S776" s="43">
        <f t="shared" si="162"/>
        <v>0.86733712600000001</v>
      </c>
      <c r="T776" s="43">
        <f t="shared" si="163"/>
        <v>3.8244632159999998</v>
      </c>
      <c r="U776" s="43">
        <f t="shared" si="164"/>
        <v>10.338124240000001</v>
      </c>
      <c r="V776" s="43">
        <f t="shared" si="165"/>
        <v>5.2547949999999996E-3</v>
      </c>
      <c r="W776" s="230">
        <f t="shared" si="166"/>
        <v>5.1785382518585894E-2</v>
      </c>
      <c r="X776" s="43">
        <f t="shared" si="167"/>
        <v>0.90649237599999999</v>
      </c>
      <c r="Y776" s="43">
        <v>132.77603629999999</v>
      </c>
      <c r="Z776" s="43">
        <f t="shared" si="156"/>
        <v>0</v>
      </c>
      <c r="AA776" s="43">
        <f t="shared" si="157"/>
        <v>167507</v>
      </c>
      <c r="AB776" s="43">
        <f t="shared" si="158"/>
        <v>52467</v>
      </c>
      <c r="AC776" s="43">
        <f t="shared" si="168"/>
        <v>2.7401368684900142E-2</v>
      </c>
      <c r="AD776" s="43">
        <f t="shared" si="169"/>
        <v>0.88062297462500005</v>
      </c>
      <c r="AF776" s="43">
        <v>13.578785910017784</v>
      </c>
      <c r="AG776" s="43">
        <v>3.5317754999999999E-2</v>
      </c>
      <c r="AH776" s="43">
        <v>1.4922193E-2</v>
      </c>
      <c r="AI776" s="43">
        <v>0.86733712600000001</v>
      </c>
      <c r="AJ776" s="43">
        <v>3.8244632159999998</v>
      </c>
      <c r="AK776" s="43">
        <v>10.338124240000001</v>
      </c>
      <c r="AL776" s="43">
        <v>5.2547949999999996E-3</v>
      </c>
      <c r="AM776" s="230">
        <v>5.1785382518585894E-2</v>
      </c>
      <c r="AN776" s="43">
        <v>0.90649237599999999</v>
      </c>
    </row>
    <row r="777" spans="1:40" x14ac:dyDescent="0.25">
      <c r="A777" s="134">
        <v>767</v>
      </c>
      <c r="B777" s="134" t="s">
        <v>196</v>
      </c>
      <c r="C777" s="134" t="s">
        <v>61</v>
      </c>
      <c r="D777" s="134" t="s">
        <v>197</v>
      </c>
      <c r="E777" s="134">
        <v>475</v>
      </c>
      <c r="F777" s="134">
        <v>1728</v>
      </c>
      <c r="G777" s="134">
        <v>137</v>
      </c>
      <c r="H777" s="134">
        <v>78</v>
      </c>
      <c r="I777" s="200">
        <v>0.22513897376299999</v>
      </c>
      <c r="J777" s="134">
        <v>1806</v>
      </c>
      <c r="K777" s="134">
        <v>8021.7119666899998</v>
      </c>
      <c r="L777" s="42">
        <v>0.889490377507</v>
      </c>
      <c r="M777" s="42">
        <v>0.141048824593</v>
      </c>
      <c r="N777" s="134">
        <v>0</v>
      </c>
      <c r="O777" s="43" t="s">
        <v>666</v>
      </c>
      <c r="P777" s="43">
        <f t="shared" si="159"/>
        <v>13.950866335816613</v>
      </c>
      <c r="Q777" s="43">
        <f t="shared" si="160"/>
        <v>3.1373177000000002E-2</v>
      </c>
      <c r="R777" s="43">
        <f t="shared" si="161"/>
        <v>1.5800715999999999E-2</v>
      </c>
      <c r="S777" s="43">
        <f t="shared" si="162"/>
        <v>0.88949037799999997</v>
      </c>
      <c r="T777" s="43">
        <f t="shared" si="163"/>
        <v>3.7178297919999999</v>
      </c>
      <c r="U777" s="43">
        <f t="shared" si="164"/>
        <v>10.57971684</v>
      </c>
      <c r="V777" s="43">
        <f t="shared" si="165"/>
        <v>2.72354E-3</v>
      </c>
      <c r="W777" s="230">
        <f t="shared" si="166"/>
        <v>5.3535859947697197E-2</v>
      </c>
      <c r="X777" s="43">
        <f t="shared" si="167"/>
        <v>0.92351052199999994</v>
      </c>
      <c r="Y777" s="43">
        <v>62.249885810000002</v>
      </c>
      <c r="Z777" s="43">
        <f t="shared" si="156"/>
        <v>0</v>
      </c>
      <c r="AA777" s="43">
        <f t="shared" si="157"/>
        <v>167507</v>
      </c>
      <c r="AB777" s="43">
        <f t="shared" si="158"/>
        <v>52467</v>
      </c>
      <c r="AC777" s="43">
        <f t="shared" si="168"/>
        <v>2.7401368684900142E-2</v>
      </c>
      <c r="AD777" s="43">
        <f t="shared" si="169"/>
        <v>0.88062297462500005</v>
      </c>
      <c r="AF777" s="43">
        <v>13.950866335816613</v>
      </c>
      <c r="AG777" s="43">
        <v>3.1373177000000002E-2</v>
      </c>
      <c r="AH777" s="43">
        <v>1.5800715999999999E-2</v>
      </c>
      <c r="AI777" s="43">
        <v>0.88949037799999997</v>
      </c>
      <c r="AJ777" s="43">
        <v>3.7178297919999999</v>
      </c>
      <c r="AK777" s="43">
        <v>10.57971684</v>
      </c>
      <c r="AL777" s="43">
        <v>2.72354E-3</v>
      </c>
      <c r="AM777" s="230">
        <v>5.3535859947697197E-2</v>
      </c>
      <c r="AN777" s="43">
        <v>0.92351052199999994</v>
      </c>
    </row>
    <row r="778" spans="1:40" x14ac:dyDescent="0.25">
      <c r="A778" s="134">
        <v>768</v>
      </c>
      <c r="B778" s="134" t="s">
        <v>196</v>
      </c>
      <c r="C778" s="134" t="s">
        <v>61</v>
      </c>
      <c r="D778" s="134" t="s">
        <v>197</v>
      </c>
      <c r="E778" s="134">
        <v>690</v>
      </c>
      <c r="F778" s="134">
        <v>2095</v>
      </c>
      <c r="G778" s="134">
        <v>272</v>
      </c>
      <c r="H778" s="134">
        <v>411</v>
      </c>
      <c r="I778" s="200">
        <v>0.41028351757100001</v>
      </c>
      <c r="J778" s="134">
        <v>2506</v>
      </c>
      <c r="K778" s="134">
        <v>6107.9714213999996</v>
      </c>
      <c r="L778" s="42">
        <v>0.88791289711800003</v>
      </c>
      <c r="M778" s="42">
        <v>0.37329700272499999</v>
      </c>
      <c r="N778" s="134">
        <v>0</v>
      </c>
      <c r="O778" s="43" t="s">
        <v>666</v>
      </c>
      <c r="P778" s="43">
        <f t="shared" si="159"/>
        <v>13.767564449912983</v>
      </c>
      <c r="Q778" s="43">
        <f t="shared" si="160"/>
        <v>2.7998334999999999E-2</v>
      </c>
      <c r="R778" s="43">
        <f t="shared" si="161"/>
        <v>1.3076409000000001E-2</v>
      </c>
      <c r="S778" s="43">
        <f t="shared" si="162"/>
        <v>0.88791289699999998</v>
      </c>
      <c r="T778" s="43">
        <f t="shared" si="163"/>
        <v>3.950458716</v>
      </c>
      <c r="U778" s="43">
        <f t="shared" si="164"/>
        <v>10.39344157</v>
      </c>
      <c r="V778" s="43">
        <f t="shared" si="165"/>
        <v>4.2827270000000001E-3</v>
      </c>
      <c r="W778" s="230">
        <f t="shared" si="166"/>
        <v>4.1315720967728398E-2</v>
      </c>
      <c r="X778" s="43">
        <f t="shared" si="167"/>
        <v>0.92146653999999995</v>
      </c>
      <c r="Y778" s="43">
        <v>75.206088780000002</v>
      </c>
      <c r="Z778" s="43">
        <f t="shared" si="156"/>
        <v>0</v>
      </c>
      <c r="AA778" s="43">
        <f t="shared" si="157"/>
        <v>167507</v>
      </c>
      <c r="AB778" s="43">
        <f t="shared" si="158"/>
        <v>52467</v>
      </c>
      <c r="AC778" s="43">
        <f t="shared" si="168"/>
        <v>2.7401368684900142E-2</v>
      </c>
      <c r="AD778" s="43">
        <f t="shared" si="169"/>
        <v>0.88062297462500005</v>
      </c>
      <c r="AF778" s="43">
        <v>13.767564449912983</v>
      </c>
      <c r="AG778" s="43">
        <v>2.7998334999999999E-2</v>
      </c>
      <c r="AH778" s="43">
        <v>1.3076409000000001E-2</v>
      </c>
      <c r="AI778" s="43">
        <v>0.88791289699999998</v>
      </c>
      <c r="AJ778" s="43">
        <v>3.950458716</v>
      </c>
      <c r="AK778" s="43">
        <v>10.39344157</v>
      </c>
      <c r="AL778" s="43">
        <v>4.2827270000000001E-3</v>
      </c>
      <c r="AM778" s="230">
        <v>4.1315720967728398E-2</v>
      </c>
      <c r="AN778" s="43">
        <v>0.92146653999999995</v>
      </c>
    </row>
    <row r="779" spans="1:40" x14ac:dyDescent="0.25">
      <c r="A779" s="134">
        <v>769</v>
      </c>
      <c r="B779" s="134" t="s">
        <v>208</v>
      </c>
      <c r="C779" s="134" t="s">
        <v>61</v>
      </c>
      <c r="D779" s="134" t="s">
        <v>197</v>
      </c>
      <c r="E779" s="134">
        <v>400</v>
      </c>
      <c r="F779" s="134">
        <v>1214</v>
      </c>
      <c r="G779" s="134">
        <v>339</v>
      </c>
      <c r="H779" s="134">
        <v>272</v>
      </c>
      <c r="I779" s="200">
        <v>0.510479250715</v>
      </c>
      <c r="J779" s="134">
        <v>1486</v>
      </c>
      <c r="K779" s="134">
        <v>2910.99001168</v>
      </c>
      <c r="L779" s="42">
        <v>0.90808856162600005</v>
      </c>
      <c r="M779" s="42">
        <v>0.40476190476200002</v>
      </c>
      <c r="N779" s="134">
        <v>0</v>
      </c>
      <c r="O779" s="43" t="s">
        <v>665</v>
      </c>
      <c r="P779" s="43">
        <f t="shared" si="159"/>
        <v>14.4061053027936</v>
      </c>
      <c r="Q779" s="43">
        <f t="shared" si="160"/>
        <v>2.8180103000000001E-2</v>
      </c>
      <c r="R779" s="43">
        <f t="shared" si="161"/>
        <v>1.2909126999999999E-2</v>
      </c>
      <c r="S779" s="43">
        <f t="shared" si="162"/>
        <v>0.90808856199999999</v>
      </c>
      <c r="T779" s="43">
        <f t="shared" si="163"/>
        <v>4.2352589050000002</v>
      </c>
      <c r="U779" s="43">
        <f t="shared" si="164"/>
        <v>11.27163311</v>
      </c>
      <c r="V779" s="43">
        <f t="shared" si="165"/>
        <v>3.7493600000000002E-3</v>
      </c>
      <c r="W779" s="230">
        <f t="shared" si="166"/>
        <v>3.4837227963862259E-2</v>
      </c>
      <c r="X779" s="43">
        <f t="shared" si="167"/>
        <v>0.93877889800000003</v>
      </c>
      <c r="Y779" s="43">
        <v>41.267155940000002</v>
      </c>
      <c r="Z779" s="43">
        <f t="shared" ref="Z779:Z842" si="170">IF(B779="Berkeley",1,0)</f>
        <v>0</v>
      </c>
      <c r="AA779" s="43">
        <f t="shared" ref="AA779:AA842" si="171">SUMIFS(F:F,B:B,B779)</f>
        <v>73980</v>
      </c>
      <c r="AB779" s="43">
        <f t="shared" ref="AB779:AB842" si="172">SUMIFS(E:E,B:B,B779)</f>
        <v>21707</v>
      </c>
      <c r="AC779" s="43">
        <f t="shared" si="168"/>
        <v>2.9903742718750001E-2</v>
      </c>
      <c r="AD779" s="43">
        <f t="shared" si="169"/>
        <v>0.88755862149999987</v>
      </c>
      <c r="AF779" s="43">
        <v>14.4061053027936</v>
      </c>
      <c r="AG779" s="43">
        <v>2.8180103000000001E-2</v>
      </c>
      <c r="AH779" s="43">
        <v>1.2909126999999999E-2</v>
      </c>
      <c r="AI779" s="43">
        <v>0.90808856199999999</v>
      </c>
      <c r="AJ779" s="43">
        <v>4.2352589050000002</v>
      </c>
      <c r="AK779" s="43">
        <v>11.27163311</v>
      </c>
      <c r="AL779" s="43">
        <v>3.7493600000000002E-3</v>
      </c>
      <c r="AM779" s="230">
        <v>3.4837227963862259E-2</v>
      </c>
      <c r="AN779" s="43">
        <v>0.93877889800000003</v>
      </c>
    </row>
    <row r="780" spans="1:40" x14ac:dyDescent="0.25">
      <c r="A780" s="134">
        <v>770</v>
      </c>
      <c r="B780" s="134" t="s">
        <v>208</v>
      </c>
      <c r="C780" s="134" t="s">
        <v>218</v>
      </c>
      <c r="D780" s="134" t="s">
        <v>219</v>
      </c>
      <c r="E780" s="134">
        <v>215</v>
      </c>
      <c r="F780" s="134">
        <v>571</v>
      </c>
      <c r="G780" s="134">
        <v>6593</v>
      </c>
      <c r="H780" s="134">
        <v>329</v>
      </c>
      <c r="I780" s="200">
        <v>10.358046415800001</v>
      </c>
      <c r="J780" s="134">
        <v>900</v>
      </c>
      <c r="K780" s="134">
        <v>86.888971517800002</v>
      </c>
      <c r="L780" s="42">
        <v>0.95087819010999997</v>
      </c>
      <c r="M780" s="42">
        <v>0.60477941176500005</v>
      </c>
      <c r="N780" s="134">
        <v>0</v>
      </c>
      <c r="O780" s="43" t="s">
        <v>665</v>
      </c>
      <c r="P780" s="43">
        <f t="shared" ref="P780:P843" si="173">IF(OR(IFERROR(AF780=0,TRUE),ISERROR(AF780)),AVERAGEIFS(AF:AF,$B:$B,$B780,AF:AF,"&gt;0"),AF780)</f>
        <v>15.404804290929063</v>
      </c>
      <c r="Q780" s="43">
        <f t="shared" ref="Q780:Q843" si="174">IF(OR(IFERROR(AG780=0,TRUE),ISERROR(AG780)),AVERAGEIFS(AG:AG,$B:$B,$B780,AG:AG,"&gt;0"),AG780)</f>
        <v>1.0175083999999999E-2</v>
      </c>
      <c r="R780" s="43">
        <f t="shared" ref="R780:R843" si="175">IF(OR(IFERROR(AH780=0,TRUE),ISERROR(AH780)),AVERAGEIFS(AH:AH,$B:$B,$B780,AH:AH,"&gt;0"),AH780)</f>
        <v>1.081969E-2</v>
      </c>
      <c r="S780" s="43">
        <f t="shared" ref="S780:S843" si="176">IF(OR(IFERROR(AI780=0,TRUE),ISERROR(AI780)),AVERAGEIFS(AI:AI,$B:$B,$B780,AI:AI,"&gt;0"),AI780)</f>
        <v>0.95087818999999996</v>
      </c>
      <c r="T780" s="43">
        <f t="shared" ref="T780:T843" si="177">IF(OR(IFERROR(AJ780=0,TRUE),ISERROR(AJ780)),AVERAGEIFS(AJ:AJ,$B:$B,$B780,AJ:AJ,"&gt;0"),AJ780)</f>
        <v>6.1287128710000003</v>
      </c>
      <c r="U780" s="43">
        <f t="shared" ref="U780:U843" si="178">IF(OR(IFERROR(AK780=0,TRUE),ISERROR(AK780)),AVERAGEIFS(AK:AK,$B:$B,$B780,AK:AK,"&gt;0"),AK780)</f>
        <v>12.03057214</v>
      </c>
      <c r="V780" s="43">
        <f t="shared" ref="V780:V843" si="179">IF(OR(IFERROR(AL780=0,TRUE),ISERROR(AL780)),AVERAGEIFS(AL:AL,$B:$B,$B780,AL:AL,"&gt;0"),AL780)</f>
        <v>2.6811750000000001E-3</v>
      </c>
      <c r="W780" s="230">
        <f t="shared" ref="W780:W843" si="180">IF(OR(IFERROR(AM780=0,TRUE),ISERROR(AM780)),AVERAGEIFS(AM:AM,$B:$B,$B780,AM:AM,"&gt;0"),AM780)</f>
        <v>2.1860383192751041E-2</v>
      </c>
      <c r="X780" s="43">
        <f t="shared" ref="X780:X843" si="181">IF(OR(IFERROR(AN780=0,TRUE),ISERROR(AN780)),AVERAGEIFS(AN:AN,$B:$B,$B780,AN:AN,"&gt;0"),AN780)</f>
        <v>0.95387204699999995</v>
      </c>
      <c r="Y780" s="43">
        <v>4.6895376249999998</v>
      </c>
      <c r="Z780" s="43">
        <f t="shared" si="170"/>
        <v>0</v>
      </c>
      <c r="AA780" s="43">
        <f t="shared" si="171"/>
        <v>73980</v>
      </c>
      <c r="AB780" s="43">
        <f t="shared" si="172"/>
        <v>21707</v>
      </c>
      <c r="AC780" s="43">
        <f t="shared" ref="AC780:AC843" si="182">AVERAGEIFS(Q:Q,B:B,B780,N:N,0,Q:Q,"&gt;0")</f>
        <v>2.9903742718750001E-2</v>
      </c>
      <c r="AD780" s="43">
        <f t="shared" ref="AD780:AD843" si="183">AVERAGEIFS(S:S,B:B,B780,N:N,0,S:S,"&gt;0")</f>
        <v>0.88755862149999987</v>
      </c>
      <c r="AF780" s="43">
        <v>15.404804290929063</v>
      </c>
      <c r="AG780" s="43">
        <v>1.0175083999999999E-2</v>
      </c>
      <c r="AH780" s="43">
        <v>1.081969E-2</v>
      </c>
      <c r="AI780" s="43">
        <v>0.95087818999999996</v>
      </c>
      <c r="AJ780" s="43">
        <v>6.1287128710000003</v>
      </c>
      <c r="AK780" s="43">
        <v>12.03057214</v>
      </c>
      <c r="AL780" s="43">
        <v>2.6811750000000001E-3</v>
      </c>
      <c r="AM780" s="230">
        <v>2.1860383192751041E-2</v>
      </c>
      <c r="AN780" s="43">
        <v>0.95387204699999995</v>
      </c>
    </row>
    <row r="781" spans="1:40" x14ac:dyDescent="0.25">
      <c r="A781" s="134">
        <v>771</v>
      </c>
      <c r="B781" s="134" t="s">
        <v>208</v>
      </c>
      <c r="C781" s="134" t="s">
        <v>218</v>
      </c>
      <c r="D781" s="134" t="s">
        <v>219</v>
      </c>
      <c r="E781" s="134">
        <v>656</v>
      </c>
      <c r="F781" s="134">
        <v>1741</v>
      </c>
      <c r="G781" s="134">
        <v>207</v>
      </c>
      <c r="H781" s="134">
        <v>92</v>
      </c>
      <c r="I781" s="200">
        <v>0.32494723984599999</v>
      </c>
      <c r="J781" s="134">
        <v>1833</v>
      </c>
      <c r="K781" s="134">
        <v>5640.9157402600003</v>
      </c>
      <c r="L781" s="42">
        <v>0.89851800876999999</v>
      </c>
      <c r="M781" s="42">
        <v>0.12299465240599999</v>
      </c>
      <c r="N781" s="134">
        <v>0</v>
      </c>
      <c r="O781" s="43" t="s">
        <v>665</v>
      </c>
      <c r="P781" s="43">
        <f t="shared" si="173"/>
        <v>14.417133815120973</v>
      </c>
      <c r="Q781" s="43">
        <f t="shared" si="174"/>
        <v>3.0267519E-2</v>
      </c>
      <c r="R781" s="43">
        <f t="shared" si="175"/>
        <v>1.2401275E-2</v>
      </c>
      <c r="S781" s="43">
        <f t="shared" si="176"/>
        <v>0.89851800900000001</v>
      </c>
      <c r="T781" s="43">
        <f t="shared" si="177"/>
        <v>4.4000464629999998</v>
      </c>
      <c r="U781" s="43">
        <f t="shared" si="178"/>
        <v>11.091109879999999</v>
      </c>
      <c r="V781" s="43">
        <f t="shared" si="179"/>
        <v>1.9575349999999998E-3</v>
      </c>
      <c r="W781" s="230">
        <f t="shared" si="180"/>
        <v>5.0584479862972563E-2</v>
      </c>
      <c r="X781" s="43">
        <f t="shared" si="181"/>
        <v>0.92970670300000002</v>
      </c>
      <c r="Y781" s="43">
        <v>4.5378088620000003</v>
      </c>
      <c r="Z781" s="43">
        <f t="shared" si="170"/>
        <v>0</v>
      </c>
      <c r="AA781" s="43">
        <f t="shared" si="171"/>
        <v>73980</v>
      </c>
      <c r="AB781" s="43">
        <f t="shared" si="172"/>
        <v>21707</v>
      </c>
      <c r="AC781" s="43">
        <f t="shared" si="182"/>
        <v>2.9903742718750001E-2</v>
      </c>
      <c r="AD781" s="43">
        <f t="shared" si="183"/>
        <v>0.88755862149999987</v>
      </c>
      <c r="AF781" s="43">
        <v>14.417133815120973</v>
      </c>
      <c r="AG781" s="43">
        <v>3.0267519E-2</v>
      </c>
      <c r="AH781" s="43">
        <v>1.2401275E-2</v>
      </c>
      <c r="AI781" s="43">
        <v>0.89851800900000001</v>
      </c>
      <c r="AJ781" s="43">
        <v>4.4000464629999998</v>
      </c>
      <c r="AK781" s="43">
        <v>11.091109879999999</v>
      </c>
      <c r="AL781" s="43">
        <v>1.9575349999999998E-3</v>
      </c>
      <c r="AM781" s="230">
        <v>5.0584479862972563E-2</v>
      </c>
      <c r="AN781" s="43">
        <v>0.92970670300000002</v>
      </c>
    </row>
    <row r="782" spans="1:40" x14ac:dyDescent="0.25">
      <c r="A782" s="134">
        <v>772</v>
      </c>
      <c r="B782" s="134" t="s">
        <v>208</v>
      </c>
      <c r="C782" s="134" t="s">
        <v>218</v>
      </c>
      <c r="D782" s="134" t="s">
        <v>219</v>
      </c>
      <c r="E782" s="134">
        <v>894</v>
      </c>
      <c r="F782" s="134">
        <v>3760</v>
      </c>
      <c r="G782" s="134">
        <v>201</v>
      </c>
      <c r="H782" s="134">
        <v>540</v>
      </c>
      <c r="I782" s="200">
        <v>0.270071785249</v>
      </c>
      <c r="J782" s="134">
        <v>4300</v>
      </c>
      <c r="K782" s="134">
        <v>15921.6928049</v>
      </c>
      <c r="L782" s="42">
        <v>0.85097759445700005</v>
      </c>
      <c r="M782" s="42">
        <v>0.37656903765700001</v>
      </c>
      <c r="N782" s="134">
        <v>1</v>
      </c>
      <c r="O782" s="43" t="s">
        <v>664</v>
      </c>
      <c r="P782" s="43">
        <f t="shared" si="173"/>
        <v>13.100879941641487</v>
      </c>
      <c r="Q782" s="43">
        <f t="shared" si="174"/>
        <v>4.1960547000000001E-2</v>
      </c>
      <c r="R782" s="43">
        <f t="shared" si="175"/>
        <v>1.6603217999999999E-2</v>
      </c>
      <c r="S782" s="43">
        <f t="shared" si="176"/>
        <v>0.85097759399999995</v>
      </c>
      <c r="T782" s="43">
        <f t="shared" si="177"/>
        <v>3.1045448150000001</v>
      </c>
      <c r="U782" s="43">
        <f t="shared" si="178"/>
        <v>9.6777669199999998</v>
      </c>
      <c r="V782" s="43">
        <f t="shared" si="179"/>
        <v>6.8499069999999997E-3</v>
      </c>
      <c r="W782" s="230">
        <f t="shared" si="180"/>
        <v>5.58659539995272E-2</v>
      </c>
      <c r="X782" s="43">
        <f t="shared" si="181"/>
        <v>0.89752238600000001</v>
      </c>
      <c r="Y782" s="43">
        <v>217.71558350000001</v>
      </c>
      <c r="Z782" s="43">
        <f t="shared" si="170"/>
        <v>0</v>
      </c>
      <c r="AA782" s="43">
        <f t="shared" si="171"/>
        <v>73980</v>
      </c>
      <c r="AB782" s="43">
        <f t="shared" si="172"/>
        <v>21707</v>
      </c>
      <c r="AC782" s="43">
        <f t="shared" si="182"/>
        <v>2.9903742718750001E-2</v>
      </c>
      <c r="AD782" s="43">
        <f t="shared" si="183"/>
        <v>0.88755862149999987</v>
      </c>
      <c r="AF782" s="43">
        <v>13.100879941641487</v>
      </c>
      <c r="AG782" s="43">
        <v>4.1960547000000001E-2</v>
      </c>
      <c r="AH782" s="43">
        <v>1.6603217999999999E-2</v>
      </c>
      <c r="AI782" s="43">
        <v>0.85097759399999995</v>
      </c>
      <c r="AJ782" s="43">
        <v>3.1045448150000001</v>
      </c>
      <c r="AK782" s="43">
        <v>9.6777669199999998</v>
      </c>
      <c r="AL782" s="43">
        <v>6.8499069999999997E-3</v>
      </c>
      <c r="AM782" s="230">
        <v>5.58659539995272E-2</v>
      </c>
      <c r="AN782" s="43">
        <v>0.89752238600000001</v>
      </c>
    </row>
    <row r="783" spans="1:40" x14ac:dyDescent="0.25">
      <c r="A783" s="134">
        <v>773</v>
      </c>
      <c r="B783" s="134" t="s">
        <v>208</v>
      </c>
      <c r="C783" s="134" t="s">
        <v>218</v>
      </c>
      <c r="D783" s="134" t="s">
        <v>219</v>
      </c>
      <c r="E783" s="134">
        <v>696</v>
      </c>
      <c r="F783" s="134">
        <v>2145</v>
      </c>
      <c r="G783" s="134">
        <v>211</v>
      </c>
      <c r="H783" s="134">
        <v>28</v>
      </c>
      <c r="I783" s="200">
        <v>0.235288396915</v>
      </c>
      <c r="J783" s="134">
        <v>2173</v>
      </c>
      <c r="K783" s="134">
        <v>9235.4745431299998</v>
      </c>
      <c r="L783" s="42">
        <v>0.86481768183100005</v>
      </c>
      <c r="M783" s="42">
        <v>3.8674033149200003E-2</v>
      </c>
      <c r="N783" s="134">
        <v>0</v>
      </c>
      <c r="O783" s="43" t="s">
        <v>666</v>
      </c>
      <c r="P783" s="43">
        <f t="shared" si="173"/>
        <v>13.42336082533625</v>
      </c>
      <c r="Q783" s="43">
        <f t="shared" si="174"/>
        <v>5.0781672999999999E-2</v>
      </c>
      <c r="R783" s="43">
        <f t="shared" si="175"/>
        <v>1.2564146999999999E-2</v>
      </c>
      <c r="S783" s="43">
        <f t="shared" si="176"/>
        <v>0.86481768199999998</v>
      </c>
      <c r="T783" s="43">
        <f t="shared" si="177"/>
        <v>3.29964558</v>
      </c>
      <c r="U783" s="43">
        <f t="shared" si="178"/>
        <v>9.7623132580000007</v>
      </c>
      <c r="V783" s="43">
        <f t="shared" si="179"/>
        <v>1.6999669999999999E-3</v>
      </c>
      <c r="W783" s="230">
        <f t="shared" si="180"/>
        <v>8.3916547080251702E-2</v>
      </c>
      <c r="X783" s="43">
        <f t="shared" si="181"/>
        <v>0.89315597700000005</v>
      </c>
      <c r="Y783" s="43">
        <v>117.9315531</v>
      </c>
      <c r="Z783" s="43">
        <f t="shared" si="170"/>
        <v>0</v>
      </c>
      <c r="AA783" s="43">
        <f t="shared" si="171"/>
        <v>73980</v>
      </c>
      <c r="AB783" s="43">
        <f t="shared" si="172"/>
        <v>21707</v>
      </c>
      <c r="AC783" s="43">
        <f t="shared" si="182"/>
        <v>2.9903742718750001E-2</v>
      </c>
      <c r="AD783" s="43">
        <f t="shared" si="183"/>
        <v>0.88755862149999987</v>
      </c>
      <c r="AF783" s="43">
        <v>13.42336082533625</v>
      </c>
      <c r="AG783" s="43">
        <v>5.0781672999999999E-2</v>
      </c>
      <c r="AH783" s="43">
        <v>1.2564146999999999E-2</v>
      </c>
      <c r="AI783" s="43">
        <v>0.86481768199999998</v>
      </c>
      <c r="AJ783" s="43">
        <v>3.29964558</v>
      </c>
      <c r="AK783" s="43">
        <v>9.7623132580000007</v>
      </c>
      <c r="AL783" s="43">
        <v>1.6999669999999999E-3</v>
      </c>
      <c r="AM783" s="230">
        <v>8.3916547080251702E-2</v>
      </c>
      <c r="AN783" s="43">
        <v>0.89315597700000005</v>
      </c>
    </row>
    <row r="784" spans="1:40" x14ac:dyDescent="0.25">
      <c r="A784" s="134">
        <v>774</v>
      </c>
      <c r="B784" s="134" t="s">
        <v>208</v>
      </c>
      <c r="C784" s="134" t="s">
        <v>218</v>
      </c>
      <c r="D784" s="134" t="s">
        <v>219</v>
      </c>
      <c r="E784" s="134">
        <v>843</v>
      </c>
      <c r="F784" s="134">
        <v>2598</v>
      </c>
      <c r="G784" s="134">
        <v>92</v>
      </c>
      <c r="H784" s="134">
        <v>49</v>
      </c>
      <c r="I784" s="200">
        <v>7.2670250753900004E-2</v>
      </c>
      <c r="J784" s="134">
        <v>2647</v>
      </c>
      <c r="K784" s="134">
        <v>36424.8089492</v>
      </c>
      <c r="L784" s="42">
        <v>0.80261557108500003</v>
      </c>
      <c r="M784" s="42">
        <v>5.4932735426000003E-2</v>
      </c>
      <c r="N784" s="134">
        <v>1</v>
      </c>
      <c r="O784" s="43" t="s">
        <v>664</v>
      </c>
      <c r="P784" s="43">
        <f t="shared" si="173"/>
        <v>14.057344104414312</v>
      </c>
      <c r="Q784" s="43">
        <f t="shared" si="174"/>
        <v>8.1559792000000006E-2</v>
      </c>
      <c r="R784" s="43">
        <f t="shared" si="175"/>
        <v>1.538598E-2</v>
      </c>
      <c r="S784" s="43">
        <f t="shared" si="176"/>
        <v>0.80261557100000003</v>
      </c>
      <c r="T784" s="43">
        <f t="shared" si="177"/>
        <v>3.2963154399999999</v>
      </c>
      <c r="U784" s="43">
        <f t="shared" si="178"/>
        <v>10.36660593</v>
      </c>
      <c r="V784" s="43">
        <f t="shared" si="179"/>
        <v>5.0479870000000003E-3</v>
      </c>
      <c r="W784" s="230">
        <f t="shared" si="180"/>
        <v>9.9214757571980547E-2</v>
      </c>
      <c r="X784" s="43">
        <f t="shared" si="181"/>
        <v>0.86825377000000004</v>
      </c>
      <c r="Y784" s="43">
        <v>108.52367030000001</v>
      </c>
      <c r="Z784" s="43">
        <f t="shared" si="170"/>
        <v>0</v>
      </c>
      <c r="AA784" s="43">
        <f t="shared" si="171"/>
        <v>73980</v>
      </c>
      <c r="AB784" s="43">
        <f t="shared" si="172"/>
        <v>21707</v>
      </c>
      <c r="AC784" s="43">
        <f t="shared" si="182"/>
        <v>2.9903742718750001E-2</v>
      </c>
      <c r="AD784" s="43">
        <f t="shared" si="183"/>
        <v>0.88755862149999987</v>
      </c>
      <c r="AF784" s="43">
        <v>14.057344104414312</v>
      </c>
      <c r="AG784" s="43">
        <v>8.1559792000000006E-2</v>
      </c>
      <c r="AH784" s="43">
        <v>1.538598E-2</v>
      </c>
      <c r="AI784" s="43">
        <v>0.80261557100000003</v>
      </c>
      <c r="AJ784" s="43">
        <v>3.2963154399999999</v>
      </c>
      <c r="AK784" s="43">
        <v>10.36660593</v>
      </c>
      <c r="AL784" s="43">
        <v>5.0479870000000003E-3</v>
      </c>
      <c r="AM784" s="230">
        <v>9.9214757571980547E-2</v>
      </c>
      <c r="AN784" s="43">
        <v>0.86825377000000004</v>
      </c>
    </row>
    <row r="785" spans="1:40" x14ac:dyDescent="0.25">
      <c r="A785" s="134">
        <v>775</v>
      </c>
      <c r="B785" s="134" t="s">
        <v>208</v>
      </c>
      <c r="C785" s="134" t="s">
        <v>218</v>
      </c>
      <c r="D785" s="134" t="s">
        <v>219</v>
      </c>
      <c r="E785" s="134">
        <v>570</v>
      </c>
      <c r="F785" s="134">
        <v>1757</v>
      </c>
      <c r="G785" s="134">
        <v>113</v>
      </c>
      <c r="H785" s="134">
        <v>390</v>
      </c>
      <c r="I785" s="200">
        <v>0.19125715895500001</v>
      </c>
      <c r="J785" s="134">
        <v>2147</v>
      </c>
      <c r="K785" s="134">
        <v>11225.7235846</v>
      </c>
      <c r="L785" s="42">
        <v>0.89706917346799997</v>
      </c>
      <c r="M785" s="42">
        <v>0.40625</v>
      </c>
      <c r="N785" s="134">
        <v>0</v>
      </c>
      <c r="O785" s="43" t="s">
        <v>666</v>
      </c>
      <c r="P785" s="43">
        <f t="shared" si="173"/>
        <v>14.021943236311657</v>
      </c>
      <c r="Q785" s="43">
        <f t="shared" si="174"/>
        <v>3.1549371999999999E-2</v>
      </c>
      <c r="R785" s="43">
        <f t="shared" si="175"/>
        <v>1.2660045E-2</v>
      </c>
      <c r="S785" s="43">
        <f t="shared" si="176"/>
        <v>0.897069173</v>
      </c>
      <c r="T785" s="43">
        <f t="shared" si="177"/>
        <v>4.0243476359999999</v>
      </c>
      <c r="U785" s="43">
        <f t="shared" si="178"/>
        <v>10.76220226</v>
      </c>
      <c r="V785" s="43">
        <f t="shared" si="179"/>
        <v>5.28146E-3</v>
      </c>
      <c r="W785" s="230">
        <f t="shared" si="180"/>
        <v>4.6215109648712817E-2</v>
      </c>
      <c r="X785" s="43">
        <f t="shared" si="181"/>
        <v>0.92347959400000001</v>
      </c>
      <c r="Y785" s="43">
        <v>79.570319049999995</v>
      </c>
      <c r="Z785" s="43">
        <f t="shared" si="170"/>
        <v>0</v>
      </c>
      <c r="AA785" s="43">
        <f t="shared" si="171"/>
        <v>73980</v>
      </c>
      <c r="AB785" s="43">
        <f t="shared" si="172"/>
        <v>21707</v>
      </c>
      <c r="AC785" s="43">
        <f t="shared" si="182"/>
        <v>2.9903742718750001E-2</v>
      </c>
      <c r="AD785" s="43">
        <f t="shared" si="183"/>
        <v>0.88755862149999987</v>
      </c>
      <c r="AF785" s="43">
        <v>14.021943236311657</v>
      </c>
      <c r="AG785" s="43">
        <v>3.1549371999999999E-2</v>
      </c>
      <c r="AH785" s="43">
        <v>1.2660045E-2</v>
      </c>
      <c r="AI785" s="43">
        <v>0.897069173</v>
      </c>
      <c r="AJ785" s="43">
        <v>4.0243476359999999</v>
      </c>
      <c r="AK785" s="43">
        <v>10.76220226</v>
      </c>
      <c r="AL785" s="43">
        <v>5.28146E-3</v>
      </c>
      <c r="AM785" s="230">
        <v>4.6215109648712817E-2</v>
      </c>
      <c r="AN785" s="43">
        <v>0.92347959400000001</v>
      </c>
    </row>
    <row r="786" spans="1:40" x14ac:dyDescent="0.25">
      <c r="A786" s="134">
        <v>776</v>
      </c>
      <c r="B786" s="134" t="s">
        <v>208</v>
      </c>
      <c r="C786" s="134" t="s">
        <v>218</v>
      </c>
      <c r="D786" s="134" t="s">
        <v>219</v>
      </c>
      <c r="E786" s="134">
        <v>0</v>
      </c>
      <c r="F786" s="134">
        <v>0</v>
      </c>
      <c r="G786" s="134">
        <v>74</v>
      </c>
      <c r="H786" s="134">
        <v>1275</v>
      </c>
      <c r="I786" s="200">
        <v>0.161918235956</v>
      </c>
      <c r="J786" s="134">
        <v>1275</v>
      </c>
      <c r="K786" s="134">
        <v>7874.3446806600004</v>
      </c>
      <c r="L786" s="42">
        <v>0.90504856804199996</v>
      </c>
      <c r="M786" s="42">
        <v>1</v>
      </c>
      <c r="N786" s="134">
        <v>1</v>
      </c>
      <c r="O786" s="43" t="s">
        <v>664</v>
      </c>
      <c r="P786" s="43">
        <f t="shared" si="173"/>
        <v>12.211855276714736</v>
      </c>
      <c r="Q786" s="43">
        <f t="shared" si="174"/>
        <v>2.2918614E-2</v>
      </c>
      <c r="R786" s="43">
        <f t="shared" si="175"/>
        <v>8.7669259999999995E-3</v>
      </c>
      <c r="S786" s="43">
        <f t="shared" si="176"/>
        <v>0.905048568</v>
      </c>
      <c r="T786" s="43">
        <f t="shared" si="177"/>
        <v>3.6210235129999999</v>
      </c>
      <c r="U786" s="43">
        <f t="shared" si="178"/>
        <v>8.4347281840000008</v>
      </c>
      <c r="V786" s="43">
        <f t="shared" si="179"/>
        <v>6.3916859999999997E-3</v>
      </c>
      <c r="W786" s="230">
        <f t="shared" si="180"/>
        <v>3.0394997011081986E-2</v>
      </c>
      <c r="X786" s="43">
        <f t="shared" si="181"/>
        <v>0.92831195099999997</v>
      </c>
      <c r="Y786" s="43">
        <v>79.414596180000004</v>
      </c>
      <c r="Z786" s="43">
        <f t="shared" si="170"/>
        <v>0</v>
      </c>
      <c r="AA786" s="43">
        <f t="shared" si="171"/>
        <v>73980</v>
      </c>
      <c r="AB786" s="43">
        <f t="shared" si="172"/>
        <v>21707</v>
      </c>
      <c r="AC786" s="43">
        <f t="shared" si="182"/>
        <v>2.9903742718750001E-2</v>
      </c>
      <c r="AD786" s="43">
        <f t="shared" si="183"/>
        <v>0.88755862149999987</v>
      </c>
      <c r="AF786" s="43">
        <v>12.211855276714736</v>
      </c>
      <c r="AG786" s="43">
        <v>2.2918614E-2</v>
      </c>
      <c r="AH786" s="43">
        <v>8.7669259999999995E-3</v>
      </c>
      <c r="AI786" s="43">
        <v>0.905048568</v>
      </c>
      <c r="AJ786" s="43">
        <v>3.6210235129999999</v>
      </c>
      <c r="AK786" s="43">
        <v>8.4347281840000008</v>
      </c>
      <c r="AL786" s="43">
        <v>6.3916859999999997E-3</v>
      </c>
      <c r="AM786" s="230">
        <v>3.0394997011081986E-2</v>
      </c>
      <c r="AN786" s="43">
        <v>0.92831195099999997</v>
      </c>
    </row>
    <row r="787" spans="1:40" x14ac:dyDescent="0.25">
      <c r="A787" s="134">
        <v>777</v>
      </c>
      <c r="B787" s="134" t="s">
        <v>208</v>
      </c>
      <c r="C787" s="134" t="s">
        <v>218</v>
      </c>
      <c r="D787" s="134" t="s">
        <v>219</v>
      </c>
      <c r="E787" s="134">
        <v>119</v>
      </c>
      <c r="F787" s="134">
        <v>367</v>
      </c>
      <c r="G787" s="134">
        <v>29</v>
      </c>
      <c r="H787" s="134">
        <v>90</v>
      </c>
      <c r="I787" s="200">
        <v>2.5068726949399999E-2</v>
      </c>
      <c r="J787" s="134">
        <v>457</v>
      </c>
      <c r="K787" s="134">
        <v>18229.8846257</v>
      </c>
      <c r="L787" s="42">
        <v>0.86824936356600002</v>
      </c>
      <c r="M787" s="42">
        <v>0.43062200956899999</v>
      </c>
      <c r="N787" s="134">
        <v>1</v>
      </c>
      <c r="O787" s="43" t="s">
        <v>664</v>
      </c>
      <c r="P787" s="43">
        <f t="shared" si="173"/>
        <v>13.102743611406753</v>
      </c>
      <c r="Q787" s="43">
        <f t="shared" si="174"/>
        <v>3.9322716000000001E-2</v>
      </c>
      <c r="R787" s="43">
        <f t="shared" si="175"/>
        <v>1.1959031E-2</v>
      </c>
      <c r="S787" s="43">
        <f t="shared" si="176"/>
        <v>0.86824936399999997</v>
      </c>
      <c r="T787" s="43">
        <f t="shared" si="177"/>
        <v>3.4283582090000002</v>
      </c>
      <c r="U787" s="43">
        <f t="shared" si="178"/>
        <v>9.2519851729999996</v>
      </c>
      <c r="V787" s="43">
        <f t="shared" si="179"/>
        <v>4.6954659999999997E-3</v>
      </c>
      <c r="W787" s="230">
        <f t="shared" si="180"/>
        <v>5.3125838475986044E-2</v>
      </c>
      <c r="X787" s="43">
        <f t="shared" si="181"/>
        <v>0.87671049099999998</v>
      </c>
      <c r="Y787" s="43">
        <v>114.01782230000001</v>
      </c>
      <c r="Z787" s="43">
        <f t="shared" si="170"/>
        <v>0</v>
      </c>
      <c r="AA787" s="43">
        <f t="shared" si="171"/>
        <v>73980</v>
      </c>
      <c r="AB787" s="43">
        <f t="shared" si="172"/>
        <v>21707</v>
      </c>
      <c r="AC787" s="43">
        <f t="shared" si="182"/>
        <v>2.9903742718750001E-2</v>
      </c>
      <c r="AD787" s="43">
        <f t="shared" si="183"/>
        <v>0.88755862149999987</v>
      </c>
      <c r="AF787" s="43">
        <v>13.102743611406753</v>
      </c>
      <c r="AG787" s="43">
        <v>3.9322716000000001E-2</v>
      </c>
      <c r="AH787" s="43">
        <v>1.1959031E-2</v>
      </c>
      <c r="AI787" s="43">
        <v>0.86824936399999997</v>
      </c>
      <c r="AJ787" s="43">
        <v>3.4283582090000002</v>
      </c>
      <c r="AK787" s="43">
        <v>9.2519851729999996</v>
      </c>
      <c r="AL787" s="43">
        <v>4.6954659999999997E-3</v>
      </c>
      <c r="AM787" s="230">
        <v>5.3125838475986044E-2</v>
      </c>
      <c r="AN787" s="43">
        <v>0.87671049099999998</v>
      </c>
    </row>
    <row r="788" spans="1:40" x14ac:dyDescent="0.25">
      <c r="A788" s="134">
        <v>778</v>
      </c>
      <c r="B788" s="134" t="s">
        <v>208</v>
      </c>
      <c r="C788" s="134" t="s">
        <v>218</v>
      </c>
      <c r="D788" s="134" t="s">
        <v>219</v>
      </c>
      <c r="E788" s="134">
        <v>550</v>
      </c>
      <c r="F788" s="134">
        <v>1695</v>
      </c>
      <c r="G788" s="134">
        <v>43</v>
      </c>
      <c r="H788" s="134">
        <v>145</v>
      </c>
      <c r="I788" s="200">
        <v>9.5030006452099997E-2</v>
      </c>
      <c r="J788" s="134">
        <v>1840</v>
      </c>
      <c r="K788" s="134">
        <v>19362.305325400001</v>
      </c>
      <c r="L788" s="42">
        <v>0.83621374008100002</v>
      </c>
      <c r="M788" s="42">
        <v>0.20863309352500001</v>
      </c>
      <c r="N788" s="134">
        <v>1</v>
      </c>
      <c r="O788" s="43" t="s">
        <v>664</v>
      </c>
      <c r="P788" s="43">
        <f t="shared" si="173"/>
        <v>13.725088595420635</v>
      </c>
      <c r="Q788" s="43">
        <f t="shared" si="174"/>
        <v>6.6562879000000005E-2</v>
      </c>
      <c r="R788" s="43">
        <f t="shared" si="175"/>
        <v>1.3924796999999999E-2</v>
      </c>
      <c r="S788" s="43">
        <f t="shared" si="176"/>
        <v>0.83621374000000004</v>
      </c>
      <c r="T788" s="43">
        <f t="shared" si="177"/>
        <v>3.4276030670000002</v>
      </c>
      <c r="U788" s="43">
        <f t="shared" si="178"/>
        <v>9.7534326650000001</v>
      </c>
      <c r="V788" s="43">
        <f t="shared" si="179"/>
        <v>7.0860819999999996E-3</v>
      </c>
      <c r="W788" s="230">
        <f t="shared" si="180"/>
        <v>0.10844735553949791</v>
      </c>
      <c r="X788" s="43">
        <f t="shared" si="181"/>
        <v>0.851145661</v>
      </c>
      <c r="Y788" s="43">
        <v>114.98444499999999</v>
      </c>
      <c r="Z788" s="43">
        <f t="shared" si="170"/>
        <v>0</v>
      </c>
      <c r="AA788" s="43">
        <f t="shared" si="171"/>
        <v>73980</v>
      </c>
      <c r="AB788" s="43">
        <f t="shared" si="172"/>
        <v>21707</v>
      </c>
      <c r="AC788" s="43">
        <f t="shared" si="182"/>
        <v>2.9903742718750001E-2</v>
      </c>
      <c r="AD788" s="43">
        <f t="shared" si="183"/>
        <v>0.88755862149999987</v>
      </c>
      <c r="AF788" s="43">
        <v>13.725088595420635</v>
      </c>
      <c r="AG788" s="43">
        <v>6.6562879000000005E-2</v>
      </c>
      <c r="AH788" s="43">
        <v>1.3924796999999999E-2</v>
      </c>
      <c r="AI788" s="43">
        <v>0.83621374000000004</v>
      </c>
      <c r="AJ788" s="43">
        <v>3.4276030670000002</v>
      </c>
      <c r="AK788" s="43">
        <v>9.7534326650000001</v>
      </c>
      <c r="AL788" s="43">
        <v>7.0860819999999996E-3</v>
      </c>
      <c r="AM788" s="230">
        <v>0.10844735553949791</v>
      </c>
      <c r="AN788" s="43">
        <v>0.851145661</v>
      </c>
    </row>
    <row r="789" spans="1:40" x14ac:dyDescent="0.25">
      <c r="A789" s="134">
        <v>779</v>
      </c>
      <c r="B789" s="134" t="s">
        <v>208</v>
      </c>
      <c r="C789" s="134" t="s">
        <v>218</v>
      </c>
      <c r="D789" s="134" t="s">
        <v>219</v>
      </c>
      <c r="E789" s="134">
        <v>532</v>
      </c>
      <c r="F789" s="134">
        <v>1615</v>
      </c>
      <c r="G789" s="134">
        <v>170</v>
      </c>
      <c r="H789" s="134">
        <v>689</v>
      </c>
      <c r="I789" s="200">
        <v>0.158048475164</v>
      </c>
      <c r="J789" s="134">
        <v>2304</v>
      </c>
      <c r="K789" s="134">
        <v>14577.8059397</v>
      </c>
      <c r="L789" s="42">
        <v>0.88591319819000003</v>
      </c>
      <c r="M789" s="42">
        <v>0.564291564292</v>
      </c>
      <c r="N789" s="134">
        <v>1</v>
      </c>
      <c r="O789" s="43" t="s">
        <v>664</v>
      </c>
      <c r="P789" s="43">
        <f t="shared" si="173"/>
        <v>13.693437704953231</v>
      </c>
      <c r="Q789" s="43">
        <f t="shared" si="174"/>
        <v>3.5308543999999997E-2</v>
      </c>
      <c r="R789" s="43">
        <f t="shared" si="175"/>
        <v>1.3746937000000001E-2</v>
      </c>
      <c r="S789" s="43">
        <f t="shared" si="176"/>
        <v>0.88591319800000001</v>
      </c>
      <c r="T789" s="43">
        <f t="shared" si="177"/>
        <v>3.4651412229999998</v>
      </c>
      <c r="U789" s="43">
        <f t="shared" si="178"/>
        <v>10.115801879999999</v>
      </c>
      <c r="V789" s="43">
        <f t="shared" si="179"/>
        <v>5.537602E-3</v>
      </c>
      <c r="W789" s="230">
        <f t="shared" si="180"/>
        <v>4.6263833289043953E-2</v>
      </c>
      <c r="X789" s="43">
        <f t="shared" si="181"/>
        <v>0.921230616</v>
      </c>
      <c r="Y789" s="43">
        <v>76.649217010000001</v>
      </c>
      <c r="Z789" s="43">
        <f t="shared" si="170"/>
        <v>0</v>
      </c>
      <c r="AA789" s="43">
        <f t="shared" si="171"/>
        <v>73980</v>
      </c>
      <c r="AB789" s="43">
        <f t="shared" si="172"/>
        <v>21707</v>
      </c>
      <c r="AC789" s="43">
        <f t="shared" si="182"/>
        <v>2.9903742718750001E-2</v>
      </c>
      <c r="AD789" s="43">
        <f t="shared" si="183"/>
        <v>0.88755862149999987</v>
      </c>
      <c r="AF789" s="43">
        <v>13.693437704953231</v>
      </c>
      <c r="AG789" s="43">
        <v>3.5308543999999997E-2</v>
      </c>
      <c r="AH789" s="43">
        <v>1.3746937000000001E-2</v>
      </c>
      <c r="AI789" s="43">
        <v>0.88591319800000001</v>
      </c>
      <c r="AJ789" s="43">
        <v>3.4651412229999998</v>
      </c>
      <c r="AK789" s="43">
        <v>10.115801879999999</v>
      </c>
      <c r="AL789" s="43">
        <v>5.537602E-3</v>
      </c>
      <c r="AM789" s="230">
        <v>4.6263833289043953E-2</v>
      </c>
      <c r="AN789" s="43">
        <v>0.921230616</v>
      </c>
    </row>
    <row r="790" spans="1:40" x14ac:dyDescent="0.25">
      <c r="A790" s="134">
        <v>780</v>
      </c>
      <c r="B790" s="134" t="s">
        <v>208</v>
      </c>
      <c r="C790" s="134" t="s">
        <v>218</v>
      </c>
      <c r="D790" s="134" t="s">
        <v>219</v>
      </c>
      <c r="E790" s="134">
        <v>566</v>
      </c>
      <c r="F790" s="134">
        <v>1720</v>
      </c>
      <c r="G790" s="134">
        <v>100</v>
      </c>
      <c r="H790" s="134">
        <v>363</v>
      </c>
      <c r="I790" s="200">
        <v>0.20485178126600001</v>
      </c>
      <c r="J790" s="134">
        <v>2083</v>
      </c>
      <c r="K790" s="134">
        <v>10168.3274958</v>
      </c>
      <c r="L790" s="42">
        <v>0.700104898812</v>
      </c>
      <c r="M790" s="42">
        <v>0.39074273412299998</v>
      </c>
      <c r="N790" s="134">
        <v>0</v>
      </c>
      <c r="O790" s="43" t="s">
        <v>664</v>
      </c>
      <c r="P790" s="43">
        <f t="shared" si="173"/>
        <v>13.680753589565319</v>
      </c>
      <c r="Q790" s="43">
        <f t="shared" si="174"/>
        <v>4.5623408999999997E-2</v>
      </c>
      <c r="R790" s="43">
        <f t="shared" si="175"/>
        <v>0.15617236700000001</v>
      </c>
      <c r="S790" s="43">
        <f t="shared" si="176"/>
        <v>0.70010489899999995</v>
      </c>
      <c r="T790" s="43">
        <f t="shared" si="177"/>
        <v>3.337791223</v>
      </c>
      <c r="U790" s="43">
        <f t="shared" si="178"/>
        <v>9.2673607120000003</v>
      </c>
      <c r="V790" s="43">
        <f t="shared" si="179"/>
        <v>5.6660520000000004E-3</v>
      </c>
      <c r="W790" s="230">
        <f t="shared" si="180"/>
        <v>5.8144950033957504E-2</v>
      </c>
      <c r="X790" s="43">
        <f t="shared" si="181"/>
        <v>0.90004851100000005</v>
      </c>
      <c r="Y790" s="43">
        <v>112.60200589999999</v>
      </c>
      <c r="Z790" s="43">
        <f t="shared" si="170"/>
        <v>0</v>
      </c>
      <c r="AA790" s="43">
        <f t="shared" si="171"/>
        <v>73980</v>
      </c>
      <c r="AB790" s="43">
        <f t="shared" si="172"/>
        <v>21707</v>
      </c>
      <c r="AC790" s="43">
        <f t="shared" si="182"/>
        <v>2.9903742718750001E-2</v>
      </c>
      <c r="AD790" s="43">
        <f t="shared" si="183"/>
        <v>0.88755862149999987</v>
      </c>
      <c r="AF790" s="43">
        <v>13.680753589565319</v>
      </c>
      <c r="AG790" s="43">
        <v>4.5623408999999997E-2</v>
      </c>
      <c r="AH790" s="43">
        <v>0.15617236700000001</v>
      </c>
      <c r="AI790" s="43">
        <v>0.70010489899999995</v>
      </c>
      <c r="AJ790" s="43">
        <v>3.337791223</v>
      </c>
      <c r="AK790" s="43">
        <v>9.2673607120000003</v>
      </c>
      <c r="AL790" s="43">
        <v>5.6660520000000004E-3</v>
      </c>
      <c r="AM790" s="230">
        <v>5.8144950033957504E-2</v>
      </c>
      <c r="AN790" s="43">
        <v>0.90004851100000005</v>
      </c>
    </row>
    <row r="791" spans="1:40" x14ac:dyDescent="0.25">
      <c r="A791" s="134">
        <v>781</v>
      </c>
      <c r="B791" s="134" t="s">
        <v>208</v>
      </c>
      <c r="C791" s="134" t="s">
        <v>218</v>
      </c>
      <c r="D791" s="134" t="s">
        <v>219</v>
      </c>
      <c r="E791" s="134">
        <v>280</v>
      </c>
      <c r="F791" s="134">
        <v>850</v>
      </c>
      <c r="G791" s="134">
        <v>68</v>
      </c>
      <c r="H791" s="134">
        <v>347</v>
      </c>
      <c r="I791" s="200">
        <v>0.13942194183199999</v>
      </c>
      <c r="J791" s="134">
        <v>1197</v>
      </c>
      <c r="K791" s="134">
        <v>8585.4492074600003</v>
      </c>
      <c r="L791" s="42">
        <v>0.85306273823000001</v>
      </c>
      <c r="M791" s="42">
        <v>0.55342902711300002</v>
      </c>
      <c r="N791" s="134">
        <v>1</v>
      </c>
      <c r="O791" s="43" t="s">
        <v>664</v>
      </c>
      <c r="P791" s="43">
        <f t="shared" si="173"/>
        <v>13.361018294906996</v>
      </c>
      <c r="Q791" s="43">
        <f t="shared" si="174"/>
        <v>4.0675800999999998E-2</v>
      </c>
      <c r="R791" s="43">
        <f t="shared" si="175"/>
        <v>1.1731739999999999E-2</v>
      </c>
      <c r="S791" s="43">
        <f t="shared" si="176"/>
        <v>0.85306273799999999</v>
      </c>
      <c r="T791" s="43">
        <f t="shared" si="177"/>
        <v>3.1246040129999999</v>
      </c>
      <c r="U791" s="43">
        <f t="shared" si="178"/>
        <v>8.828598178</v>
      </c>
      <c r="V791" s="43">
        <f t="shared" si="179"/>
        <v>5.7577080000000003E-3</v>
      </c>
      <c r="W791" s="230">
        <f t="shared" si="180"/>
        <v>5.709168814648679E-2</v>
      </c>
      <c r="X791" s="43">
        <f t="shared" si="181"/>
        <v>0.88651959999999996</v>
      </c>
      <c r="Y791" s="43">
        <v>145.0938888</v>
      </c>
      <c r="Z791" s="43">
        <f t="shared" si="170"/>
        <v>0</v>
      </c>
      <c r="AA791" s="43">
        <f t="shared" si="171"/>
        <v>73980</v>
      </c>
      <c r="AB791" s="43">
        <f t="shared" si="172"/>
        <v>21707</v>
      </c>
      <c r="AC791" s="43">
        <f t="shared" si="182"/>
        <v>2.9903742718750001E-2</v>
      </c>
      <c r="AD791" s="43">
        <f t="shared" si="183"/>
        <v>0.88755862149999987</v>
      </c>
      <c r="AF791" s="43">
        <v>13.361018294906996</v>
      </c>
      <c r="AG791" s="43">
        <v>4.0675800999999998E-2</v>
      </c>
      <c r="AH791" s="43">
        <v>1.1731739999999999E-2</v>
      </c>
      <c r="AI791" s="43">
        <v>0.85306273799999999</v>
      </c>
      <c r="AJ791" s="43">
        <v>3.1246040129999999</v>
      </c>
      <c r="AK791" s="43">
        <v>8.828598178</v>
      </c>
      <c r="AL791" s="43">
        <v>5.7577080000000003E-3</v>
      </c>
      <c r="AM791" s="230">
        <v>5.709168814648679E-2</v>
      </c>
      <c r="AN791" s="43">
        <v>0.88651959999999996</v>
      </c>
    </row>
    <row r="792" spans="1:40" x14ac:dyDescent="0.25">
      <c r="A792" s="134">
        <v>782</v>
      </c>
      <c r="B792" s="134" t="s">
        <v>208</v>
      </c>
      <c r="C792" s="134" t="s">
        <v>218</v>
      </c>
      <c r="D792" s="134" t="s">
        <v>219</v>
      </c>
      <c r="E792" s="134">
        <v>947</v>
      </c>
      <c r="F792" s="134">
        <v>2590</v>
      </c>
      <c r="G792" s="134">
        <v>182</v>
      </c>
      <c r="H792" s="134">
        <v>317</v>
      </c>
      <c r="I792" s="200">
        <v>0.30291316178200001</v>
      </c>
      <c r="J792" s="134">
        <v>2907</v>
      </c>
      <c r="K792" s="134">
        <v>9596.8098015199994</v>
      </c>
      <c r="L792" s="42">
        <v>0.89136198608100004</v>
      </c>
      <c r="M792" s="42">
        <v>0.25079113924099999</v>
      </c>
      <c r="N792" s="134">
        <v>0</v>
      </c>
      <c r="O792" s="43" t="s">
        <v>666</v>
      </c>
      <c r="P792" s="43">
        <f t="shared" si="173"/>
        <v>13.599545062890797</v>
      </c>
      <c r="Q792" s="43">
        <f t="shared" si="174"/>
        <v>3.5671433000000002E-2</v>
      </c>
      <c r="R792" s="43">
        <f t="shared" si="175"/>
        <v>1.3982536E-2</v>
      </c>
      <c r="S792" s="43">
        <f t="shared" si="176"/>
        <v>0.89136198600000005</v>
      </c>
      <c r="T792" s="43">
        <f t="shared" si="177"/>
        <v>3.8426585520000001</v>
      </c>
      <c r="U792" s="43">
        <f t="shared" si="178"/>
        <v>10.341645379999999</v>
      </c>
      <c r="V792" s="43">
        <f t="shared" si="179"/>
        <v>4.532075E-3</v>
      </c>
      <c r="W792" s="230">
        <f t="shared" si="180"/>
        <v>5.5506621195353496E-2</v>
      </c>
      <c r="X792" s="43">
        <f t="shared" si="181"/>
        <v>0.92082420499999995</v>
      </c>
      <c r="Y792" s="43">
        <v>109.4048288</v>
      </c>
      <c r="Z792" s="43">
        <f t="shared" si="170"/>
        <v>0</v>
      </c>
      <c r="AA792" s="43">
        <f t="shared" si="171"/>
        <v>73980</v>
      </c>
      <c r="AB792" s="43">
        <f t="shared" si="172"/>
        <v>21707</v>
      </c>
      <c r="AC792" s="43">
        <f t="shared" si="182"/>
        <v>2.9903742718750001E-2</v>
      </c>
      <c r="AD792" s="43">
        <f t="shared" si="183"/>
        <v>0.88755862149999987</v>
      </c>
      <c r="AF792" s="43">
        <v>13.599545062890797</v>
      </c>
      <c r="AG792" s="43">
        <v>3.5671433000000002E-2</v>
      </c>
      <c r="AH792" s="43">
        <v>1.3982536E-2</v>
      </c>
      <c r="AI792" s="43">
        <v>0.89136198600000005</v>
      </c>
      <c r="AJ792" s="43">
        <v>3.8426585520000001</v>
      </c>
      <c r="AK792" s="43">
        <v>10.341645379999999</v>
      </c>
      <c r="AL792" s="43">
        <v>4.532075E-3</v>
      </c>
      <c r="AM792" s="230">
        <v>5.5506621195353496E-2</v>
      </c>
      <c r="AN792" s="43">
        <v>0.92082420499999995</v>
      </c>
    </row>
    <row r="793" spans="1:40" x14ac:dyDescent="0.25">
      <c r="A793" s="134">
        <v>783</v>
      </c>
      <c r="B793" s="134" t="s">
        <v>208</v>
      </c>
      <c r="C793" s="134" t="s">
        <v>218</v>
      </c>
      <c r="D793" s="134" t="s">
        <v>219</v>
      </c>
      <c r="E793" s="134">
        <v>712</v>
      </c>
      <c r="F793" s="134">
        <v>1947</v>
      </c>
      <c r="G793" s="134">
        <v>152</v>
      </c>
      <c r="H793" s="134">
        <v>290</v>
      </c>
      <c r="I793" s="200">
        <v>0.25381929521000002</v>
      </c>
      <c r="J793" s="134">
        <v>2237</v>
      </c>
      <c r="K793" s="134">
        <v>8813.3567550600001</v>
      </c>
      <c r="L793" s="42">
        <v>0.87501228086500005</v>
      </c>
      <c r="M793" s="42">
        <v>0.28942115768499999</v>
      </c>
      <c r="N793" s="134">
        <v>0</v>
      </c>
      <c r="O793" s="43" t="s">
        <v>666</v>
      </c>
      <c r="P793" s="43">
        <f t="shared" si="173"/>
        <v>13.039535103046324</v>
      </c>
      <c r="Q793" s="43">
        <f t="shared" si="174"/>
        <v>3.9606105000000003E-2</v>
      </c>
      <c r="R793" s="43">
        <f t="shared" si="175"/>
        <v>1.4001446000000001E-2</v>
      </c>
      <c r="S793" s="43">
        <f t="shared" si="176"/>
        <v>0.87501228099999995</v>
      </c>
      <c r="T793" s="43">
        <f t="shared" si="177"/>
        <v>3.3680317519999998</v>
      </c>
      <c r="U793" s="43">
        <f t="shared" si="178"/>
        <v>9.4264018689999993</v>
      </c>
      <c r="V793" s="43">
        <f t="shared" si="179"/>
        <v>5.1866050000000004E-3</v>
      </c>
      <c r="W793" s="230">
        <f t="shared" si="180"/>
        <v>5.8527831021911537E-2</v>
      </c>
      <c r="X793" s="43">
        <f t="shared" si="181"/>
        <v>0.90372834199999996</v>
      </c>
      <c r="Y793" s="43">
        <v>120.24819650000001</v>
      </c>
      <c r="Z793" s="43">
        <f t="shared" si="170"/>
        <v>0</v>
      </c>
      <c r="AA793" s="43">
        <f t="shared" si="171"/>
        <v>73980</v>
      </c>
      <c r="AB793" s="43">
        <f t="shared" si="172"/>
        <v>21707</v>
      </c>
      <c r="AC793" s="43">
        <f t="shared" si="182"/>
        <v>2.9903742718750001E-2</v>
      </c>
      <c r="AD793" s="43">
        <f t="shared" si="183"/>
        <v>0.88755862149999987</v>
      </c>
      <c r="AF793" s="43">
        <v>13.039535103046324</v>
      </c>
      <c r="AG793" s="43">
        <v>3.9606105000000003E-2</v>
      </c>
      <c r="AH793" s="43">
        <v>1.4001446000000001E-2</v>
      </c>
      <c r="AI793" s="43">
        <v>0.87501228099999995</v>
      </c>
      <c r="AJ793" s="43">
        <v>3.3680317519999998</v>
      </c>
      <c r="AK793" s="43">
        <v>9.4264018689999993</v>
      </c>
      <c r="AL793" s="43">
        <v>5.1866050000000004E-3</v>
      </c>
      <c r="AM793" s="230">
        <v>5.8527831021911537E-2</v>
      </c>
      <c r="AN793" s="43">
        <v>0.90372834199999996</v>
      </c>
    </row>
    <row r="794" spans="1:40" x14ac:dyDescent="0.25">
      <c r="A794" s="134">
        <v>784</v>
      </c>
      <c r="B794" s="134" t="s">
        <v>208</v>
      </c>
      <c r="C794" s="134" t="s">
        <v>218</v>
      </c>
      <c r="D794" s="134" t="s">
        <v>219</v>
      </c>
      <c r="E794" s="134">
        <v>352</v>
      </c>
      <c r="F794" s="134">
        <v>1231</v>
      </c>
      <c r="G794" s="134">
        <v>87</v>
      </c>
      <c r="H794" s="134">
        <v>325</v>
      </c>
      <c r="I794" s="200">
        <v>0.137847219228</v>
      </c>
      <c r="J794" s="134">
        <v>1556</v>
      </c>
      <c r="K794" s="134">
        <v>11287.8591872</v>
      </c>
      <c r="L794" s="42">
        <v>0.87953115080499999</v>
      </c>
      <c r="M794" s="42">
        <v>0.48005908419499999</v>
      </c>
      <c r="N794" s="134">
        <v>0</v>
      </c>
      <c r="O794" s="43" t="s">
        <v>664</v>
      </c>
      <c r="P794" s="43">
        <f t="shared" si="173"/>
        <v>13.033922910740165</v>
      </c>
      <c r="Q794" s="43">
        <f t="shared" si="174"/>
        <v>3.5469358999999999E-2</v>
      </c>
      <c r="R794" s="43">
        <f t="shared" si="175"/>
        <v>1.3523893E-2</v>
      </c>
      <c r="S794" s="43">
        <f t="shared" si="176"/>
        <v>0.87953115100000001</v>
      </c>
      <c r="T794" s="43">
        <f t="shared" si="177"/>
        <v>3.5247783749999999</v>
      </c>
      <c r="U794" s="43">
        <f t="shared" si="178"/>
        <v>9.9430654510000007</v>
      </c>
      <c r="V794" s="43">
        <f t="shared" si="179"/>
        <v>5.5102119999999996E-3</v>
      </c>
      <c r="W794" s="230">
        <f t="shared" si="180"/>
        <v>4.9553103698050729E-2</v>
      </c>
      <c r="X794" s="43">
        <f t="shared" si="181"/>
        <v>0.90135944400000001</v>
      </c>
      <c r="Y794" s="43">
        <v>50.375964590000002</v>
      </c>
      <c r="Z794" s="43">
        <f t="shared" si="170"/>
        <v>0</v>
      </c>
      <c r="AA794" s="43">
        <f t="shared" si="171"/>
        <v>73980</v>
      </c>
      <c r="AB794" s="43">
        <f t="shared" si="172"/>
        <v>21707</v>
      </c>
      <c r="AC794" s="43">
        <f t="shared" si="182"/>
        <v>2.9903742718750001E-2</v>
      </c>
      <c r="AD794" s="43">
        <f t="shared" si="183"/>
        <v>0.88755862149999987</v>
      </c>
      <c r="AF794" s="43">
        <v>13.033922910740165</v>
      </c>
      <c r="AG794" s="43">
        <v>3.5469358999999999E-2</v>
      </c>
      <c r="AH794" s="43">
        <v>1.3523893E-2</v>
      </c>
      <c r="AI794" s="43">
        <v>0.87953115100000001</v>
      </c>
      <c r="AJ794" s="43">
        <v>3.5247783749999999</v>
      </c>
      <c r="AK794" s="43">
        <v>9.9430654510000007</v>
      </c>
      <c r="AL794" s="43">
        <v>5.5102119999999996E-3</v>
      </c>
      <c r="AM794" s="230">
        <v>4.9553103698050729E-2</v>
      </c>
      <c r="AN794" s="43">
        <v>0.90135944400000001</v>
      </c>
    </row>
    <row r="795" spans="1:40" x14ac:dyDescent="0.25">
      <c r="A795" s="134">
        <v>785</v>
      </c>
      <c r="B795" s="134" t="s">
        <v>208</v>
      </c>
      <c r="C795" s="134" t="s">
        <v>218</v>
      </c>
      <c r="D795" s="134" t="s">
        <v>219</v>
      </c>
      <c r="E795" s="134">
        <v>0</v>
      </c>
      <c r="F795" s="134">
        <v>0</v>
      </c>
      <c r="G795" s="134">
        <v>70</v>
      </c>
      <c r="H795" s="134">
        <v>593</v>
      </c>
      <c r="I795" s="200">
        <v>0.110843923515</v>
      </c>
      <c r="J795" s="134">
        <v>593</v>
      </c>
      <c r="K795" s="134">
        <v>5349.86475754</v>
      </c>
      <c r="L795" s="42">
        <v>0.91766053753499999</v>
      </c>
      <c r="M795" s="42">
        <v>1</v>
      </c>
      <c r="N795" s="134">
        <v>0</v>
      </c>
      <c r="O795" s="43" t="s">
        <v>666</v>
      </c>
      <c r="P795" s="43">
        <f t="shared" si="173"/>
        <v>12.415004350867488</v>
      </c>
      <c r="Q795" s="43">
        <f t="shared" si="174"/>
        <v>2.7158499999999999E-2</v>
      </c>
      <c r="R795" s="43">
        <f t="shared" si="175"/>
        <v>7.3436880000000001E-3</v>
      </c>
      <c r="S795" s="43">
        <f t="shared" si="176"/>
        <v>0.91766053800000003</v>
      </c>
      <c r="T795" s="43">
        <f t="shared" si="177"/>
        <v>4.4844559589999999</v>
      </c>
      <c r="U795" s="43">
        <f t="shared" si="178"/>
        <v>8.5676568520000007</v>
      </c>
      <c r="V795" s="43">
        <f t="shared" si="179"/>
        <v>6.445877E-3</v>
      </c>
      <c r="W795" s="230">
        <f t="shared" si="180"/>
        <v>2.3052741879147746E-2</v>
      </c>
      <c r="X795" s="43">
        <f t="shared" si="181"/>
        <v>0.928809577</v>
      </c>
      <c r="Y795" s="43">
        <v>36.968689519999998</v>
      </c>
      <c r="Z795" s="43">
        <f t="shared" si="170"/>
        <v>0</v>
      </c>
      <c r="AA795" s="43">
        <f t="shared" si="171"/>
        <v>73980</v>
      </c>
      <c r="AB795" s="43">
        <f t="shared" si="172"/>
        <v>21707</v>
      </c>
      <c r="AC795" s="43">
        <f t="shared" si="182"/>
        <v>2.9903742718750001E-2</v>
      </c>
      <c r="AD795" s="43">
        <f t="shared" si="183"/>
        <v>0.88755862149999987</v>
      </c>
      <c r="AF795" s="43">
        <v>12.415004350867488</v>
      </c>
      <c r="AG795" s="43">
        <v>2.7158499999999999E-2</v>
      </c>
      <c r="AH795" s="43">
        <v>7.3436880000000001E-3</v>
      </c>
      <c r="AI795" s="43">
        <v>0.91766053800000003</v>
      </c>
      <c r="AJ795" s="43">
        <v>4.4844559589999999</v>
      </c>
      <c r="AK795" s="43">
        <v>8.5676568520000007</v>
      </c>
      <c r="AL795" s="43">
        <v>6.445877E-3</v>
      </c>
      <c r="AM795" s="230">
        <v>2.3052741879147746E-2</v>
      </c>
      <c r="AN795" s="43">
        <v>0.928809577</v>
      </c>
    </row>
    <row r="796" spans="1:40" x14ac:dyDescent="0.25">
      <c r="A796" s="134">
        <v>786</v>
      </c>
      <c r="B796" s="134" t="s">
        <v>208</v>
      </c>
      <c r="C796" s="134" t="s">
        <v>218</v>
      </c>
      <c r="D796" s="134" t="s">
        <v>219</v>
      </c>
      <c r="E796" s="134">
        <v>0</v>
      </c>
      <c r="F796" s="134">
        <v>0</v>
      </c>
      <c r="G796" s="134">
        <v>280</v>
      </c>
      <c r="H796" s="134">
        <v>3965</v>
      </c>
      <c r="I796" s="200">
        <v>0.44063260660499998</v>
      </c>
      <c r="J796" s="134">
        <v>3965</v>
      </c>
      <c r="K796" s="134">
        <v>8998.4262185000007</v>
      </c>
      <c r="L796" s="42">
        <v>0.92385147097499998</v>
      </c>
      <c r="M796" s="42">
        <v>1</v>
      </c>
      <c r="N796" s="134">
        <v>0</v>
      </c>
      <c r="O796" s="43" t="s">
        <v>666</v>
      </c>
      <c r="P796" s="43">
        <f t="shared" si="173"/>
        <v>12.412212891001815</v>
      </c>
      <c r="Q796" s="43">
        <f t="shared" si="174"/>
        <v>2.0277067999999999E-2</v>
      </c>
      <c r="R796" s="43">
        <f t="shared" si="175"/>
        <v>8.6268130000000005E-3</v>
      </c>
      <c r="S796" s="43">
        <f t="shared" si="176"/>
        <v>0.92385147099999998</v>
      </c>
      <c r="T796" s="43">
        <f t="shared" si="177"/>
        <v>3.9621655520000001</v>
      </c>
      <c r="U796" s="43">
        <f t="shared" si="178"/>
        <v>8.5073871749999999</v>
      </c>
      <c r="V796" s="43">
        <f t="shared" si="179"/>
        <v>7.332491E-3</v>
      </c>
      <c r="W796" s="230">
        <f t="shared" si="180"/>
        <v>2.7584839245432688E-2</v>
      </c>
      <c r="X796" s="43">
        <f t="shared" si="181"/>
        <v>0.95282714899999998</v>
      </c>
      <c r="Y796" s="43">
        <v>44.103839530000002</v>
      </c>
      <c r="Z796" s="43">
        <f t="shared" si="170"/>
        <v>0</v>
      </c>
      <c r="AA796" s="43">
        <f t="shared" si="171"/>
        <v>73980</v>
      </c>
      <c r="AB796" s="43">
        <f t="shared" si="172"/>
        <v>21707</v>
      </c>
      <c r="AC796" s="43">
        <f t="shared" si="182"/>
        <v>2.9903742718750001E-2</v>
      </c>
      <c r="AD796" s="43">
        <f t="shared" si="183"/>
        <v>0.88755862149999987</v>
      </c>
      <c r="AF796" s="43">
        <v>12.412212891001815</v>
      </c>
      <c r="AG796" s="43">
        <v>2.0277067999999999E-2</v>
      </c>
      <c r="AH796" s="43">
        <v>8.6268130000000005E-3</v>
      </c>
      <c r="AI796" s="43">
        <v>0.92385147099999998</v>
      </c>
      <c r="AJ796" s="43">
        <v>3.9621655520000001</v>
      </c>
      <c r="AK796" s="43">
        <v>8.5073871749999999</v>
      </c>
      <c r="AL796" s="43">
        <v>7.332491E-3</v>
      </c>
      <c r="AM796" s="230">
        <v>2.7584839245432688E-2</v>
      </c>
      <c r="AN796" s="43">
        <v>0.95282714899999998</v>
      </c>
    </row>
    <row r="797" spans="1:40" x14ac:dyDescent="0.25">
      <c r="A797" s="134">
        <v>787</v>
      </c>
      <c r="B797" s="134" t="s">
        <v>208</v>
      </c>
      <c r="C797" s="134" t="s">
        <v>218</v>
      </c>
      <c r="D797" s="134" t="s">
        <v>219</v>
      </c>
      <c r="E797" s="134">
        <v>0</v>
      </c>
      <c r="F797" s="134">
        <v>0</v>
      </c>
      <c r="G797" s="134">
        <v>280</v>
      </c>
      <c r="H797" s="134">
        <v>3522</v>
      </c>
      <c r="I797" s="200">
        <v>0.44160195398500002</v>
      </c>
      <c r="J797" s="134">
        <v>3522</v>
      </c>
      <c r="K797" s="134">
        <v>7975.5081883499997</v>
      </c>
      <c r="L797" s="42">
        <v>0.92142607596199999</v>
      </c>
      <c r="M797" s="42">
        <v>1</v>
      </c>
      <c r="N797" s="134">
        <v>0</v>
      </c>
      <c r="O797" s="43" t="s">
        <v>666</v>
      </c>
      <c r="P797" s="43">
        <f t="shared" si="173"/>
        <v>13.036262657465578</v>
      </c>
      <c r="Q797" s="43">
        <f t="shared" si="174"/>
        <v>2.4278810000000001E-2</v>
      </c>
      <c r="R797" s="43">
        <f t="shared" si="175"/>
        <v>8.2350400000000008E-3</v>
      </c>
      <c r="S797" s="43">
        <f t="shared" si="176"/>
        <v>0.92142607600000004</v>
      </c>
      <c r="T797" s="43">
        <f t="shared" si="177"/>
        <v>4.1959322889999999</v>
      </c>
      <c r="U797" s="43">
        <f t="shared" si="178"/>
        <v>9.2450168280000007</v>
      </c>
      <c r="V797" s="43">
        <f t="shared" si="179"/>
        <v>6.8718169999999997E-3</v>
      </c>
      <c r="W797" s="230">
        <f t="shared" si="180"/>
        <v>3.1837932207738603E-2</v>
      </c>
      <c r="X797" s="43">
        <f t="shared" si="181"/>
        <v>0.94715617200000002</v>
      </c>
      <c r="Y797" s="43">
        <v>39.91212883</v>
      </c>
      <c r="Z797" s="43">
        <f t="shared" si="170"/>
        <v>0</v>
      </c>
      <c r="AA797" s="43">
        <f t="shared" si="171"/>
        <v>73980</v>
      </c>
      <c r="AB797" s="43">
        <f t="shared" si="172"/>
        <v>21707</v>
      </c>
      <c r="AC797" s="43">
        <f t="shared" si="182"/>
        <v>2.9903742718750001E-2</v>
      </c>
      <c r="AD797" s="43">
        <f t="shared" si="183"/>
        <v>0.88755862149999987</v>
      </c>
      <c r="AF797" s="43">
        <v>13.036262657465578</v>
      </c>
      <c r="AG797" s="43">
        <v>2.4278810000000001E-2</v>
      </c>
      <c r="AH797" s="43">
        <v>8.2350400000000008E-3</v>
      </c>
      <c r="AI797" s="43">
        <v>0.92142607600000004</v>
      </c>
      <c r="AJ797" s="43">
        <v>4.1959322889999999</v>
      </c>
      <c r="AK797" s="43">
        <v>9.2450168280000007</v>
      </c>
      <c r="AL797" s="43">
        <v>6.8718169999999997E-3</v>
      </c>
      <c r="AM797" s="230">
        <v>3.1837932207738603E-2</v>
      </c>
      <c r="AN797" s="43">
        <v>0.94715617200000002</v>
      </c>
    </row>
    <row r="798" spans="1:40" x14ac:dyDescent="0.25">
      <c r="A798" s="134">
        <v>788</v>
      </c>
      <c r="B798" s="134" t="s">
        <v>208</v>
      </c>
      <c r="C798" s="134" t="s">
        <v>218</v>
      </c>
      <c r="D798" s="134" t="s">
        <v>219</v>
      </c>
      <c r="E798" s="134">
        <v>1797</v>
      </c>
      <c r="F798" s="134">
        <v>6286</v>
      </c>
      <c r="G798" s="134">
        <v>337</v>
      </c>
      <c r="H798" s="134">
        <v>67</v>
      </c>
      <c r="I798" s="200">
        <v>0.53158351241900004</v>
      </c>
      <c r="J798" s="134">
        <v>6353</v>
      </c>
      <c r="K798" s="134">
        <v>11951.0854863</v>
      </c>
      <c r="L798" s="42">
        <v>0.87671530680900001</v>
      </c>
      <c r="M798" s="42">
        <v>3.5944206008600002E-2</v>
      </c>
      <c r="N798" s="134">
        <v>0</v>
      </c>
      <c r="O798" s="43" t="s">
        <v>666</v>
      </c>
      <c r="P798" s="43">
        <f t="shared" si="173"/>
        <v>13.751700640556699</v>
      </c>
      <c r="Q798" s="43">
        <f t="shared" si="174"/>
        <v>4.1029286999999998E-2</v>
      </c>
      <c r="R798" s="43">
        <f t="shared" si="175"/>
        <v>1.4782999999999999E-2</v>
      </c>
      <c r="S798" s="43">
        <f t="shared" si="176"/>
        <v>0.876715307</v>
      </c>
      <c r="T798" s="43">
        <f t="shared" si="177"/>
        <v>3.5789473680000001</v>
      </c>
      <c r="U798" s="43">
        <f t="shared" si="178"/>
        <v>9.9585745249999995</v>
      </c>
      <c r="V798" s="43">
        <f t="shared" si="179"/>
        <v>2.2269579999999998E-3</v>
      </c>
      <c r="W798" s="230">
        <f t="shared" si="180"/>
        <v>7.4682917873933413E-2</v>
      </c>
      <c r="X798" s="43">
        <f t="shared" si="181"/>
        <v>0.90813198900000003</v>
      </c>
      <c r="Y798" s="43">
        <v>126.3016578</v>
      </c>
      <c r="Z798" s="43">
        <f t="shared" si="170"/>
        <v>0</v>
      </c>
      <c r="AA798" s="43">
        <f t="shared" si="171"/>
        <v>73980</v>
      </c>
      <c r="AB798" s="43">
        <f t="shared" si="172"/>
        <v>21707</v>
      </c>
      <c r="AC798" s="43">
        <f t="shared" si="182"/>
        <v>2.9903742718750001E-2</v>
      </c>
      <c r="AD798" s="43">
        <f t="shared" si="183"/>
        <v>0.88755862149999987</v>
      </c>
      <c r="AF798" s="43">
        <v>13.751700640556699</v>
      </c>
      <c r="AG798" s="43">
        <v>4.1029286999999998E-2</v>
      </c>
      <c r="AH798" s="43">
        <v>1.4782999999999999E-2</v>
      </c>
      <c r="AI798" s="43">
        <v>0.876715307</v>
      </c>
      <c r="AJ798" s="43">
        <v>3.5789473680000001</v>
      </c>
      <c r="AK798" s="43">
        <v>9.9585745249999995</v>
      </c>
      <c r="AL798" s="43">
        <v>2.2269579999999998E-3</v>
      </c>
      <c r="AM798" s="230">
        <v>7.4682917873933413E-2</v>
      </c>
      <c r="AN798" s="43">
        <v>0.90813198900000003</v>
      </c>
    </row>
    <row r="799" spans="1:40" x14ac:dyDescent="0.25">
      <c r="A799" s="134">
        <v>789</v>
      </c>
      <c r="B799" s="134" t="s">
        <v>208</v>
      </c>
      <c r="C799" s="134" t="s">
        <v>218</v>
      </c>
      <c r="D799" s="134" t="s">
        <v>219</v>
      </c>
      <c r="E799" s="134">
        <v>1087</v>
      </c>
      <c r="F799" s="134">
        <v>4072</v>
      </c>
      <c r="G799" s="134">
        <v>248</v>
      </c>
      <c r="H799" s="134">
        <v>603</v>
      </c>
      <c r="I799" s="200">
        <v>0.40516481620200001</v>
      </c>
      <c r="J799" s="134">
        <v>4675</v>
      </c>
      <c r="K799" s="134">
        <v>11538.5142368</v>
      </c>
      <c r="L799" s="42">
        <v>0.87670833909799994</v>
      </c>
      <c r="M799" s="42">
        <v>0.35680473372799998</v>
      </c>
      <c r="N799" s="134">
        <v>0</v>
      </c>
      <c r="O799" s="43" t="s">
        <v>666</v>
      </c>
      <c r="P799" s="43">
        <f t="shared" si="173"/>
        <v>13.087627667352338</v>
      </c>
      <c r="Q799" s="43">
        <f t="shared" si="174"/>
        <v>3.4140084000000001E-2</v>
      </c>
      <c r="R799" s="43">
        <f t="shared" si="175"/>
        <v>1.4212799E-2</v>
      </c>
      <c r="S799" s="43">
        <f t="shared" si="176"/>
        <v>0.876708339</v>
      </c>
      <c r="T799" s="43">
        <f t="shared" si="177"/>
        <v>3.6103292389999999</v>
      </c>
      <c r="U799" s="43">
        <f t="shared" si="178"/>
        <v>9.3524316679999995</v>
      </c>
      <c r="V799" s="43">
        <f t="shared" si="179"/>
        <v>5.2111620000000001E-3</v>
      </c>
      <c r="W799" s="230">
        <f t="shared" si="180"/>
        <v>5.3928995871093163E-2</v>
      </c>
      <c r="X799" s="43">
        <f t="shared" si="181"/>
        <v>0.91488570999999996</v>
      </c>
      <c r="Y799" s="43">
        <v>104.90781149999999</v>
      </c>
      <c r="Z799" s="43">
        <f t="shared" si="170"/>
        <v>0</v>
      </c>
      <c r="AA799" s="43">
        <f t="shared" si="171"/>
        <v>73980</v>
      </c>
      <c r="AB799" s="43">
        <f t="shared" si="172"/>
        <v>21707</v>
      </c>
      <c r="AC799" s="43">
        <f t="shared" si="182"/>
        <v>2.9903742718750001E-2</v>
      </c>
      <c r="AD799" s="43">
        <f t="shared" si="183"/>
        <v>0.88755862149999987</v>
      </c>
      <c r="AF799" s="43">
        <v>13.087627667352338</v>
      </c>
      <c r="AG799" s="43">
        <v>3.4140084000000001E-2</v>
      </c>
      <c r="AH799" s="43">
        <v>1.4212799E-2</v>
      </c>
      <c r="AI799" s="43">
        <v>0.876708339</v>
      </c>
      <c r="AJ799" s="43">
        <v>3.6103292389999999</v>
      </c>
      <c r="AK799" s="43">
        <v>9.3524316679999995</v>
      </c>
      <c r="AL799" s="43">
        <v>5.2111620000000001E-3</v>
      </c>
      <c r="AM799" s="230">
        <v>5.3928995871093163E-2</v>
      </c>
      <c r="AN799" s="43">
        <v>0.91488570999999996</v>
      </c>
    </row>
    <row r="800" spans="1:40" x14ac:dyDescent="0.25">
      <c r="A800" s="134">
        <v>790</v>
      </c>
      <c r="B800" s="134" t="s">
        <v>208</v>
      </c>
      <c r="C800" s="134" t="s">
        <v>218</v>
      </c>
      <c r="D800" s="134" t="s">
        <v>219</v>
      </c>
      <c r="E800" s="134">
        <v>785</v>
      </c>
      <c r="F800" s="134">
        <v>2939</v>
      </c>
      <c r="G800" s="134">
        <v>195</v>
      </c>
      <c r="H800" s="134">
        <v>1168</v>
      </c>
      <c r="I800" s="200">
        <v>0.31764571769</v>
      </c>
      <c r="J800" s="134">
        <v>4107</v>
      </c>
      <c r="K800" s="134">
        <v>12929.4990339</v>
      </c>
      <c r="L800" s="42">
        <v>0.87895437139400001</v>
      </c>
      <c r="M800" s="42">
        <v>0.59805427547400003</v>
      </c>
      <c r="N800" s="134">
        <v>0</v>
      </c>
      <c r="O800" s="43" t="s">
        <v>666</v>
      </c>
      <c r="P800" s="43">
        <f t="shared" si="173"/>
        <v>12.915088248270578</v>
      </c>
      <c r="Q800" s="43">
        <f t="shared" si="174"/>
        <v>2.7315795E-2</v>
      </c>
      <c r="R800" s="43">
        <f t="shared" si="175"/>
        <v>1.3640009999999999E-2</v>
      </c>
      <c r="S800" s="43">
        <f t="shared" si="176"/>
        <v>0.87895437099999996</v>
      </c>
      <c r="T800" s="43">
        <f t="shared" si="177"/>
        <v>3.424001209</v>
      </c>
      <c r="U800" s="43">
        <f t="shared" si="178"/>
        <v>8.8923751020000008</v>
      </c>
      <c r="V800" s="43">
        <f t="shared" si="179"/>
        <v>6.5447129999999997E-3</v>
      </c>
      <c r="W800" s="230">
        <f t="shared" si="180"/>
        <v>4.5973537828061996E-2</v>
      </c>
      <c r="X800" s="43">
        <f t="shared" si="181"/>
        <v>0.90555497799999995</v>
      </c>
      <c r="Y800" s="43">
        <v>43.960341960000001</v>
      </c>
      <c r="Z800" s="43">
        <f t="shared" si="170"/>
        <v>0</v>
      </c>
      <c r="AA800" s="43">
        <f t="shared" si="171"/>
        <v>73980</v>
      </c>
      <c r="AB800" s="43">
        <f t="shared" si="172"/>
        <v>21707</v>
      </c>
      <c r="AC800" s="43">
        <f t="shared" si="182"/>
        <v>2.9903742718750001E-2</v>
      </c>
      <c r="AD800" s="43">
        <f t="shared" si="183"/>
        <v>0.88755862149999987</v>
      </c>
      <c r="AF800" s="43">
        <v>12.915088248270578</v>
      </c>
      <c r="AG800" s="43">
        <v>2.7315795E-2</v>
      </c>
      <c r="AH800" s="43">
        <v>1.3640009999999999E-2</v>
      </c>
      <c r="AI800" s="43">
        <v>0.87895437099999996</v>
      </c>
      <c r="AJ800" s="43">
        <v>3.424001209</v>
      </c>
      <c r="AK800" s="43">
        <v>8.8923751020000008</v>
      </c>
      <c r="AL800" s="43">
        <v>6.5447129999999997E-3</v>
      </c>
      <c r="AM800" s="230">
        <v>4.5973537828061996E-2</v>
      </c>
      <c r="AN800" s="43">
        <v>0.90555497799999995</v>
      </c>
    </row>
    <row r="801" spans="1:40" x14ac:dyDescent="0.25">
      <c r="A801" s="134">
        <v>791</v>
      </c>
      <c r="B801" s="134" t="s">
        <v>208</v>
      </c>
      <c r="C801" s="134" t="s">
        <v>218</v>
      </c>
      <c r="D801" s="134" t="s">
        <v>219</v>
      </c>
      <c r="E801" s="134">
        <v>0</v>
      </c>
      <c r="F801" s="134">
        <v>0</v>
      </c>
      <c r="G801" s="134">
        <v>110</v>
      </c>
      <c r="H801" s="134">
        <v>1237</v>
      </c>
      <c r="I801" s="200">
        <v>0.18070468450900001</v>
      </c>
      <c r="J801" s="134">
        <v>1237</v>
      </c>
      <c r="K801" s="134">
        <v>6845.42298037</v>
      </c>
      <c r="L801" s="42">
        <v>0.89517299197099998</v>
      </c>
      <c r="M801" s="42">
        <v>1</v>
      </c>
      <c r="N801" s="134">
        <v>0</v>
      </c>
      <c r="O801" s="43" t="s">
        <v>666</v>
      </c>
      <c r="P801" s="43">
        <f t="shared" si="173"/>
        <v>12.246209248555326</v>
      </c>
      <c r="Q801" s="43">
        <f t="shared" si="174"/>
        <v>1.6151585E-2</v>
      </c>
      <c r="R801" s="43">
        <f t="shared" si="175"/>
        <v>9.4036810000000005E-3</v>
      </c>
      <c r="S801" s="43">
        <f t="shared" si="176"/>
        <v>0.895172992</v>
      </c>
      <c r="T801" s="43">
        <f t="shared" si="177"/>
        <v>3.0427982259999999</v>
      </c>
      <c r="U801" s="43">
        <f t="shared" si="178"/>
        <v>6.6850235969999998</v>
      </c>
      <c r="V801" s="43">
        <f t="shared" si="179"/>
        <v>7.2337130000000001E-3</v>
      </c>
      <c r="W801" s="230">
        <f t="shared" si="180"/>
        <v>2.5621932130753918E-2</v>
      </c>
      <c r="X801" s="43">
        <f t="shared" si="181"/>
        <v>0.92783003799999997</v>
      </c>
      <c r="Y801" s="43">
        <v>67.965806119999996</v>
      </c>
      <c r="Z801" s="43">
        <f t="shared" si="170"/>
        <v>0</v>
      </c>
      <c r="AA801" s="43">
        <f t="shared" si="171"/>
        <v>73980</v>
      </c>
      <c r="AB801" s="43">
        <f t="shared" si="172"/>
        <v>21707</v>
      </c>
      <c r="AC801" s="43">
        <f t="shared" si="182"/>
        <v>2.9903742718750001E-2</v>
      </c>
      <c r="AD801" s="43">
        <f t="shared" si="183"/>
        <v>0.88755862149999987</v>
      </c>
      <c r="AF801" s="43">
        <v>12.246209248555326</v>
      </c>
      <c r="AG801" s="43">
        <v>1.6151585E-2</v>
      </c>
      <c r="AH801" s="43">
        <v>9.4036810000000005E-3</v>
      </c>
      <c r="AI801" s="43">
        <v>0.895172992</v>
      </c>
      <c r="AJ801" s="43">
        <v>3.0427982259999999</v>
      </c>
      <c r="AK801" s="43">
        <v>6.6850235969999998</v>
      </c>
      <c r="AL801" s="43">
        <v>7.2337130000000001E-3</v>
      </c>
      <c r="AM801" s="230">
        <v>2.5621932130753918E-2</v>
      </c>
      <c r="AN801" s="43">
        <v>0.92783003799999997</v>
      </c>
    </row>
    <row r="802" spans="1:40" x14ac:dyDescent="0.25">
      <c r="A802" s="134">
        <v>792</v>
      </c>
      <c r="B802" s="134" t="s">
        <v>208</v>
      </c>
      <c r="C802" s="134" t="s">
        <v>218</v>
      </c>
      <c r="D802" s="134" t="s">
        <v>219</v>
      </c>
      <c r="E802" s="134">
        <v>0</v>
      </c>
      <c r="F802" s="134">
        <v>0</v>
      </c>
      <c r="G802" s="134">
        <v>21</v>
      </c>
      <c r="H802" s="134">
        <v>335</v>
      </c>
      <c r="I802" s="200">
        <v>3.4483371465600002E-2</v>
      </c>
      <c r="J802" s="134">
        <v>335</v>
      </c>
      <c r="K802" s="134">
        <v>9714.8273432200003</v>
      </c>
      <c r="L802" s="42">
        <v>0.91171556549499999</v>
      </c>
      <c r="M802" s="42">
        <v>1</v>
      </c>
      <c r="N802" s="134">
        <v>0</v>
      </c>
      <c r="O802" s="43" t="s">
        <v>666</v>
      </c>
      <c r="P802" s="43">
        <f t="shared" si="173"/>
        <v>11.793014320618884</v>
      </c>
      <c r="Q802" s="43">
        <f t="shared" si="174"/>
        <v>1.5602550999999999E-2</v>
      </c>
      <c r="R802" s="43">
        <f t="shared" si="175"/>
        <v>9.0559809999999994E-3</v>
      </c>
      <c r="S802" s="43">
        <f t="shared" si="176"/>
        <v>0.91171556499999995</v>
      </c>
      <c r="T802" s="43">
        <f t="shared" si="177"/>
        <v>3.2176407309999999</v>
      </c>
      <c r="U802" s="43">
        <f t="shared" si="178"/>
        <v>6.6447024749999999</v>
      </c>
      <c r="V802" s="43">
        <f t="shared" si="179"/>
        <v>5.9390800000000002E-3</v>
      </c>
      <c r="W802" s="230">
        <f t="shared" si="180"/>
        <v>1.8640479830648007E-2</v>
      </c>
      <c r="X802" s="43">
        <f t="shared" si="181"/>
        <v>0.91473597600000001</v>
      </c>
      <c r="Y802" s="43">
        <v>30.547039000000002</v>
      </c>
      <c r="Z802" s="43">
        <f t="shared" si="170"/>
        <v>0</v>
      </c>
      <c r="AA802" s="43">
        <f t="shared" si="171"/>
        <v>73980</v>
      </c>
      <c r="AB802" s="43">
        <f t="shared" si="172"/>
        <v>21707</v>
      </c>
      <c r="AC802" s="43">
        <f t="shared" si="182"/>
        <v>2.9903742718750001E-2</v>
      </c>
      <c r="AD802" s="43">
        <f t="shared" si="183"/>
        <v>0.88755862149999987</v>
      </c>
      <c r="AF802" s="43">
        <v>11.793014320618884</v>
      </c>
      <c r="AG802" s="43">
        <v>1.5602550999999999E-2</v>
      </c>
      <c r="AH802" s="43">
        <v>9.0559809999999994E-3</v>
      </c>
      <c r="AI802" s="43">
        <v>0.91171556499999995</v>
      </c>
      <c r="AJ802" s="43">
        <v>3.2176407309999999</v>
      </c>
      <c r="AK802" s="43">
        <v>6.6447024749999999</v>
      </c>
      <c r="AL802" s="43">
        <v>5.9390800000000002E-3</v>
      </c>
      <c r="AM802" s="230">
        <v>1.8640479830648007E-2</v>
      </c>
      <c r="AN802" s="43">
        <v>0.91473597600000001</v>
      </c>
    </row>
    <row r="803" spans="1:40" x14ac:dyDescent="0.25">
      <c r="A803" s="134">
        <v>793</v>
      </c>
      <c r="B803" s="134" t="s">
        <v>208</v>
      </c>
      <c r="C803" s="134" t="s">
        <v>218</v>
      </c>
      <c r="D803" s="134" t="s">
        <v>219</v>
      </c>
      <c r="E803" s="134">
        <v>0</v>
      </c>
      <c r="F803" s="134">
        <v>0</v>
      </c>
      <c r="G803" s="134">
        <v>257</v>
      </c>
      <c r="H803" s="134">
        <v>2060</v>
      </c>
      <c r="I803" s="200">
        <v>0.37447653290999999</v>
      </c>
      <c r="J803" s="134">
        <v>2060</v>
      </c>
      <c r="K803" s="134">
        <v>5501.0122636799997</v>
      </c>
      <c r="L803" s="42">
        <v>0.92319605628000001</v>
      </c>
      <c r="M803" s="42">
        <v>1</v>
      </c>
      <c r="N803" s="134">
        <v>0</v>
      </c>
      <c r="O803" s="43" t="s">
        <v>666</v>
      </c>
      <c r="P803" s="43">
        <f t="shared" si="173"/>
        <v>12.170726821464813</v>
      </c>
      <c r="Q803" s="43">
        <f t="shared" si="174"/>
        <v>1.9780220000000001E-2</v>
      </c>
      <c r="R803" s="43">
        <f t="shared" si="175"/>
        <v>8.2037589999999997E-3</v>
      </c>
      <c r="S803" s="43">
        <f t="shared" si="176"/>
        <v>0.92319605599999999</v>
      </c>
      <c r="T803" s="43">
        <f t="shared" si="177"/>
        <v>4.0459885030000002</v>
      </c>
      <c r="U803" s="43">
        <f t="shared" si="178"/>
        <v>8.5728806239999997</v>
      </c>
      <c r="V803" s="43">
        <f t="shared" si="179"/>
        <v>7.4077459999999998E-3</v>
      </c>
      <c r="W803" s="230">
        <f t="shared" si="180"/>
        <v>2.0469492144683962E-2</v>
      </c>
      <c r="X803" s="43">
        <f t="shared" si="181"/>
        <v>0.94305809299999999</v>
      </c>
      <c r="Y803" s="43">
        <v>30.541425650000001</v>
      </c>
      <c r="Z803" s="43">
        <f t="shared" si="170"/>
        <v>0</v>
      </c>
      <c r="AA803" s="43">
        <f t="shared" si="171"/>
        <v>73980</v>
      </c>
      <c r="AB803" s="43">
        <f t="shared" si="172"/>
        <v>21707</v>
      </c>
      <c r="AC803" s="43">
        <f t="shared" si="182"/>
        <v>2.9903742718750001E-2</v>
      </c>
      <c r="AD803" s="43">
        <f t="shared" si="183"/>
        <v>0.88755862149999987</v>
      </c>
      <c r="AF803" s="43">
        <v>12.170726821464813</v>
      </c>
      <c r="AG803" s="43">
        <v>1.9780220000000001E-2</v>
      </c>
      <c r="AH803" s="43">
        <v>8.2037589999999997E-3</v>
      </c>
      <c r="AI803" s="43">
        <v>0.92319605599999999</v>
      </c>
      <c r="AJ803" s="43">
        <v>4.0459885030000002</v>
      </c>
      <c r="AK803" s="43">
        <v>8.5728806239999997</v>
      </c>
      <c r="AL803" s="43">
        <v>7.4077459999999998E-3</v>
      </c>
      <c r="AM803" s="230">
        <v>2.0469492144683962E-2</v>
      </c>
      <c r="AN803" s="43">
        <v>0.94305809299999999</v>
      </c>
    </row>
    <row r="804" spans="1:40" x14ac:dyDescent="0.25">
      <c r="A804" s="134">
        <v>794</v>
      </c>
      <c r="B804" s="134" t="s">
        <v>208</v>
      </c>
      <c r="C804" s="134" t="s">
        <v>218</v>
      </c>
      <c r="D804" s="134" t="s">
        <v>219</v>
      </c>
      <c r="E804" s="134">
        <v>705</v>
      </c>
      <c r="F804" s="134">
        <v>2531</v>
      </c>
      <c r="G804" s="134">
        <v>157</v>
      </c>
      <c r="H804" s="134">
        <v>738</v>
      </c>
      <c r="I804" s="200">
        <v>0.25743669741399999</v>
      </c>
      <c r="J804" s="134">
        <v>3269</v>
      </c>
      <c r="K804" s="134">
        <v>12698.2673132</v>
      </c>
      <c r="L804" s="42">
        <v>0.88169557625799999</v>
      </c>
      <c r="M804" s="42">
        <v>0.51143451143499996</v>
      </c>
      <c r="N804" s="134">
        <v>0</v>
      </c>
      <c r="O804" s="43" t="s">
        <v>666</v>
      </c>
      <c r="P804" s="43">
        <f t="shared" si="173"/>
        <v>12.833454414544226</v>
      </c>
      <c r="Q804" s="43">
        <f t="shared" si="174"/>
        <v>3.0500576000000001E-2</v>
      </c>
      <c r="R804" s="43">
        <f t="shared" si="175"/>
        <v>1.5671977E-2</v>
      </c>
      <c r="S804" s="43">
        <f t="shared" si="176"/>
        <v>0.88169557600000004</v>
      </c>
      <c r="T804" s="43">
        <f t="shared" si="177"/>
        <v>3.6887957</v>
      </c>
      <c r="U804" s="43">
        <f t="shared" si="178"/>
        <v>9.3368526850000002</v>
      </c>
      <c r="V804" s="43">
        <f t="shared" si="179"/>
        <v>6.4740199999999996E-3</v>
      </c>
      <c r="W804" s="230">
        <f t="shared" si="180"/>
        <v>4.3646824188728249E-2</v>
      </c>
      <c r="X804" s="43">
        <f t="shared" si="181"/>
        <v>0.91901261899999998</v>
      </c>
      <c r="Y804" s="43">
        <v>100.1048481</v>
      </c>
      <c r="Z804" s="43">
        <f t="shared" si="170"/>
        <v>0</v>
      </c>
      <c r="AA804" s="43">
        <f t="shared" si="171"/>
        <v>73980</v>
      </c>
      <c r="AB804" s="43">
        <f t="shared" si="172"/>
        <v>21707</v>
      </c>
      <c r="AC804" s="43">
        <f t="shared" si="182"/>
        <v>2.9903742718750001E-2</v>
      </c>
      <c r="AD804" s="43">
        <f t="shared" si="183"/>
        <v>0.88755862149999987</v>
      </c>
      <c r="AF804" s="43">
        <v>12.833454414544226</v>
      </c>
      <c r="AG804" s="43">
        <v>3.0500576000000001E-2</v>
      </c>
      <c r="AH804" s="43">
        <v>1.5671977E-2</v>
      </c>
      <c r="AI804" s="43">
        <v>0.88169557600000004</v>
      </c>
      <c r="AJ804" s="43">
        <v>3.6887957</v>
      </c>
      <c r="AK804" s="43">
        <v>9.3368526850000002</v>
      </c>
      <c r="AL804" s="43">
        <v>6.4740199999999996E-3</v>
      </c>
      <c r="AM804" s="230">
        <v>4.3646824188728249E-2</v>
      </c>
      <c r="AN804" s="43">
        <v>0.91901261899999998</v>
      </c>
    </row>
    <row r="805" spans="1:40" x14ac:dyDescent="0.25">
      <c r="A805" s="134">
        <v>795</v>
      </c>
      <c r="B805" s="134" t="s">
        <v>208</v>
      </c>
      <c r="C805" s="134" t="s">
        <v>218</v>
      </c>
      <c r="D805" s="134" t="s">
        <v>219</v>
      </c>
      <c r="E805" s="134">
        <v>194</v>
      </c>
      <c r="F805" s="134">
        <v>695</v>
      </c>
      <c r="G805" s="134">
        <v>49</v>
      </c>
      <c r="H805" s="134">
        <v>30</v>
      </c>
      <c r="I805" s="200">
        <v>7.9601385010699993E-2</v>
      </c>
      <c r="J805" s="134">
        <v>725</v>
      </c>
      <c r="K805" s="134">
        <v>9107.8817272199994</v>
      </c>
      <c r="L805" s="42">
        <v>0.87645888874800004</v>
      </c>
      <c r="M805" s="42">
        <v>0.133928571429</v>
      </c>
      <c r="N805" s="134">
        <v>0</v>
      </c>
      <c r="O805" s="43" t="s">
        <v>666</v>
      </c>
      <c r="P805" s="43">
        <f t="shared" si="173"/>
        <v>12.527738915786333</v>
      </c>
      <c r="Q805" s="43">
        <f t="shared" si="174"/>
        <v>3.6426727999999998E-2</v>
      </c>
      <c r="R805" s="43">
        <f t="shared" si="175"/>
        <v>1.6258305000000001E-2</v>
      </c>
      <c r="S805" s="43">
        <f t="shared" si="176"/>
        <v>0.87645888900000002</v>
      </c>
      <c r="T805" s="43">
        <f t="shared" si="177"/>
        <v>3.5758835759999998</v>
      </c>
      <c r="U805" s="43">
        <f t="shared" si="178"/>
        <v>9.0429162099999996</v>
      </c>
      <c r="V805" s="43">
        <f t="shared" si="179"/>
        <v>2.4227739999999999E-3</v>
      </c>
      <c r="W805" s="230">
        <f t="shared" si="180"/>
        <v>5.8011979271821799E-2</v>
      </c>
      <c r="X805" s="43">
        <f t="shared" si="181"/>
        <v>0.89141261199999999</v>
      </c>
      <c r="Y805" s="43">
        <v>47.023638869999999</v>
      </c>
      <c r="Z805" s="43">
        <f t="shared" si="170"/>
        <v>0</v>
      </c>
      <c r="AA805" s="43">
        <f t="shared" si="171"/>
        <v>73980</v>
      </c>
      <c r="AB805" s="43">
        <f t="shared" si="172"/>
        <v>21707</v>
      </c>
      <c r="AC805" s="43">
        <f t="shared" si="182"/>
        <v>2.9903742718750001E-2</v>
      </c>
      <c r="AD805" s="43">
        <f t="shared" si="183"/>
        <v>0.88755862149999987</v>
      </c>
      <c r="AF805" s="43">
        <v>12.527738915786333</v>
      </c>
      <c r="AG805" s="43">
        <v>3.6426727999999998E-2</v>
      </c>
      <c r="AH805" s="43">
        <v>1.6258305000000001E-2</v>
      </c>
      <c r="AI805" s="43">
        <v>0.87645888900000002</v>
      </c>
      <c r="AJ805" s="43">
        <v>3.5758835759999998</v>
      </c>
      <c r="AK805" s="43">
        <v>9.0429162099999996</v>
      </c>
      <c r="AL805" s="43">
        <v>2.4227739999999999E-3</v>
      </c>
      <c r="AM805" s="230">
        <v>5.8011979271821799E-2</v>
      </c>
      <c r="AN805" s="43">
        <v>0.89141261199999999</v>
      </c>
    </row>
    <row r="806" spans="1:40" x14ac:dyDescent="0.25">
      <c r="A806" s="134">
        <v>796</v>
      </c>
      <c r="B806" s="134" t="s">
        <v>208</v>
      </c>
      <c r="C806" s="134" t="s">
        <v>218</v>
      </c>
      <c r="D806" s="134" t="s">
        <v>219</v>
      </c>
      <c r="E806" s="134">
        <v>15</v>
      </c>
      <c r="F806" s="134">
        <v>54</v>
      </c>
      <c r="G806" s="134">
        <v>231</v>
      </c>
      <c r="H806" s="134">
        <v>892</v>
      </c>
      <c r="I806" s="200">
        <v>0.378707596285</v>
      </c>
      <c r="J806" s="134">
        <v>946</v>
      </c>
      <c r="K806" s="134">
        <v>2497.9694341499999</v>
      </c>
      <c r="L806" s="42">
        <v>0.94039735099300004</v>
      </c>
      <c r="M806" s="42">
        <v>0.98346196251399998</v>
      </c>
      <c r="N806" s="134">
        <v>0</v>
      </c>
      <c r="O806" s="43" t="s">
        <v>666</v>
      </c>
      <c r="P806" s="43">
        <f t="shared" si="173"/>
        <v>12.404938131009331</v>
      </c>
      <c r="Q806" s="43">
        <f t="shared" si="174"/>
        <v>1.6778080000000001E-2</v>
      </c>
      <c r="R806" s="43">
        <f t="shared" si="175"/>
        <v>8.5835909999999998E-3</v>
      </c>
      <c r="S806" s="43">
        <f t="shared" si="176"/>
        <v>0.94039735099999999</v>
      </c>
      <c r="T806" s="43">
        <f t="shared" si="177"/>
        <v>4.35701275</v>
      </c>
      <c r="U806" s="43">
        <f t="shared" si="178"/>
        <v>9.6397084789999994</v>
      </c>
      <c r="V806" s="43">
        <f t="shared" si="179"/>
        <v>6.7479030000000004E-3</v>
      </c>
      <c r="W806" s="230">
        <f t="shared" si="180"/>
        <v>1.5197843081140517E-2</v>
      </c>
      <c r="X806" s="43">
        <f t="shared" si="181"/>
        <v>0.95451190699999999</v>
      </c>
      <c r="Y806" s="43">
        <v>46.08890427</v>
      </c>
      <c r="Z806" s="43">
        <f t="shared" si="170"/>
        <v>0</v>
      </c>
      <c r="AA806" s="43">
        <f t="shared" si="171"/>
        <v>73980</v>
      </c>
      <c r="AB806" s="43">
        <f t="shared" si="172"/>
        <v>21707</v>
      </c>
      <c r="AC806" s="43">
        <f t="shared" si="182"/>
        <v>2.9903742718750001E-2</v>
      </c>
      <c r="AD806" s="43">
        <f t="shared" si="183"/>
        <v>0.88755862149999987</v>
      </c>
      <c r="AF806" s="43">
        <v>12.404938131009331</v>
      </c>
      <c r="AG806" s="43">
        <v>1.6778080000000001E-2</v>
      </c>
      <c r="AH806" s="43">
        <v>8.5835909999999998E-3</v>
      </c>
      <c r="AI806" s="43">
        <v>0.94039735099999999</v>
      </c>
      <c r="AJ806" s="43">
        <v>4.35701275</v>
      </c>
      <c r="AK806" s="43">
        <v>9.6397084789999994</v>
      </c>
      <c r="AL806" s="43">
        <v>6.7479030000000004E-3</v>
      </c>
      <c r="AM806" s="230">
        <v>1.5197843081140517E-2</v>
      </c>
      <c r="AN806" s="43">
        <v>0.95451190699999999</v>
      </c>
    </row>
    <row r="807" spans="1:40" x14ac:dyDescent="0.25">
      <c r="A807" s="134">
        <v>797</v>
      </c>
      <c r="B807" s="134" t="s">
        <v>208</v>
      </c>
      <c r="C807" s="134" t="s">
        <v>218</v>
      </c>
      <c r="D807" s="134" t="s">
        <v>219</v>
      </c>
      <c r="E807" s="134">
        <v>855</v>
      </c>
      <c r="F807" s="134">
        <v>3289</v>
      </c>
      <c r="G807" s="134">
        <v>561</v>
      </c>
      <c r="H807" s="134">
        <v>723</v>
      </c>
      <c r="I807" s="200">
        <v>0.95131364237299998</v>
      </c>
      <c r="J807" s="134">
        <v>4012</v>
      </c>
      <c r="K807" s="134">
        <v>4217.3262542399998</v>
      </c>
      <c r="L807" s="42">
        <v>0.88593374053499996</v>
      </c>
      <c r="M807" s="42">
        <v>0.45817490494300001</v>
      </c>
      <c r="N807" s="134">
        <v>0</v>
      </c>
      <c r="O807" s="43" t="s">
        <v>666</v>
      </c>
      <c r="P807" s="43">
        <f t="shared" si="173"/>
        <v>14.525166470980666</v>
      </c>
      <c r="Q807" s="43">
        <f t="shared" si="174"/>
        <v>1.9670538000000001E-2</v>
      </c>
      <c r="R807" s="43">
        <f t="shared" si="175"/>
        <v>1.1441140000000001E-2</v>
      </c>
      <c r="S807" s="43">
        <f t="shared" si="176"/>
        <v>0.885933741</v>
      </c>
      <c r="T807" s="43">
        <f t="shared" si="177"/>
        <v>3.8423633480000001</v>
      </c>
      <c r="U807" s="43">
        <f t="shared" si="178"/>
        <v>9.6127842179999998</v>
      </c>
      <c r="V807" s="43">
        <f t="shared" si="179"/>
        <v>3.5782779999999998E-3</v>
      </c>
      <c r="W807" s="230">
        <f t="shared" si="180"/>
        <v>3.3374602481004052E-2</v>
      </c>
      <c r="X807" s="43">
        <f t="shared" si="181"/>
        <v>0.94078605599999998</v>
      </c>
      <c r="Y807" s="43">
        <v>39.250176400000001</v>
      </c>
      <c r="Z807" s="43">
        <f t="shared" si="170"/>
        <v>0</v>
      </c>
      <c r="AA807" s="43">
        <f t="shared" si="171"/>
        <v>73980</v>
      </c>
      <c r="AB807" s="43">
        <f t="shared" si="172"/>
        <v>21707</v>
      </c>
      <c r="AC807" s="43">
        <f t="shared" si="182"/>
        <v>2.9903742718750001E-2</v>
      </c>
      <c r="AD807" s="43">
        <f t="shared" si="183"/>
        <v>0.88755862149999987</v>
      </c>
      <c r="AF807" s="43">
        <v>14.525166470980666</v>
      </c>
      <c r="AG807" s="43">
        <v>1.9670538000000001E-2</v>
      </c>
      <c r="AH807" s="43">
        <v>1.1441140000000001E-2</v>
      </c>
      <c r="AI807" s="43">
        <v>0.885933741</v>
      </c>
      <c r="AJ807" s="43">
        <v>3.8423633480000001</v>
      </c>
      <c r="AK807" s="43">
        <v>9.6127842179999998</v>
      </c>
      <c r="AL807" s="43">
        <v>3.5782779999999998E-3</v>
      </c>
      <c r="AM807" s="230">
        <v>3.3374602481004052E-2</v>
      </c>
      <c r="AN807" s="43">
        <v>0.94078605599999998</v>
      </c>
    </row>
    <row r="808" spans="1:40" x14ac:dyDescent="0.25">
      <c r="A808" s="134">
        <v>798</v>
      </c>
      <c r="B808" s="134" t="s">
        <v>208</v>
      </c>
      <c r="C808" s="134" t="s">
        <v>218</v>
      </c>
      <c r="D808" s="134" t="s">
        <v>219</v>
      </c>
      <c r="E808" s="134">
        <v>1294</v>
      </c>
      <c r="F808" s="134">
        <v>4747</v>
      </c>
      <c r="G808" s="134">
        <v>239</v>
      </c>
      <c r="H808" s="134">
        <v>577</v>
      </c>
      <c r="I808" s="200">
        <v>0.37681216034100001</v>
      </c>
      <c r="J808" s="134">
        <v>5324</v>
      </c>
      <c r="K808" s="134">
        <v>14129.055694999999</v>
      </c>
      <c r="L808" s="42">
        <v>0.86991123144899996</v>
      </c>
      <c r="M808" s="42">
        <v>0.30839123463399998</v>
      </c>
      <c r="N808" s="134">
        <v>0</v>
      </c>
      <c r="O808" s="43" t="s">
        <v>666</v>
      </c>
      <c r="P808" s="43">
        <f t="shared" si="173"/>
        <v>12.949167925416019</v>
      </c>
      <c r="Q808" s="43">
        <f t="shared" si="174"/>
        <v>3.0516046000000002E-2</v>
      </c>
      <c r="R808" s="43">
        <f t="shared" si="175"/>
        <v>1.5450525999999999E-2</v>
      </c>
      <c r="S808" s="43">
        <f t="shared" si="176"/>
        <v>0.86991123100000001</v>
      </c>
      <c r="T808" s="43">
        <f t="shared" si="177"/>
        <v>3.9429500439999998</v>
      </c>
      <c r="U808" s="43">
        <f t="shared" si="178"/>
        <v>9.4570109119999994</v>
      </c>
      <c r="V808" s="43">
        <f t="shared" si="179"/>
        <v>5.5054450000000003E-3</v>
      </c>
      <c r="W808" s="230">
        <f t="shared" si="180"/>
        <v>4.7102604117079713E-2</v>
      </c>
      <c r="X808" s="43">
        <f t="shared" si="181"/>
        <v>0.91411919100000005</v>
      </c>
      <c r="Y808" s="43">
        <v>208.24412960000001</v>
      </c>
      <c r="Z808" s="43">
        <f t="shared" si="170"/>
        <v>0</v>
      </c>
      <c r="AA808" s="43">
        <f t="shared" si="171"/>
        <v>73980</v>
      </c>
      <c r="AB808" s="43">
        <f t="shared" si="172"/>
        <v>21707</v>
      </c>
      <c r="AC808" s="43">
        <f t="shared" si="182"/>
        <v>2.9903742718750001E-2</v>
      </c>
      <c r="AD808" s="43">
        <f t="shared" si="183"/>
        <v>0.88755862149999987</v>
      </c>
      <c r="AF808" s="43">
        <v>12.949167925416019</v>
      </c>
      <c r="AG808" s="43">
        <v>3.0516046000000002E-2</v>
      </c>
      <c r="AH808" s="43">
        <v>1.5450525999999999E-2</v>
      </c>
      <c r="AI808" s="43">
        <v>0.86991123100000001</v>
      </c>
      <c r="AJ808" s="43">
        <v>3.9429500439999998</v>
      </c>
      <c r="AK808" s="43">
        <v>9.4570109119999994</v>
      </c>
      <c r="AL808" s="43">
        <v>5.5054450000000003E-3</v>
      </c>
      <c r="AM808" s="230">
        <v>4.7102604117079713E-2</v>
      </c>
      <c r="AN808" s="43">
        <v>0.91411919100000005</v>
      </c>
    </row>
    <row r="809" spans="1:40" x14ac:dyDescent="0.25">
      <c r="A809" s="134">
        <v>799</v>
      </c>
      <c r="B809" s="134" t="s">
        <v>208</v>
      </c>
      <c r="C809" s="134" t="s">
        <v>218</v>
      </c>
      <c r="D809" s="134" t="s">
        <v>219</v>
      </c>
      <c r="E809" s="134">
        <v>1011</v>
      </c>
      <c r="F809" s="134">
        <v>3959</v>
      </c>
      <c r="G809" s="134">
        <v>195</v>
      </c>
      <c r="H809" s="134">
        <v>180</v>
      </c>
      <c r="I809" s="200">
        <v>0.34233694355799998</v>
      </c>
      <c r="J809" s="134">
        <v>4139</v>
      </c>
      <c r="K809" s="134">
        <v>12090.4275098</v>
      </c>
      <c r="L809" s="42">
        <v>0.88150784236199997</v>
      </c>
      <c r="M809" s="42">
        <v>0.15113350125899999</v>
      </c>
      <c r="N809" s="134">
        <v>0</v>
      </c>
      <c r="O809" s="43" t="s">
        <v>666</v>
      </c>
      <c r="P809" s="43">
        <f t="shared" si="173"/>
        <v>13.528372001787542</v>
      </c>
      <c r="Q809" s="43">
        <f t="shared" si="174"/>
        <v>3.0022751E-2</v>
      </c>
      <c r="R809" s="43">
        <f t="shared" si="175"/>
        <v>1.3944046E-2</v>
      </c>
      <c r="S809" s="43">
        <f t="shared" si="176"/>
        <v>0.88150784199999999</v>
      </c>
      <c r="T809" s="43">
        <f t="shared" si="177"/>
        <v>4.0866416719999998</v>
      </c>
      <c r="U809" s="43">
        <f t="shared" si="178"/>
        <v>9.8985146789999998</v>
      </c>
      <c r="V809" s="43">
        <f t="shared" si="179"/>
        <v>3.6891350000000001E-3</v>
      </c>
      <c r="W809" s="230">
        <f t="shared" si="180"/>
        <v>5.1717691398830437E-2</v>
      </c>
      <c r="X809" s="43">
        <f t="shared" si="181"/>
        <v>0.924402634</v>
      </c>
      <c r="Y809" s="43">
        <v>120.0452145</v>
      </c>
      <c r="Z809" s="43">
        <f t="shared" si="170"/>
        <v>0</v>
      </c>
      <c r="AA809" s="43">
        <f t="shared" si="171"/>
        <v>73980</v>
      </c>
      <c r="AB809" s="43">
        <f t="shared" si="172"/>
        <v>21707</v>
      </c>
      <c r="AC809" s="43">
        <f t="shared" si="182"/>
        <v>2.9903742718750001E-2</v>
      </c>
      <c r="AD809" s="43">
        <f t="shared" si="183"/>
        <v>0.88755862149999987</v>
      </c>
      <c r="AF809" s="43">
        <v>13.528372001787542</v>
      </c>
      <c r="AG809" s="43">
        <v>3.0022751E-2</v>
      </c>
      <c r="AH809" s="43">
        <v>1.3944046E-2</v>
      </c>
      <c r="AI809" s="43">
        <v>0.88150784199999999</v>
      </c>
      <c r="AJ809" s="43">
        <v>4.0866416719999998</v>
      </c>
      <c r="AK809" s="43">
        <v>9.8985146789999998</v>
      </c>
      <c r="AL809" s="43">
        <v>3.6891350000000001E-3</v>
      </c>
      <c r="AM809" s="230">
        <v>5.1717691398830437E-2</v>
      </c>
      <c r="AN809" s="43">
        <v>0.924402634</v>
      </c>
    </row>
    <row r="810" spans="1:40" x14ac:dyDescent="0.25">
      <c r="A810" s="134">
        <v>800</v>
      </c>
      <c r="B810" s="134" t="s">
        <v>208</v>
      </c>
      <c r="C810" s="134" t="s">
        <v>218</v>
      </c>
      <c r="D810" s="134" t="s">
        <v>219</v>
      </c>
      <c r="E810" s="134">
        <v>1013</v>
      </c>
      <c r="F810" s="134">
        <v>3970</v>
      </c>
      <c r="G810" s="134">
        <v>142</v>
      </c>
      <c r="H810" s="134">
        <v>431</v>
      </c>
      <c r="I810" s="200">
        <v>0.26447574229800003</v>
      </c>
      <c r="J810" s="134">
        <v>4401</v>
      </c>
      <c r="K810" s="134">
        <v>16640.467521800001</v>
      </c>
      <c r="L810" s="42">
        <v>0.872810811262</v>
      </c>
      <c r="M810" s="42">
        <v>0.29847645429399999</v>
      </c>
      <c r="N810" s="134">
        <v>0</v>
      </c>
      <c r="O810" s="43" t="s">
        <v>666</v>
      </c>
      <c r="P810" s="43">
        <f t="shared" si="173"/>
        <v>13.27214977533745</v>
      </c>
      <c r="Q810" s="43">
        <f t="shared" si="174"/>
        <v>3.7502329000000001E-2</v>
      </c>
      <c r="R810" s="43">
        <f t="shared" si="175"/>
        <v>1.5844761999999998E-2</v>
      </c>
      <c r="S810" s="43">
        <f t="shared" si="176"/>
        <v>0.87281081100000002</v>
      </c>
      <c r="T810" s="43">
        <f t="shared" si="177"/>
        <v>4.2773761009999998</v>
      </c>
      <c r="U810" s="43">
        <f t="shared" si="178"/>
        <v>10.18420504</v>
      </c>
      <c r="V810" s="43">
        <f t="shared" si="179"/>
        <v>6.1060860000000002E-3</v>
      </c>
      <c r="W810" s="230">
        <f t="shared" si="180"/>
        <v>5.7209254955697321E-2</v>
      </c>
      <c r="X810" s="43">
        <f t="shared" si="181"/>
        <v>0.90919570000000005</v>
      </c>
      <c r="Y810" s="43">
        <v>144.60649810000001</v>
      </c>
      <c r="Z810" s="43">
        <f t="shared" si="170"/>
        <v>0</v>
      </c>
      <c r="AA810" s="43">
        <f t="shared" si="171"/>
        <v>73980</v>
      </c>
      <c r="AB810" s="43">
        <f t="shared" si="172"/>
        <v>21707</v>
      </c>
      <c r="AC810" s="43">
        <f t="shared" si="182"/>
        <v>2.9903742718750001E-2</v>
      </c>
      <c r="AD810" s="43">
        <f t="shared" si="183"/>
        <v>0.88755862149999987</v>
      </c>
      <c r="AF810" s="43">
        <v>13.27214977533745</v>
      </c>
      <c r="AG810" s="43">
        <v>3.7502329000000001E-2</v>
      </c>
      <c r="AH810" s="43">
        <v>1.5844761999999998E-2</v>
      </c>
      <c r="AI810" s="43">
        <v>0.87281081100000002</v>
      </c>
      <c r="AJ810" s="43">
        <v>4.2773761009999998</v>
      </c>
      <c r="AK810" s="43">
        <v>10.18420504</v>
      </c>
      <c r="AL810" s="43">
        <v>6.1060860000000002E-3</v>
      </c>
      <c r="AM810" s="230">
        <v>5.7209254955697321E-2</v>
      </c>
      <c r="AN810" s="43">
        <v>0.90919570000000005</v>
      </c>
    </row>
    <row r="811" spans="1:40" x14ac:dyDescent="0.25">
      <c r="A811" s="134">
        <v>801</v>
      </c>
      <c r="B811" s="134" t="s">
        <v>208</v>
      </c>
      <c r="C811" s="134" t="s">
        <v>218</v>
      </c>
      <c r="D811" s="134" t="s">
        <v>219</v>
      </c>
      <c r="E811" s="134">
        <v>862</v>
      </c>
      <c r="F811" s="134">
        <v>3063</v>
      </c>
      <c r="G811" s="134">
        <v>401</v>
      </c>
      <c r="H811" s="134">
        <v>220</v>
      </c>
      <c r="I811" s="200">
        <v>0.56619539452199996</v>
      </c>
      <c r="J811" s="134">
        <v>3283</v>
      </c>
      <c r="K811" s="134">
        <v>5798.3516499199995</v>
      </c>
      <c r="L811" s="42">
        <v>0.90536698155499995</v>
      </c>
      <c r="M811" s="42">
        <v>0.20332717190399999</v>
      </c>
      <c r="N811" s="134">
        <v>0</v>
      </c>
      <c r="O811" s="43" t="s">
        <v>666</v>
      </c>
      <c r="P811" s="43">
        <f t="shared" si="173"/>
        <v>14.6409452892898</v>
      </c>
      <c r="Q811" s="43">
        <f t="shared" si="174"/>
        <v>2.7833035999999998E-2</v>
      </c>
      <c r="R811" s="43">
        <f t="shared" si="175"/>
        <v>1.2949634999999999E-2</v>
      </c>
      <c r="S811" s="43">
        <f t="shared" si="176"/>
        <v>0.90536698199999999</v>
      </c>
      <c r="T811" s="43">
        <f t="shared" si="177"/>
        <v>4.7004219410000001</v>
      </c>
      <c r="U811" s="43">
        <f t="shared" si="178"/>
        <v>11.74684205</v>
      </c>
      <c r="V811" s="43">
        <f t="shared" si="179"/>
        <v>2.3657909999999999E-3</v>
      </c>
      <c r="W811" s="230">
        <f t="shared" si="180"/>
        <v>4.1780443172554541E-2</v>
      </c>
      <c r="X811" s="43">
        <f t="shared" si="181"/>
        <v>0.94248562000000002</v>
      </c>
      <c r="Y811" s="43">
        <v>113.5780295</v>
      </c>
      <c r="Z811" s="43">
        <f t="shared" si="170"/>
        <v>0</v>
      </c>
      <c r="AA811" s="43">
        <f t="shared" si="171"/>
        <v>73980</v>
      </c>
      <c r="AB811" s="43">
        <f t="shared" si="172"/>
        <v>21707</v>
      </c>
      <c r="AC811" s="43">
        <f t="shared" si="182"/>
        <v>2.9903742718750001E-2</v>
      </c>
      <c r="AD811" s="43">
        <f t="shared" si="183"/>
        <v>0.88755862149999987</v>
      </c>
      <c r="AF811" s="43">
        <v>14.6409452892898</v>
      </c>
      <c r="AG811" s="43">
        <v>2.7833035999999998E-2</v>
      </c>
      <c r="AH811" s="43">
        <v>1.2949634999999999E-2</v>
      </c>
      <c r="AI811" s="43">
        <v>0.90536698199999999</v>
      </c>
      <c r="AJ811" s="43">
        <v>4.7004219410000001</v>
      </c>
      <c r="AK811" s="43">
        <v>11.74684205</v>
      </c>
      <c r="AL811" s="43">
        <v>2.3657909999999999E-3</v>
      </c>
      <c r="AM811" s="230">
        <v>4.1780443172554541E-2</v>
      </c>
      <c r="AN811" s="43">
        <v>0.94248562000000002</v>
      </c>
    </row>
    <row r="812" spans="1:40" x14ac:dyDescent="0.25">
      <c r="A812" s="134">
        <v>802</v>
      </c>
      <c r="B812" s="134" t="s">
        <v>217</v>
      </c>
      <c r="C812" s="134" t="s">
        <v>218</v>
      </c>
      <c r="D812" s="134" t="s">
        <v>219</v>
      </c>
      <c r="E812" s="134">
        <v>1750</v>
      </c>
      <c r="F812" s="134">
        <v>5442</v>
      </c>
      <c r="G812" s="134">
        <v>382</v>
      </c>
      <c r="H812" s="134">
        <v>363</v>
      </c>
      <c r="I812" s="200">
        <v>0.63032182612200005</v>
      </c>
      <c r="J812" s="134">
        <v>5805</v>
      </c>
      <c r="K812" s="134">
        <v>9209.5811368499999</v>
      </c>
      <c r="L812" s="42">
        <v>0.88063946414299998</v>
      </c>
      <c r="M812" s="42">
        <v>0.17179365830599999</v>
      </c>
      <c r="N812" s="134">
        <v>0</v>
      </c>
      <c r="O812" s="43" t="s">
        <v>666</v>
      </c>
      <c r="P812" s="43">
        <f t="shared" si="173"/>
        <v>14.118124821524404</v>
      </c>
      <c r="Q812" s="43">
        <f t="shared" si="174"/>
        <v>3.3122929000000002E-2</v>
      </c>
      <c r="R812" s="43">
        <f t="shared" si="175"/>
        <v>1.2623338E-2</v>
      </c>
      <c r="S812" s="43">
        <f t="shared" si="176"/>
        <v>0.88063946400000004</v>
      </c>
      <c r="T812" s="43">
        <f t="shared" si="177"/>
        <v>3.6670279560000001</v>
      </c>
      <c r="U812" s="43">
        <f t="shared" si="178"/>
        <v>10.572943240000001</v>
      </c>
      <c r="V812" s="43">
        <f t="shared" si="179"/>
        <v>3.1900460000000002E-3</v>
      </c>
      <c r="W812" s="230">
        <f t="shared" si="180"/>
        <v>5.3985902908766002E-2</v>
      </c>
      <c r="X812" s="43">
        <f t="shared" si="181"/>
        <v>0.92143022600000002</v>
      </c>
      <c r="Y812" s="43">
        <v>149.97590020000001</v>
      </c>
      <c r="Z812" s="43">
        <f t="shared" si="170"/>
        <v>0</v>
      </c>
      <c r="AA812" s="43">
        <f t="shared" si="171"/>
        <v>230820</v>
      </c>
      <c r="AB812" s="43">
        <f t="shared" si="172"/>
        <v>76507</v>
      </c>
      <c r="AC812" s="43">
        <f t="shared" si="182"/>
        <v>2.4487274902360415E-2</v>
      </c>
      <c r="AD812" s="43">
        <f t="shared" si="183"/>
        <v>0.89458291538016477</v>
      </c>
      <c r="AF812" s="43">
        <v>14.118124821524404</v>
      </c>
      <c r="AG812" s="43">
        <v>3.3122929000000002E-2</v>
      </c>
      <c r="AH812" s="43">
        <v>1.2623338E-2</v>
      </c>
      <c r="AI812" s="43">
        <v>0.88063946400000004</v>
      </c>
      <c r="AJ812" s="43">
        <v>3.6670279560000001</v>
      </c>
      <c r="AK812" s="43">
        <v>10.572943240000001</v>
      </c>
      <c r="AL812" s="43">
        <v>3.1900460000000002E-3</v>
      </c>
      <c r="AM812" s="230">
        <v>5.3985902908766002E-2</v>
      </c>
      <c r="AN812" s="43">
        <v>0.92143022600000002</v>
      </c>
    </row>
    <row r="813" spans="1:40" x14ac:dyDescent="0.25">
      <c r="A813" s="134">
        <v>803</v>
      </c>
      <c r="B813" s="134" t="s">
        <v>217</v>
      </c>
      <c r="C813" s="134" t="s">
        <v>218</v>
      </c>
      <c r="D813" s="134" t="s">
        <v>219</v>
      </c>
      <c r="E813" s="134">
        <v>375</v>
      </c>
      <c r="F813" s="134">
        <v>1324</v>
      </c>
      <c r="G813" s="134">
        <v>89</v>
      </c>
      <c r="H813" s="134">
        <v>32</v>
      </c>
      <c r="I813" s="200">
        <v>0.154717560645</v>
      </c>
      <c r="J813" s="134">
        <v>1356</v>
      </c>
      <c r="K813" s="134">
        <v>8764.3574158699994</v>
      </c>
      <c r="L813" s="42">
        <v>0.89203940232000001</v>
      </c>
      <c r="M813" s="42">
        <v>7.8624078624099994E-2</v>
      </c>
      <c r="N813" s="134">
        <v>0</v>
      </c>
      <c r="O813" s="43" t="s">
        <v>666</v>
      </c>
      <c r="P813" s="43">
        <f t="shared" si="173"/>
        <v>13.88175647442441</v>
      </c>
      <c r="Q813" s="43">
        <f t="shared" si="174"/>
        <v>3.3069804000000001E-2</v>
      </c>
      <c r="R813" s="43">
        <f t="shared" si="175"/>
        <v>1.3642270999999999E-2</v>
      </c>
      <c r="S813" s="43">
        <f t="shared" si="176"/>
        <v>0.89203940199999998</v>
      </c>
      <c r="T813" s="43">
        <f t="shared" si="177"/>
        <v>4.4246722930000004</v>
      </c>
      <c r="U813" s="43">
        <f t="shared" si="178"/>
        <v>11.306599289999999</v>
      </c>
      <c r="V813" s="43">
        <f t="shared" si="179"/>
        <v>1.822667E-3</v>
      </c>
      <c r="W813" s="230">
        <f t="shared" si="180"/>
        <v>5.0484735163332975E-2</v>
      </c>
      <c r="X813" s="43">
        <f t="shared" si="181"/>
        <v>0.92332228199999999</v>
      </c>
      <c r="Y813" s="43">
        <v>114.4538462</v>
      </c>
      <c r="Z813" s="43">
        <f t="shared" si="170"/>
        <v>0</v>
      </c>
      <c r="AA813" s="43">
        <f t="shared" si="171"/>
        <v>230820</v>
      </c>
      <c r="AB813" s="43">
        <f t="shared" si="172"/>
        <v>76507</v>
      </c>
      <c r="AC813" s="43">
        <f t="shared" si="182"/>
        <v>2.4487274902360415E-2</v>
      </c>
      <c r="AD813" s="43">
        <f t="shared" si="183"/>
        <v>0.89458291538016477</v>
      </c>
      <c r="AF813" s="43">
        <v>13.88175647442441</v>
      </c>
      <c r="AG813" s="43">
        <v>3.3069804000000001E-2</v>
      </c>
      <c r="AH813" s="43">
        <v>1.3642270999999999E-2</v>
      </c>
      <c r="AI813" s="43">
        <v>0.89203940199999998</v>
      </c>
      <c r="AJ813" s="43">
        <v>4.4246722930000004</v>
      </c>
      <c r="AK813" s="43">
        <v>11.306599289999999</v>
      </c>
      <c r="AL813" s="43">
        <v>1.822667E-3</v>
      </c>
      <c r="AM813" s="230">
        <v>5.0484735163332975E-2</v>
      </c>
      <c r="AN813" s="43">
        <v>0.92332228199999999</v>
      </c>
    </row>
    <row r="814" spans="1:40" x14ac:dyDescent="0.25">
      <c r="A814" s="134">
        <v>804</v>
      </c>
      <c r="B814" s="134" t="s">
        <v>217</v>
      </c>
      <c r="C814" s="134" t="s">
        <v>218</v>
      </c>
      <c r="D814" s="134" t="s">
        <v>219</v>
      </c>
      <c r="E814" s="134">
        <v>1073</v>
      </c>
      <c r="F814" s="134">
        <v>3793</v>
      </c>
      <c r="G814" s="134">
        <v>203</v>
      </c>
      <c r="H814" s="134">
        <v>225</v>
      </c>
      <c r="I814" s="200">
        <v>0.350553736166</v>
      </c>
      <c r="J814" s="134">
        <v>4018</v>
      </c>
      <c r="K814" s="134">
        <v>11461.866143400001</v>
      </c>
      <c r="L814" s="42">
        <v>0.89588054023100006</v>
      </c>
      <c r="M814" s="42">
        <v>0.17334360554700001</v>
      </c>
      <c r="N814" s="134">
        <v>0</v>
      </c>
      <c r="O814" s="43" t="s">
        <v>666</v>
      </c>
      <c r="P814" s="43">
        <f t="shared" si="173"/>
        <v>14.063449142688999</v>
      </c>
      <c r="Q814" s="43">
        <f t="shared" si="174"/>
        <v>2.9767768E-2</v>
      </c>
      <c r="R814" s="43">
        <f t="shared" si="175"/>
        <v>1.3679510000000001E-2</v>
      </c>
      <c r="S814" s="43">
        <f t="shared" si="176"/>
        <v>0.89588053999999995</v>
      </c>
      <c r="T814" s="43">
        <f t="shared" si="177"/>
        <v>4.3827280059999998</v>
      </c>
      <c r="U814" s="43">
        <f t="shared" si="178"/>
        <v>11.14827142</v>
      </c>
      <c r="V814" s="43">
        <f t="shared" si="179"/>
        <v>3.6014950000000001E-3</v>
      </c>
      <c r="W814" s="230">
        <f t="shared" si="180"/>
        <v>4.8070591334123537E-2</v>
      </c>
      <c r="X814" s="43">
        <f t="shared" si="181"/>
        <v>0.93354709300000005</v>
      </c>
      <c r="Y814" s="43">
        <v>176.10358690000001</v>
      </c>
      <c r="Z814" s="43">
        <f t="shared" si="170"/>
        <v>0</v>
      </c>
      <c r="AA814" s="43">
        <f t="shared" si="171"/>
        <v>230820</v>
      </c>
      <c r="AB814" s="43">
        <f t="shared" si="172"/>
        <v>76507</v>
      </c>
      <c r="AC814" s="43">
        <f t="shared" si="182"/>
        <v>2.4487274902360415E-2</v>
      </c>
      <c r="AD814" s="43">
        <f t="shared" si="183"/>
        <v>0.89458291538016477</v>
      </c>
      <c r="AF814" s="43">
        <v>14.063449142688999</v>
      </c>
      <c r="AG814" s="43">
        <v>2.9767768E-2</v>
      </c>
      <c r="AH814" s="43">
        <v>1.3679510000000001E-2</v>
      </c>
      <c r="AI814" s="43">
        <v>0.89588053999999995</v>
      </c>
      <c r="AJ814" s="43">
        <v>4.3827280059999998</v>
      </c>
      <c r="AK814" s="43">
        <v>11.14827142</v>
      </c>
      <c r="AL814" s="43">
        <v>3.6014950000000001E-3</v>
      </c>
      <c r="AM814" s="230">
        <v>4.8070591334123537E-2</v>
      </c>
      <c r="AN814" s="43">
        <v>0.93354709300000005</v>
      </c>
    </row>
    <row r="815" spans="1:40" x14ac:dyDescent="0.25">
      <c r="A815" s="134">
        <v>805</v>
      </c>
      <c r="B815" s="134" t="s">
        <v>217</v>
      </c>
      <c r="C815" s="134" t="s">
        <v>218</v>
      </c>
      <c r="D815" s="134" t="s">
        <v>219</v>
      </c>
      <c r="E815" s="134">
        <v>1612</v>
      </c>
      <c r="F815" s="134">
        <v>5415</v>
      </c>
      <c r="G815" s="134">
        <v>385</v>
      </c>
      <c r="H815" s="134">
        <v>341</v>
      </c>
      <c r="I815" s="200">
        <v>0.59192574618500005</v>
      </c>
      <c r="J815" s="134">
        <v>5756</v>
      </c>
      <c r="K815" s="134">
        <v>9724.1926662299993</v>
      </c>
      <c r="L815" s="42">
        <v>0.89188125617699998</v>
      </c>
      <c r="M815" s="42">
        <v>0.17460317460300001</v>
      </c>
      <c r="N815" s="134">
        <v>0</v>
      </c>
      <c r="O815" s="43" t="s">
        <v>666</v>
      </c>
      <c r="P815" s="43">
        <f t="shared" si="173"/>
        <v>13.957970647819121</v>
      </c>
      <c r="Q815" s="43">
        <f t="shared" si="174"/>
        <v>2.7001468000000001E-2</v>
      </c>
      <c r="R815" s="43">
        <f t="shared" si="175"/>
        <v>1.3507852000000001E-2</v>
      </c>
      <c r="S815" s="43">
        <f t="shared" si="176"/>
        <v>0.89188125600000001</v>
      </c>
      <c r="T815" s="43">
        <f t="shared" si="177"/>
        <v>4.2675336389999998</v>
      </c>
      <c r="U815" s="43">
        <f t="shared" si="178"/>
        <v>10.91369909</v>
      </c>
      <c r="V815" s="43">
        <f t="shared" si="179"/>
        <v>3.0340469999999998E-3</v>
      </c>
      <c r="W815" s="230">
        <f t="shared" si="180"/>
        <v>4.2987334357198911E-2</v>
      </c>
      <c r="X815" s="43">
        <f t="shared" si="181"/>
        <v>0.93538757299999997</v>
      </c>
      <c r="Y815" s="43">
        <v>109.17164699999999</v>
      </c>
      <c r="Z815" s="43">
        <f t="shared" si="170"/>
        <v>0</v>
      </c>
      <c r="AA815" s="43">
        <f t="shared" si="171"/>
        <v>230820</v>
      </c>
      <c r="AB815" s="43">
        <f t="shared" si="172"/>
        <v>76507</v>
      </c>
      <c r="AC815" s="43">
        <f t="shared" si="182"/>
        <v>2.4487274902360415E-2</v>
      </c>
      <c r="AD815" s="43">
        <f t="shared" si="183"/>
        <v>0.89458291538016477</v>
      </c>
      <c r="AF815" s="43">
        <v>13.957970647819121</v>
      </c>
      <c r="AG815" s="43">
        <v>2.7001468000000001E-2</v>
      </c>
      <c r="AH815" s="43">
        <v>1.3507852000000001E-2</v>
      </c>
      <c r="AI815" s="43">
        <v>0.89188125600000001</v>
      </c>
      <c r="AJ815" s="43">
        <v>4.2675336389999998</v>
      </c>
      <c r="AK815" s="43">
        <v>10.91369909</v>
      </c>
      <c r="AL815" s="43">
        <v>3.0340469999999998E-3</v>
      </c>
      <c r="AM815" s="230">
        <v>4.2987334357198911E-2</v>
      </c>
      <c r="AN815" s="43">
        <v>0.93538757299999997</v>
      </c>
    </row>
    <row r="816" spans="1:40" x14ac:dyDescent="0.25">
      <c r="A816" s="134">
        <v>806</v>
      </c>
      <c r="B816" s="134" t="s">
        <v>217</v>
      </c>
      <c r="C816" s="134" t="s">
        <v>218</v>
      </c>
      <c r="D816" s="134" t="s">
        <v>219</v>
      </c>
      <c r="E816" s="134">
        <v>1183</v>
      </c>
      <c r="F816" s="134">
        <v>3635</v>
      </c>
      <c r="G816" s="134">
        <v>210</v>
      </c>
      <c r="H816" s="134">
        <v>439</v>
      </c>
      <c r="I816" s="200">
        <v>0.32394034413900002</v>
      </c>
      <c r="J816" s="134">
        <v>4074</v>
      </c>
      <c r="K816" s="134">
        <v>12576.389676999999</v>
      </c>
      <c r="L816" s="42">
        <v>0.87843064761099998</v>
      </c>
      <c r="M816" s="42">
        <v>0.27065351418</v>
      </c>
      <c r="N816" s="134">
        <v>0</v>
      </c>
      <c r="O816" s="43" t="s">
        <v>666</v>
      </c>
      <c r="P816" s="43">
        <f t="shared" si="173"/>
        <v>13.103496759840517</v>
      </c>
      <c r="Q816" s="43">
        <f t="shared" si="174"/>
        <v>3.1843291000000003E-2</v>
      </c>
      <c r="R816" s="43">
        <f t="shared" si="175"/>
        <v>1.2667994E-2</v>
      </c>
      <c r="S816" s="43">
        <f t="shared" si="176"/>
        <v>0.87843064800000004</v>
      </c>
      <c r="T816" s="43">
        <f t="shared" si="177"/>
        <v>3.4993922199999998</v>
      </c>
      <c r="U816" s="43">
        <f t="shared" si="178"/>
        <v>9.6349004249999997</v>
      </c>
      <c r="V816" s="43">
        <f t="shared" si="179"/>
        <v>4.847512E-3</v>
      </c>
      <c r="W816" s="230">
        <f t="shared" si="180"/>
        <v>4.8355881678514102E-2</v>
      </c>
      <c r="X816" s="43">
        <f t="shared" si="181"/>
        <v>0.91667966099999998</v>
      </c>
      <c r="Y816" s="43">
        <v>123.45991789999999</v>
      </c>
      <c r="Z816" s="43">
        <f t="shared" si="170"/>
        <v>0</v>
      </c>
      <c r="AA816" s="43">
        <f t="shared" si="171"/>
        <v>230820</v>
      </c>
      <c r="AB816" s="43">
        <f t="shared" si="172"/>
        <v>76507</v>
      </c>
      <c r="AC816" s="43">
        <f t="shared" si="182"/>
        <v>2.4487274902360415E-2</v>
      </c>
      <c r="AD816" s="43">
        <f t="shared" si="183"/>
        <v>0.89458291538016477</v>
      </c>
      <c r="AF816" s="43">
        <v>13.103496759840517</v>
      </c>
      <c r="AG816" s="43">
        <v>3.1843291000000003E-2</v>
      </c>
      <c r="AH816" s="43">
        <v>1.2667994E-2</v>
      </c>
      <c r="AI816" s="43">
        <v>0.87843064800000004</v>
      </c>
      <c r="AJ816" s="43">
        <v>3.4993922199999998</v>
      </c>
      <c r="AK816" s="43">
        <v>9.6349004249999997</v>
      </c>
      <c r="AL816" s="43">
        <v>4.847512E-3</v>
      </c>
      <c r="AM816" s="230">
        <v>4.8355881678514102E-2</v>
      </c>
      <c r="AN816" s="43">
        <v>0.91667966099999998</v>
      </c>
    </row>
    <row r="817" spans="1:40" x14ac:dyDescent="0.25">
      <c r="A817" s="134">
        <v>807</v>
      </c>
      <c r="B817" s="134" t="s">
        <v>217</v>
      </c>
      <c r="C817" s="134" t="s">
        <v>218</v>
      </c>
      <c r="D817" s="134" t="s">
        <v>219</v>
      </c>
      <c r="E817" s="134">
        <v>1056</v>
      </c>
      <c r="F817" s="134">
        <v>3243</v>
      </c>
      <c r="G817" s="134">
        <v>184</v>
      </c>
      <c r="H817" s="134">
        <v>65</v>
      </c>
      <c r="I817" s="200">
        <v>0.28399938240299999</v>
      </c>
      <c r="J817" s="134">
        <v>3308</v>
      </c>
      <c r="K817" s="134">
        <v>11647.912653900001</v>
      </c>
      <c r="L817" s="42">
        <v>0.88834055274299994</v>
      </c>
      <c r="M817" s="42">
        <v>5.7983942908100002E-2</v>
      </c>
      <c r="N817" s="134">
        <v>0</v>
      </c>
      <c r="O817" s="43" t="s">
        <v>666</v>
      </c>
      <c r="P817" s="43">
        <f t="shared" si="173"/>
        <v>13.13445783833583</v>
      </c>
      <c r="Q817" s="43">
        <f t="shared" si="174"/>
        <v>3.7616926000000002E-2</v>
      </c>
      <c r="R817" s="43">
        <f t="shared" si="175"/>
        <v>1.2847522E-2</v>
      </c>
      <c r="S817" s="43">
        <f t="shared" si="176"/>
        <v>0.88834055300000003</v>
      </c>
      <c r="T817" s="43">
        <f t="shared" si="177"/>
        <v>3.5463745919999998</v>
      </c>
      <c r="U817" s="43">
        <f t="shared" si="178"/>
        <v>9.9234801089999998</v>
      </c>
      <c r="V817" s="43">
        <f t="shared" si="179"/>
        <v>2.5270459999999998E-3</v>
      </c>
      <c r="W817" s="230">
        <f t="shared" si="180"/>
        <v>5.7015696603574327E-2</v>
      </c>
      <c r="X817" s="43">
        <f t="shared" si="181"/>
        <v>0.92825577199999998</v>
      </c>
      <c r="Y817" s="43">
        <v>165.5455867</v>
      </c>
      <c r="Z817" s="43">
        <f t="shared" si="170"/>
        <v>0</v>
      </c>
      <c r="AA817" s="43">
        <f t="shared" si="171"/>
        <v>230820</v>
      </c>
      <c r="AB817" s="43">
        <f t="shared" si="172"/>
        <v>76507</v>
      </c>
      <c r="AC817" s="43">
        <f t="shared" si="182"/>
        <v>2.4487274902360415E-2</v>
      </c>
      <c r="AD817" s="43">
        <f t="shared" si="183"/>
        <v>0.89458291538016477</v>
      </c>
      <c r="AF817" s="43">
        <v>13.13445783833583</v>
      </c>
      <c r="AG817" s="43">
        <v>3.7616926000000002E-2</v>
      </c>
      <c r="AH817" s="43">
        <v>1.2847522E-2</v>
      </c>
      <c r="AI817" s="43">
        <v>0.88834055300000003</v>
      </c>
      <c r="AJ817" s="43">
        <v>3.5463745919999998</v>
      </c>
      <c r="AK817" s="43">
        <v>9.9234801089999998</v>
      </c>
      <c r="AL817" s="43">
        <v>2.5270459999999998E-3</v>
      </c>
      <c r="AM817" s="230">
        <v>5.7015696603574327E-2</v>
      </c>
      <c r="AN817" s="43">
        <v>0.92825577199999998</v>
      </c>
    </row>
    <row r="818" spans="1:40" x14ac:dyDescent="0.25">
      <c r="A818" s="134">
        <v>808</v>
      </c>
      <c r="B818" s="134" t="s">
        <v>217</v>
      </c>
      <c r="C818" s="134" t="s">
        <v>218</v>
      </c>
      <c r="D818" s="134" t="s">
        <v>219</v>
      </c>
      <c r="E818" s="134">
        <v>148</v>
      </c>
      <c r="F818" s="134">
        <v>456</v>
      </c>
      <c r="G818" s="134">
        <v>69</v>
      </c>
      <c r="H818" s="134">
        <v>165</v>
      </c>
      <c r="I818" s="200">
        <v>0.10660924535999999</v>
      </c>
      <c r="J818" s="134">
        <v>621</v>
      </c>
      <c r="K818" s="134">
        <v>5825.0107474300003</v>
      </c>
      <c r="L818" s="42">
        <v>0.89744377571699996</v>
      </c>
      <c r="M818" s="42">
        <v>0.527156549521</v>
      </c>
      <c r="N818" s="134">
        <v>0</v>
      </c>
      <c r="O818" s="43" t="s">
        <v>666</v>
      </c>
      <c r="P818" s="43">
        <f t="shared" si="173"/>
        <v>12.297409363749882</v>
      </c>
      <c r="Q818" s="43">
        <f t="shared" si="174"/>
        <v>2.0640170999999999E-2</v>
      </c>
      <c r="R818" s="43">
        <f t="shared" si="175"/>
        <v>1.1434629999999999E-2</v>
      </c>
      <c r="S818" s="43">
        <f t="shared" si="176"/>
        <v>0.89744377600000003</v>
      </c>
      <c r="T818" s="43">
        <f t="shared" si="177"/>
        <v>3.3325428189999999</v>
      </c>
      <c r="U818" s="43">
        <f t="shared" si="178"/>
        <v>8.2283014580000007</v>
      </c>
      <c r="V818" s="43">
        <f t="shared" si="179"/>
        <v>4.504887E-3</v>
      </c>
      <c r="W818" s="230">
        <f t="shared" si="180"/>
        <v>3.3092506020682817E-2</v>
      </c>
      <c r="X818" s="43">
        <f t="shared" si="181"/>
        <v>0.92047032200000001</v>
      </c>
      <c r="Y818" s="43">
        <v>115.4631208</v>
      </c>
      <c r="Z818" s="43">
        <f t="shared" si="170"/>
        <v>0</v>
      </c>
      <c r="AA818" s="43">
        <f t="shared" si="171"/>
        <v>230820</v>
      </c>
      <c r="AB818" s="43">
        <f t="shared" si="172"/>
        <v>76507</v>
      </c>
      <c r="AC818" s="43">
        <f t="shared" si="182"/>
        <v>2.4487274902360415E-2</v>
      </c>
      <c r="AD818" s="43">
        <f t="shared" si="183"/>
        <v>0.89458291538016477</v>
      </c>
      <c r="AF818" s="43">
        <v>12.297409363749882</v>
      </c>
      <c r="AG818" s="43">
        <v>2.0640170999999999E-2</v>
      </c>
      <c r="AH818" s="43">
        <v>1.1434629999999999E-2</v>
      </c>
      <c r="AI818" s="43">
        <v>0.89744377600000003</v>
      </c>
      <c r="AJ818" s="43">
        <v>3.3325428189999999</v>
      </c>
      <c r="AK818" s="43">
        <v>8.2283014580000007</v>
      </c>
      <c r="AL818" s="43">
        <v>4.504887E-3</v>
      </c>
      <c r="AM818" s="230">
        <v>3.3092506020682817E-2</v>
      </c>
      <c r="AN818" s="43">
        <v>0.92047032200000001</v>
      </c>
    </row>
    <row r="819" spans="1:40" x14ac:dyDescent="0.25">
      <c r="A819" s="134">
        <v>809</v>
      </c>
      <c r="B819" s="134" t="s">
        <v>217</v>
      </c>
      <c r="C819" s="134" t="s">
        <v>218</v>
      </c>
      <c r="D819" s="134" t="s">
        <v>219</v>
      </c>
      <c r="E819" s="134">
        <v>1030</v>
      </c>
      <c r="F819" s="134">
        <v>3359</v>
      </c>
      <c r="G819" s="134">
        <v>207</v>
      </c>
      <c r="H819" s="134">
        <v>159</v>
      </c>
      <c r="I819" s="200">
        <v>0.33504430188000001</v>
      </c>
      <c r="J819" s="134">
        <v>3518</v>
      </c>
      <c r="K819" s="134">
        <v>10500.103957200001</v>
      </c>
      <c r="L819" s="42">
        <v>0.87670741899600002</v>
      </c>
      <c r="M819" s="42">
        <v>0.13372582001700001</v>
      </c>
      <c r="N819" s="134">
        <v>0</v>
      </c>
      <c r="O819" s="43" t="s">
        <v>666</v>
      </c>
      <c r="P819" s="43">
        <f t="shared" si="173"/>
        <v>12.871705082906194</v>
      </c>
      <c r="Q819" s="43">
        <f t="shared" si="174"/>
        <v>3.3215078000000002E-2</v>
      </c>
      <c r="R819" s="43">
        <f t="shared" si="175"/>
        <v>1.3423053000000001E-2</v>
      </c>
      <c r="S819" s="43">
        <f t="shared" si="176"/>
        <v>0.87670741900000004</v>
      </c>
      <c r="T819" s="43">
        <f t="shared" si="177"/>
        <v>3.2066828030000001</v>
      </c>
      <c r="U819" s="43">
        <f t="shared" si="178"/>
        <v>9.1282374159999993</v>
      </c>
      <c r="V819" s="43">
        <f t="shared" si="179"/>
        <v>3.4416519999999999E-3</v>
      </c>
      <c r="W819" s="230">
        <f t="shared" si="180"/>
        <v>4.8607282003429536E-2</v>
      </c>
      <c r="X819" s="43">
        <f t="shared" si="181"/>
        <v>0.92487139200000001</v>
      </c>
      <c r="Y819" s="43">
        <v>162.6752358</v>
      </c>
      <c r="Z819" s="43">
        <f t="shared" si="170"/>
        <v>0</v>
      </c>
      <c r="AA819" s="43">
        <f t="shared" si="171"/>
        <v>230820</v>
      </c>
      <c r="AB819" s="43">
        <f t="shared" si="172"/>
        <v>76507</v>
      </c>
      <c r="AC819" s="43">
        <f t="shared" si="182"/>
        <v>2.4487274902360415E-2</v>
      </c>
      <c r="AD819" s="43">
        <f t="shared" si="183"/>
        <v>0.89458291538016477</v>
      </c>
      <c r="AF819" s="43">
        <v>12.871705082906194</v>
      </c>
      <c r="AG819" s="43">
        <v>3.3215078000000002E-2</v>
      </c>
      <c r="AH819" s="43">
        <v>1.3423053000000001E-2</v>
      </c>
      <c r="AI819" s="43">
        <v>0.87670741900000004</v>
      </c>
      <c r="AJ819" s="43">
        <v>3.2066828030000001</v>
      </c>
      <c r="AK819" s="43">
        <v>9.1282374159999993</v>
      </c>
      <c r="AL819" s="43">
        <v>3.4416519999999999E-3</v>
      </c>
      <c r="AM819" s="230">
        <v>4.8607282003429536E-2</v>
      </c>
      <c r="AN819" s="43">
        <v>0.92487139200000001</v>
      </c>
    </row>
    <row r="820" spans="1:40" x14ac:dyDescent="0.25">
      <c r="A820" s="134">
        <v>810</v>
      </c>
      <c r="B820" s="134" t="s">
        <v>217</v>
      </c>
      <c r="C820" s="134" t="s">
        <v>218</v>
      </c>
      <c r="D820" s="134" t="s">
        <v>219</v>
      </c>
      <c r="E820" s="134">
        <v>414</v>
      </c>
      <c r="F820" s="134">
        <v>1350</v>
      </c>
      <c r="G820" s="134">
        <v>102</v>
      </c>
      <c r="H820" s="134">
        <v>128</v>
      </c>
      <c r="I820" s="200">
        <v>0.165903853997</v>
      </c>
      <c r="J820" s="134">
        <v>1478</v>
      </c>
      <c r="K820" s="134">
        <v>8908.7743557100002</v>
      </c>
      <c r="L820" s="42">
        <v>0.89855967887900001</v>
      </c>
      <c r="M820" s="42">
        <v>0.23616236162400001</v>
      </c>
      <c r="N820" s="134">
        <v>0</v>
      </c>
      <c r="O820" s="43" t="s">
        <v>666</v>
      </c>
      <c r="P820" s="43">
        <f t="shared" si="173"/>
        <v>13.436564619576512</v>
      </c>
      <c r="Q820" s="43">
        <f t="shared" si="174"/>
        <v>2.9054347000000001E-2</v>
      </c>
      <c r="R820" s="43">
        <f t="shared" si="175"/>
        <v>1.347448E-2</v>
      </c>
      <c r="S820" s="43">
        <f t="shared" si="176"/>
        <v>0.898559679</v>
      </c>
      <c r="T820" s="43">
        <f t="shared" si="177"/>
        <v>3.634811789</v>
      </c>
      <c r="U820" s="43">
        <f t="shared" si="178"/>
        <v>10.247815210000001</v>
      </c>
      <c r="V820" s="43">
        <f t="shared" si="179"/>
        <v>3.4552099999999998E-3</v>
      </c>
      <c r="W820" s="230">
        <f t="shared" si="180"/>
        <v>3.9424491503691407E-2</v>
      </c>
      <c r="X820" s="43">
        <f t="shared" si="181"/>
        <v>0.93119272200000003</v>
      </c>
      <c r="Y820" s="43">
        <v>119.45201520000001</v>
      </c>
      <c r="Z820" s="43">
        <f t="shared" si="170"/>
        <v>0</v>
      </c>
      <c r="AA820" s="43">
        <f t="shared" si="171"/>
        <v>230820</v>
      </c>
      <c r="AB820" s="43">
        <f t="shared" si="172"/>
        <v>76507</v>
      </c>
      <c r="AC820" s="43">
        <f t="shared" si="182"/>
        <v>2.4487274902360415E-2</v>
      </c>
      <c r="AD820" s="43">
        <f t="shared" si="183"/>
        <v>0.89458291538016477</v>
      </c>
      <c r="AF820" s="43">
        <v>13.436564619576512</v>
      </c>
      <c r="AG820" s="43">
        <v>2.9054347000000001E-2</v>
      </c>
      <c r="AH820" s="43">
        <v>1.347448E-2</v>
      </c>
      <c r="AI820" s="43">
        <v>0.898559679</v>
      </c>
      <c r="AJ820" s="43">
        <v>3.634811789</v>
      </c>
      <c r="AK820" s="43">
        <v>10.247815210000001</v>
      </c>
      <c r="AL820" s="43">
        <v>3.4552099999999998E-3</v>
      </c>
      <c r="AM820" s="230">
        <v>3.9424491503691407E-2</v>
      </c>
      <c r="AN820" s="43">
        <v>0.93119272200000003</v>
      </c>
    </row>
    <row r="821" spans="1:40" x14ac:dyDescent="0.25">
      <c r="A821" s="134">
        <v>811</v>
      </c>
      <c r="B821" s="134" t="s">
        <v>217</v>
      </c>
      <c r="C821" s="134" t="s">
        <v>218</v>
      </c>
      <c r="D821" s="134" t="s">
        <v>219</v>
      </c>
      <c r="E821" s="134">
        <v>1689</v>
      </c>
      <c r="F821" s="134">
        <v>5215</v>
      </c>
      <c r="G821" s="134">
        <v>273</v>
      </c>
      <c r="H821" s="134">
        <v>492</v>
      </c>
      <c r="I821" s="200">
        <v>0.42787213165400001</v>
      </c>
      <c r="J821" s="134">
        <v>5707</v>
      </c>
      <c r="K821" s="134">
        <v>13338.0970103</v>
      </c>
      <c r="L821" s="42">
        <v>0.84303863129199996</v>
      </c>
      <c r="M821" s="42">
        <v>0.22558459422300001</v>
      </c>
      <c r="N821" s="134">
        <v>0</v>
      </c>
      <c r="O821" s="43" t="s">
        <v>666</v>
      </c>
      <c r="P821" s="43">
        <f t="shared" si="173"/>
        <v>12.422209214716917</v>
      </c>
      <c r="Q821" s="43">
        <f t="shared" si="174"/>
        <v>3.2014918000000003E-2</v>
      </c>
      <c r="R821" s="43">
        <f t="shared" si="175"/>
        <v>3.5896380999999998E-2</v>
      </c>
      <c r="S821" s="43">
        <f t="shared" si="176"/>
        <v>0.84303863099999998</v>
      </c>
      <c r="T821" s="43">
        <f t="shared" si="177"/>
        <v>3.0365880999999999</v>
      </c>
      <c r="U821" s="43">
        <f t="shared" si="178"/>
        <v>8.639186896</v>
      </c>
      <c r="V821" s="43">
        <f t="shared" si="179"/>
        <v>5.5447719999999999E-3</v>
      </c>
      <c r="W821" s="230">
        <f t="shared" si="180"/>
        <v>4.6024391431692159E-2</v>
      </c>
      <c r="X821" s="43">
        <f t="shared" si="181"/>
        <v>0.915343087</v>
      </c>
      <c r="Y821" s="43">
        <v>143.93406949999999</v>
      </c>
      <c r="Z821" s="43">
        <f t="shared" si="170"/>
        <v>0</v>
      </c>
      <c r="AA821" s="43">
        <f t="shared" si="171"/>
        <v>230820</v>
      </c>
      <c r="AB821" s="43">
        <f t="shared" si="172"/>
        <v>76507</v>
      </c>
      <c r="AC821" s="43">
        <f t="shared" si="182"/>
        <v>2.4487274902360415E-2</v>
      </c>
      <c r="AD821" s="43">
        <f t="shared" si="183"/>
        <v>0.89458291538016477</v>
      </c>
      <c r="AF821" s="43">
        <v>12.422209214716917</v>
      </c>
      <c r="AG821" s="43">
        <v>3.2014918000000003E-2</v>
      </c>
      <c r="AH821" s="43">
        <v>3.5896380999999998E-2</v>
      </c>
      <c r="AI821" s="43">
        <v>0.84303863099999998</v>
      </c>
      <c r="AJ821" s="43">
        <v>3.0365880999999999</v>
      </c>
      <c r="AK821" s="43">
        <v>8.639186896</v>
      </c>
      <c r="AL821" s="43">
        <v>5.5447719999999999E-3</v>
      </c>
      <c r="AM821" s="230">
        <v>4.6024391431692159E-2</v>
      </c>
      <c r="AN821" s="43">
        <v>0.915343087</v>
      </c>
    </row>
    <row r="822" spans="1:40" x14ac:dyDescent="0.25">
      <c r="A822" s="134">
        <v>812</v>
      </c>
      <c r="B822" s="134" t="s">
        <v>217</v>
      </c>
      <c r="C822" s="134" t="s">
        <v>218</v>
      </c>
      <c r="D822" s="134" t="s">
        <v>219</v>
      </c>
      <c r="E822" s="134">
        <v>606</v>
      </c>
      <c r="F822" s="134">
        <v>1870</v>
      </c>
      <c r="G822" s="134">
        <v>135</v>
      </c>
      <c r="H822" s="134">
        <v>335</v>
      </c>
      <c r="I822" s="200">
        <v>0.21174678963499999</v>
      </c>
      <c r="J822" s="134">
        <v>2205</v>
      </c>
      <c r="K822" s="134">
        <v>10413.3810189</v>
      </c>
      <c r="L822" s="42">
        <v>0.88060670258700002</v>
      </c>
      <c r="M822" s="42">
        <v>0.35600425079699999</v>
      </c>
      <c r="N822" s="134">
        <v>0</v>
      </c>
      <c r="O822" s="43" t="s">
        <v>666</v>
      </c>
      <c r="P822" s="43">
        <f t="shared" si="173"/>
        <v>12.614265552786083</v>
      </c>
      <c r="Q822" s="43">
        <f t="shared" si="174"/>
        <v>2.2715152999999998E-2</v>
      </c>
      <c r="R822" s="43">
        <f t="shared" si="175"/>
        <v>1.3920089E-2</v>
      </c>
      <c r="S822" s="43">
        <f t="shared" si="176"/>
        <v>0.88060670299999999</v>
      </c>
      <c r="T822" s="43">
        <f t="shared" si="177"/>
        <v>3.1703825800000001</v>
      </c>
      <c r="U822" s="43">
        <f t="shared" si="178"/>
        <v>9.0641535350000009</v>
      </c>
      <c r="V822" s="43">
        <f t="shared" si="179"/>
        <v>5.7332149999999998E-3</v>
      </c>
      <c r="W822" s="230">
        <f t="shared" si="180"/>
        <v>3.0813967897297786E-2</v>
      </c>
      <c r="X822" s="43">
        <f t="shared" si="181"/>
        <v>0.92707911700000001</v>
      </c>
      <c r="Y822" s="43">
        <v>132.01495389999999</v>
      </c>
      <c r="Z822" s="43">
        <f t="shared" si="170"/>
        <v>0</v>
      </c>
      <c r="AA822" s="43">
        <f t="shared" si="171"/>
        <v>230820</v>
      </c>
      <c r="AB822" s="43">
        <f t="shared" si="172"/>
        <v>76507</v>
      </c>
      <c r="AC822" s="43">
        <f t="shared" si="182"/>
        <v>2.4487274902360415E-2</v>
      </c>
      <c r="AD822" s="43">
        <f t="shared" si="183"/>
        <v>0.89458291538016477</v>
      </c>
      <c r="AF822" s="43">
        <v>12.614265552786083</v>
      </c>
      <c r="AG822" s="43">
        <v>2.2715152999999998E-2</v>
      </c>
      <c r="AH822" s="43">
        <v>1.3920089E-2</v>
      </c>
      <c r="AI822" s="43">
        <v>0.88060670299999999</v>
      </c>
      <c r="AJ822" s="43">
        <v>3.1703825800000001</v>
      </c>
      <c r="AK822" s="43">
        <v>9.0641535350000009</v>
      </c>
      <c r="AL822" s="43">
        <v>5.7332149999999998E-3</v>
      </c>
      <c r="AM822" s="230">
        <v>3.0813967897297786E-2</v>
      </c>
      <c r="AN822" s="43">
        <v>0.92707911700000001</v>
      </c>
    </row>
    <row r="823" spans="1:40" x14ac:dyDescent="0.25">
      <c r="A823" s="134">
        <v>813</v>
      </c>
      <c r="B823" s="134" t="s">
        <v>217</v>
      </c>
      <c r="C823" s="134" t="s">
        <v>218</v>
      </c>
      <c r="D823" s="134" t="s">
        <v>219</v>
      </c>
      <c r="E823" s="134">
        <v>717</v>
      </c>
      <c r="F823" s="134">
        <v>2211</v>
      </c>
      <c r="G823" s="134">
        <v>235</v>
      </c>
      <c r="H823" s="134">
        <v>840</v>
      </c>
      <c r="I823" s="200">
        <v>0.328049845876</v>
      </c>
      <c r="J823" s="134">
        <v>3051</v>
      </c>
      <c r="K823" s="134">
        <v>9300.4158921300004</v>
      </c>
      <c r="L823" s="42">
        <v>0.87774898285699998</v>
      </c>
      <c r="M823" s="42">
        <v>0.539499036609</v>
      </c>
      <c r="N823" s="134">
        <v>0</v>
      </c>
      <c r="O823" s="43" t="s">
        <v>666</v>
      </c>
      <c r="P823" s="43">
        <f t="shared" si="173"/>
        <v>12.178479209030565</v>
      </c>
      <c r="Q823" s="43">
        <f t="shared" si="174"/>
        <v>2.4957720999999999E-2</v>
      </c>
      <c r="R823" s="43">
        <f t="shared" si="175"/>
        <v>1.2494035000000001E-2</v>
      </c>
      <c r="S823" s="43">
        <f t="shared" si="176"/>
        <v>0.87774898300000004</v>
      </c>
      <c r="T823" s="43">
        <f t="shared" si="177"/>
        <v>3.0049848429999999</v>
      </c>
      <c r="U823" s="43">
        <f t="shared" si="178"/>
        <v>8.1222638509999996</v>
      </c>
      <c r="V823" s="43">
        <f t="shared" si="179"/>
        <v>6.0981869999999997E-3</v>
      </c>
      <c r="W823" s="230">
        <f t="shared" si="180"/>
        <v>3.9699130479390561E-2</v>
      </c>
      <c r="X823" s="43">
        <f t="shared" si="181"/>
        <v>0.91309923800000004</v>
      </c>
      <c r="Y823" s="43">
        <v>128.83362829999999</v>
      </c>
      <c r="Z823" s="43">
        <f t="shared" si="170"/>
        <v>0</v>
      </c>
      <c r="AA823" s="43">
        <f t="shared" si="171"/>
        <v>230820</v>
      </c>
      <c r="AB823" s="43">
        <f t="shared" si="172"/>
        <v>76507</v>
      </c>
      <c r="AC823" s="43">
        <f t="shared" si="182"/>
        <v>2.4487274902360415E-2</v>
      </c>
      <c r="AD823" s="43">
        <f t="shared" si="183"/>
        <v>0.89458291538016477</v>
      </c>
      <c r="AF823" s="43">
        <v>12.178479209030565</v>
      </c>
      <c r="AG823" s="43">
        <v>2.4957720999999999E-2</v>
      </c>
      <c r="AH823" s="43">
        <v>1.2494035000000001E-2</v>
      </c>
      <c r="AI823" s="43">
        <v>0.87774898300000004</v>
      </c>
      <c r="AJ823" s="43">
        <v>3.0049848429999999</v>
      </c>
      <c r="AK823" s="43">
        <v>8.1222638509999996</v>
      </c>
      <c r="AL823" s="43">
        <v>6.0981869999999997E-3</v>
      </c>
      <c r="AM823" s="230">
        <v>3.9699130479390561E-2</v>
      </c>
      <c r="AN823" s="43">
        <v>0.91309923800000004</v>
      </c>
    </row>
    <row r="824" spans="1:40" x14ac:dyDescent="0.25">
      <c r="A824" s="134">
        <v>814</v>
      </c>
      <c r="B824" s="134" t="s">
        <v>217</v>
      </c>
      <c r="C824" s="134" t="s">
        <v>218</v>
      </c>
      <c r="D824" s="134" t="s">
        <v>219</v>
      </c>
      <c r="E824" s="134">
        <v>354</v>
      </c>
      <c r="F824" s="134">
        <v>1093</v>
      </c>
      <c r="G824" s="134">
        <v>123</v>
      </c>
      <c r="H824" s="134">
        <v>130</v>
      </c>
      <c r="I824" s="200">
        <v>0.17080086287499999</v>
      </c>
      <c r="J824" s="134">
        <v>1223</v>
      </c>
      <c r="K824" s="134">
        <v>7160.3853716900003</v>
      </c>
      <c r="L824" s="42">
        <v>0.88999834328100003</v>
      </c>
      <c r="M824" s="42">
        <v>0.26859504132200002</v>
      </c>
      <c r="N824" s="134">
        <v>0</v>
      </c>
      <c r="O824" s="43" t="s">
        <v>666</v>
      </c>
      <c r="P824" s="43">
        <f t="shared" si="173"/>
        <v>12.533408887927449</v>
      </c>
      <c r="Q824" s="43">
        <f t="shared" si="174"/>
        <v>3.1110493999999999E-2</v>
      </c>
      <c r="R824" s="43">
        <f t="shared" si="175"/>
        <v>1.2519422000000001E-2</v>
      </c>
      <c r="S824" s="43">
        <f t="shared" si="176"/>
        <v>0.88999834300000003</v>
      </c>
      <c r="T824" s="43">
        <f t="shared" si="177"/>
        <v>3.2154942119999999</v>
      </c>
      <c r="U824" s="43">
        <f t="shared" si="178"/>
        <v>8.8240767489999996</v>
      </c>
      <c r="V824" s="43">
        <f t="shared" si="179"/>
        <v>3.6243170000000002E-3</v>
      </c>
      <c r="W824" s="230">
        <f t="shared" si="180"/>
        <v>4.5672958656542632E-2</v>
      </c>
      <c r="X824" s="43">
        <f t="shared" si="181"/>
        <v>0.92272496199999998</v>
      </c>
      <c r="Y824" s="43">
        <v>101.7673035</v>
      </c>
      <c r="Z824" s="43">
        <f t="shared" si="170"/>
        <v>0</v>
      </c>
      <c r="AA824" s="43">
        <f t="shared" si="171"/>
        <v>230820</v>
      </c>
      <c r="AB824" s="43">
        <f t="shared" si="172"/>
        <v>76507</v>
      </c>
      <c r="AC824" s="43">
        <f t="shared" si="182"/>
        <v>2.4487274902360415E-2</v>
      </c>
      <c r="AD824" s="43">
        <f t="shared" si="183"/>
        <v>0.89458291538016477</v>
      </c>
      <c r="AF824" s="43">
        <v>12.533408887927449</v>
      </c>
      <c r="AG824" s="43">
        <v>3.1110493999999999E-2</v>
      </c>
      <c r="AH824" s="43">
        <v>1.2519422000000001E-2</v>
      </c>
      <c r="AI824" s="43">
        <v>0.88999834300000003</v>
      </c>
      <c r="AJ824" s="43">
        <v>3.2154942119999999</v>
      </c>
      <c r="AK824" s="43">
        <v>8.8240767489999996</v>
      </c>
      <c r="AL824" s="43">
        <v>3.6243170000000002E-3</v>
      </c>
      <c r="AM824" s="230">
        <v>4.5672958656542632E-2</v>
      </c>
      <c r="AN824" s="43">
        <v>0.92272496199999998</v>
      </c>
    </row>
    <row r="825" spans="1:40" x14ac:dyDescent="0.25">
      <c r="A825" s="134">
        <v>815</v>
      </c>
      <c r="B825" s="134" t="s">
        <v>217</v>
      </c>
      <c r="C825" s="134" t="s">
        <v>218</v>
      </c>
      <c r="D825" s="134" t="s">
        <v>219</v>
      </c>
      <c r="E825" s="134">
        <v>769</v>
      </c>
      <c r="F825" s="134">
        <v>2372</v>
      </c>
      <c r="G825" s="134">
        <v>187</v>
      </c>
      <c r="H825" s="134">
        <v>177</v>
      </c>
      <c r="I825" s="200">
        <v>0.260938060463</v>
      </c>
      <c r="J825" s="134">
        <v>2549</v>
      </c>
      <c r="K825" s="134">
        <v>9768.6017726900009</v>
      </c>
      <c r="L825" s="42">
        <v>0.88917371372999998</v>
      </c>
      <c r="M825" s="42">
        <v>0.18710359407999999</v>
      </c>
      <c r="N825" s="134">
        <v>0</v>
      </c>
      <c r="O825" s="43" t="s">
        <v>666</v>
      </c>
      <c r="P825" s="43">
        <f t="shared" si="173"/>
        <v>13.106261668093836</v>
      </c>
      <c r="Q825" s="43">
        <f t="shared" si="174"/>
        <v>2.7691919999999998E-2</v>
      </c>
      <c r="R825" s="43">
        <f t="shared" si="175"/>
        <v>1.2932157E-2</v>
      </c>
      <c r="S825" s="43">
        <f t="shared" si="176"/>
        <v>0.889173714</v>
      </c>
      <c r="T825" s="43">
        <f t="shared" si="177"/>
        <v>3.379347917</v>
      </c>
      <c r="U825" s="43">
        <f t="shared" si="178"/>
        <v>9.2114208850000008</v>
      </c>
      <c r="V825" s="43">
        <f t="shared" si="179"/>
        <v>3.5841710000000001E-3</v>
      </c>
      <c r="W825" s="230">
        <f t="shared" si="180"/>
        <v>4.5224523272503592E-2</v>
      </c>
      <c r="X825" s="43">
        <f t="shared" si="181"/>
        <v>0.92675825300000003</v>
      </c>
      <c r="Y825" s="43">
        <v>98.429059609999996</v>
      </c>
      <c r="Z825" s="43">
        <f t="shared" si="170"/>
        <v>0</v>
      </c>
      <c r="AA825" s="43">
        <f t="shared" si="171"/>
        <v>230820</v>
      </c>
      <c r="AB825" s="43">
        <f t="shared" si="172"/>
        <v>76507</v>
      </c>
      <c r="AC825" s="43">
        <f t="shared" si="182"/>
        <v>2.4487274902360415E-2</v>
      </c>
      <c r="AD825" s="43">
        <f t="shared" si="183"/>
        <v>0.89458291538016477</v>
      </c>
      <c r="AF825" s="43">
        <v>13.106261668093836</v>
      </c>
      <c r="AG825" s="43">
        <v>2.7691919999999998E-2</v>
      </c>
      <c r="AH825" s="43">
        <v>1.2932157E-2</v>
      </c>
      <c r="AI825" s="43">
        <v>0.889173714</v>
      </c>
      <c r="AJ825" s="43">
        <v>3.379347917</v>
      </c>
      <c r="AK825" s="43">
        <v>9.2114208850000008</v>
      </c>
      <c r="AL825" s="43">
        <v>3.5841710000000001E-3</v>
      </c>
      <c r="AM825" s="230">
        <v>4.5224523272503592E-2</v>
      </c>
      <c r="AN825" s="43">
        <v>0.92675825300000003</v>
      </c>
    </row>
    <row r="826" spans="1:40" x14ac:dyDescent="0.25">
      <c r="A826" s="134">
        <v>816</v>
      </c>
      <c r="B826" s="134" t="s">
        <v>217</v>
      </c>
      <c r="C826" s="134" t="s">
        <v>218</v>
      </c>
      <c r="D826" s="134" t="s">
        <v>219</v>
      </c>
      <c r="E826" s="134">
        <v>0</v>
      </c>
      <c r="F826" s="134">
        <v>0</v>
      </c>
      <c r="G826" s="134">
        <v>474</v>
      </c>
      <c r="H826" s="134">
        <v>19</v>
      </c>
      <c r="I826" s="200">
        <v>0.78709026994800002</v>
      </c>
      <c r="J826" s="134">
        <v>19</v>
      </c>
      <c r="K826" s="134">
        <v>24.139543741600001</v>
      </c>
      <c r="L826" s="42">
        <v>0.96296962070799996</v>
      </c>
      <c r="M826" s="42">
        <v>1</v>
      </c>
      <c r="N826" s="134">
        <v>0</v>
      </c>
      <c r="O826" s="43" t="s">
        <v>666</v>
      </c>
      <c r="P826" s="43">
        <f t="shared" si="173"/>
        <v>8.8174223290798608</v>
      </c>
      <c r="Q826" s="43">
        <f t="shared" si="174"/>
        <v>2.5878991261870498E-2</v>
      </c>
      <c r="R826" s="43">
        <f t="shared" si="175"/>
        <v>7.1903600000000005E-4</v>
      </c>
      <c r="S826" s="43">
        <f t="shared" si="176"/>
        <v>0.96296962100000005</v>
      </c>
      <c r="T826" s="43">
        <f t="shared" si="177"/>
        <v>10.08333333</v>
      </c>
      <c r="U826" s="43">
        <f t="shared" si="178"/>
        <v>11.18417427</v>
      </c>
      <c r="V826" s="43">
        <f t="shared" si="179"/>
        <v>5.3017566000000006E-3</v>
      </c>
      <c r="W826" s="230">
        <f t="shared" si="180"/>
        <v>3.855010570216353E-2</v>
      </c>
      <c r="X826" s="43">
        <f t="shared" si="181"/>
        <v>0.86529006900000005</v>
      </c>
      <c r="Y826" s="43">
        <v>83.672000299999993</v>
      </c>
      <c r="Z826" s="43">
        <f t="shared" si="170"/>
        <v>0</v>
      </c>
      <c r="AA826" s="43">
        <f t="shared" si="171"/>
        <v>230820</v>
      </c>
      <c r="AB826" s="43">
        <f t="shared" si="172"/>
        <v>76507</v>
      </c>
      <c r="AC826" s="43">
        <f t="shared" si="182"/>
        <v>2.4487274902360415E-2</v>
      </c>
      <c r="AD826" s="43">
        <f t="shared" si="183"/>
        <v>0.89458291538016477</v>
      </c>
      <c r="AF826" s="43">
        <v>8.8174223290798608</v>
      </c>
      <c r="AG826" s="43">
        <v>0</v>
      </c>
      <c r="AH826" s="43">
        <v>7.1903600000000005E-4</v>
      </c>
      <c r="AI826" s="43">
        <v>0.96296962100000005</v>
      </c>
      <c r="AJ826" s="43">
        <v>10.08333333</v>
      </c>
      <c r="AK826" s="43">
        <v>11.18417427</v>
      </c>
      <c r="AL826" s="43">
        <v>0</v>
      </c>
      <c r="AM826" s="230">
        <v>0</v>
      </c>
      <c r="AN826" s="43">
        <v>0.86529006900000005</v>
      </c>
    </row>
    <row r="827" spans="1:40" x14ac:dyDescent="0.25">
      <c r="A827" s="134">
        <v>817</v>
      </c>
      <c r="B827" s="134" t="s">
        <v>217</v>
      </c>
      <c r="C827" s="134" t="s">
        <v>218</v>
      </c>
      <c r="D827" s="134" t="s">
        <v>219</v>
      </c>
      <c r="E827" s="134">
        <v>314</v>
      </c>
      <c r="F827" s="134">
        <v>864</v>
      </c>
      <c r="G827" s="134">
        <v>91</v>
      </c>
      <c r="H827" s="134">
        <v>19</v>
      </c>
      <c r="I827" s="200">
        <v>0.183157569721</v>
      </c>
      <c r="J827" s="134">
        <v>883</v>
      </c>
      <c r="K827" s="134">
        <v>4820.9855663899998</v>
      </c>
      <c r="L827" s="42">
        <v>0.912528755365</v>
      </c>
      <c r="M827" s="42">
        <v>5.70570570571E-2</v>
      </c>
      <c r="N827" s="134">
        <v>0</v>
      </c>
      <c r="O827" s="43" t="s">
        <v>666</v>
      </c>
      <c r="P827" s="43">
        <f t="shared" si="173"/>
        <v>13.25685942869595</v>
      </c>
      <c r="Q827" s="43">
        <f t="shared" si="174"/>
        <v>2.4199142E-2</v>
      </c>
      <c r="R827" s="43">
        <f t="shared" si="175"/>
        <v>1.2065236E-2</v>
      </c>
      <c r="S827" s="43">
        <f t="shared" si="176"/>
        <v>0.91252875499999997</v>
      </c>
      <c r="T827" s="43">
        <f t="shared" si="177"/>
        <v>3.885152465</v>
      </c>
      <c r="U827" s="43">
        <f t="shared" si="178"/>
        <v>10.260867230000001</v>
      </c>
      <c r="V827" s="43">
        <f t="shared" si="179"/>
        <v>1.4305159999999999E-3</v>
      </c>
      <c r="W827" s="230">
        <f t="shared" si="180"/>
        <v>4.1831060658498884E-2</v>
      </c>
      <c r="X827" s="43">
        <f t="shared" si="181"/>
        <v>0.93032002000000003</v>
      </c>
      <c r="Y827" s="43">
        <v>83.81015112</v>
      </c>
      <c r="Z827" s="43">
        <f t="shared" si="170"/>
        <v>0</v>
      </c>
      <c r="AA827" s="43">
        <f t="shared" si="171"/>
        <v>230820</v>
      </c>
      <c r="AB827" s="43">
        <f t="shared" si="172"/>
        <v>76507</v>
      </c>
      <c r="AC827" s="43">
        <f t="shared" si="182"/>
        <v>2.4487274902360415E-2</v>
      </c>
      <c r="AD827" s="43">
        <f t="shared" si="183"/>
        <v>0.89458291538016477</v>
      </c>
      <c r="AF827" s="43">
        <v>13.25685942869595</v>
      </c>
      <c r="AG827" s="43">
        <v>2.4199142E-2</v>
      </c>
      <c r="AH827" s="43">
        <v>1.2065236E-2</v>
      </c>
      <c r="AI827" s="43">
        <v>0.91252875499999997</v>
      </c>
      <c r="AJ827" s="43">
        <v>3.885152465</v>
      </c>
      <c r="AK827" s="43">
        <v>10.260867230000001</v>
      </c>
      <c r="AL827" s="43">
        <v>1.4305159999999999E-3</v>
      </c>
      <c r="AM827" s="230">
        <v>4.1831060658498884E-2</v>
      </c>
      <c r="AN827" s="43">
        <v>0.93032002000000003</v>
      </c>
    </row>
    <row r="828" spans="1:40" x14ac:dyDescent="0.25">
      <c r="A828" s="134">
        <v>818</v>
      </c>
      <c r="B828" s="134" t="s">
        <v>217</v>
      </c>
      <c r="C828" s="134" t="s">
        <v>218</v>
      </c>
      <c r="D828" s="134" t="s">
        <v>219</v>
      </c>
      <c r="E828" s="134">
        <v>713</v>
      </c>
      <c r="F828" s="134">
        <v>1962</v>
      </c>
      <c r="G828" s="134">
        <v>86</v>
      </c>
      <c r="H828" s="134">
        <v>22</v>
      </c>
      <c r="I828" s="200">
        <v>0.145286378626</v>
      </c>
      <c r="J828" s="134">
        <v>1984</v>
      </c>
      <c r="K828" s="134">
        <v>13655.7880977</v>
      </c>
      <c r="L828" s="42">
        <v>0.88399268494000005</v>
      </c>
      <c r="M828" s="42">
        <v>2.9931972789099998E-2</v>
      </c>
      <c r="N828" s="134">
        <v>0</v>
      </c>
      <c r="O828" s="43" t="s">
        <v>666</v>
      </c>
      <c r="P828" s="43">
        <f t="shared" si="173"/>
        <v>13.085780751490987</v>
      </c>
      <c r="Q828" s="43">
        <f t="shared" si="174"/>
        <v>3.2246035999999999E-2</v>
      </c>
      <c r="R828" s="43">
        <f t="shared" si="175"/>
        <v>1.2302352000000001E-2</v>
      </c>
      <c r="S828" s="43">
        <f t="shared" si="176"/>
        <v>0.88399268499999994</v>
      </c>
      <c r="T828" s="43">
        <f t="shared" si="177"/>
        <v>3.3768406959999999</v>
      </c>
      <c r="U828" s="43">
        <f t="shared" si="178"/>
        <v>9.0920938580000001</v>
      </c>
      <c r="V828" s="43">
        <f t="shared" si="179"/>
        <v>2.5827509999999999E-3</v>
      </c>
      <c r="W828" s="230">
        <f t="shared" si="180"/>
        <v>5.592173230298772E-2</v>
      </c>
      <c r="X828" s="43">
        <f t="shared" si="181"/>
        <v>0.91502748</v>
      </c>
      <c r="Y828" s="43">
        <v>121.0013462</v>
      </c>
      <c r="Z828" s="43">
        <f t="shared" si="170"/>
        <v>0</v>
      </c>
      <c r="AA828" s="43">
        <f t="shared" si="171"/>
        <v>230820</v>
      </c>
      <c r="AB828" s="43">
        <f t="shared" si="172"/>
        <v>76507</v>
      </c>
      <c r="AC828" s="43">
        <f t="shared" si="182"/>
        <v>2.4487274902360415E-2</v>
      </c>
      <c r="AD828" s="43">
        <f t="shared" si="183"/>
        <v>0.89458291538016477</v>
      </c>
      <c r="AF828" s="43">
        <v>13.085780751490987</v>
      </c>
      <c r="AG828" s="43">
        <v>3.2246035999999999E-2</v>
      </c>
      <c r="AH828" s="43">
        <v>1.2302352000000001E-2</v>
      </c>
      <c r="AI828" s="43">
        <v>0.88399268499999994</v>
      </c>
      <c r="AJ828" s="43">
        <v>3.3768406959999999</v>
      </c>
      <c r="AK828" s="43">
        <v>9.0920938580000001</v>
      </c>
      <c r="AL828" s="43">
        <v>2.5827509999999999E-3</v>
      </c>
      <c r="AM828" s="230">
        <v>5.592173230298772E-2</v>
      </c>
      <c r="AN828" s="43">
        <v>0.91502748</v>
      </c>
    </row>
    <row r="829" spans="1:40" x14ac:dyDescent="0.25">
      <c r="A829" s="134">
        <v>819</v>
      </c>
      <c r="B829" s="134" t="s">
        <v>217</v>
      </c>
      <c r="C829" s="134" t="s">
        <v>218</v>
      </c>
      <c r="D829" s="134" t="s">
        <v>219</v>
      </c>
      <c r="E829" s="134">
        <v>156</v>
      </c>
      <c r="F829" s="134">
        <v>429</v>
      </c>
      <c r="G829" s="134">
        <v>92</v>
      </c>
      <c r="H829" s="134">
        <v>64</v>
      </c>
      <c r="I829" s="200">
        <v>0.155012678598</v>
      </c>
      <c r="J829" s="134">
        <v>493</v>
      </c>
      <c r="K829" s="134">
        <v>3180.3850140499999</v>
      </c>
      <c r="L829" s="42">
        <v>0.90190790804300003</v>
      </c>
      <c r="M829" s="42">
        <v>0.29090909090900002</v>
      </c>
      <c r="N829" s="134">
        <v>0</v>
      </c>
      <c r="O829" s="43" t="s">
        <v>666</v>
      </c>
      <c r="P829" s="43">
        <f t="shared" si="173"/>
        <v>12.661147596894535</v>
      </c>
      <c r="Q829" s="43">
        <f t="shared" si="174"/>
        <v>2.2708374999999999E-2</v>
      </c>
      <c r="R829" s="43">
        <f t="shared" si="175"/>
        <v>1.214634E-2</v>
      </c>
      <c r="S829" s="43">
        <f t="shared" si="176"/>
        <v>0.90190790799999998</v>
      </c>
      <c r="T829" s="43">
        <f t="shared" si="177"/>
        <v>3.6086142319999999</v>
      </c>
      <c r="U829" s="43">
        <f t="shared" si="178"/>
        <v>8.9459419390000008</v>
      </c>
      <c r="V829" s="43">
        <f t="shared" si="179"/>
        <v>3.3199810000000001E-3</v>
      </c>
      <c r="W829" s="230">
        <f t="shared" si="180"/>
        <v>3.424632817292772E-2</v>
      </c>
      <c r="X829" s="43">
        <f t="shared" si="181"/>
        <v>0.91833567900000002</v>
      </c>
      <c r="Y829" s="43">
        <v>120.9007848</v>
      </c>
      <c r="Z829" s="43">
        <f t="shared" si="170"/>
        <v>0</v>
      </c>
      <c r="AA829" s="43">
        <f t="shared" si="171"/>
        <v>230820</v>
      </c>
      <c r="AB829" s="43">
        <f t="shared" si="172"/>
        <v>76507</v>
      </c>
      <c r="AC829" s="43">
        <f t="shared" si="182"/>
        <v>2.4487274902360415E-2</v>
      </c>
      <c r="AD829" s="43">
        <f t="shared" si="183"/>
        <v>0.89458291538016477</v>
      </c>
      <c r="AF829" s="43">
        <v>12.661147596894535</v>
      </c>
      <c r="AG829" s="43">
        <v>2.2708374999999999E-2</v>
      </c>
      <c r="AH829" s="43">
        <v>1.214634E-2</v>
      </c>
      <c r="AI829" s="43">
        <v>0.90190790799999998</v>
      </c>
      <c r="AJ829" s="43">
        <v>3.6086142319999999</v>
      </c>
      <c r="AK829" s="43">
        <v>8.9459419390000008</v>
      </c>
      <c r="AL829" s="43">
        <v>3.3199810000000001E-3</v>
      </c>
      <c r="AM829" s="230">
        <v>3.424632817292772E-2</v>
      </c>
      <c r="AN829" s="43">
        <v>0.91833567900000002</v>
      </c>
    </row>
    <row r="830" spans="1:40" x14ac:dyDescent="0.25">
      <c r="A830" s="134">
        <v>820</v>
      </c>
      <c r="B830" s="134" t="s">
        <v>217</v>
      </c>
      <c r="C830" s="134" t="s">
        <v>218</v>
      </c>
      <c r="D830" s="134" t="s">
        <v>219</v>
      </c>
      <c r="E830" s="134">
        <v>971</v>
      </c>
      <c r="F830" s="134">
        <v>2670</v>
      </c>
      <c r="G830" s="134">
        <v>408</v>
      </c>
      <c r="H830" s="134">
        <v>615</v>
      </c>
      <c r="I830" s="200">
        <v>0.64798529748199996</v>
      </c>
      <c r="J830" s="134">
        <v>3285</v>
      </c>
      <c r="K830" s="134">
        <v>5069.55946804</v>
      </c>
      <c r="L830" s="42">
        <v>0.91164739165599995</v>
      </c>
      <c r="M830" s="42">
        <v>0.387767969735</v>
      </c>
      <c r="N830" s="134">
        <v>0</v>
      </c>
      <c r="O830" s="43" t="s">
        <v>666</v>
      </c>
      <c r="P830" s="43">
        <f t="shared" si="173"/>
        <v>14.115580526215865</v>
      </c>
      <c r="Q830" s="43">
        <f t="shared" si="174"/>
        <v>2.5048187999999999E-2</v>
      </c>
      <c r="R830" s="43">
        <f t="shared" si="175"/>
        <v>1.2640676E-2</v>
      </c>
      <c r="S830" s="43">
        <f t="shared" si="176"/>
        <v>0.911647392</v>
      </c>
      <c r="T830" s="43">
        <f t="shared" si="177"/>
        <v>4.476769912</v>
      </c>
      <c r="U830" s="43">
        <f t="shared" si="178"/>
        <v>10.50900021</v>
      </c>
      <c r="V830" s="43">
        <f t="shared" si="179"/>
        <v>4.1536029999999996E-3</v>
      </c>
      <c r="W830" s="230">
        <f t="shared" si="180"/>
        <v>3.8285632101251257E-2</v>
      </c>
      <c r="X830" s="43">
        <f t="shared" si="181"/>
        <v>0.94424852599999998</v>
      </c>
      <c r="Y830" s="43">
        <v>139.5370782</v>
      </c>
      <c r="Z830" s="43">
        <f t="shared" si="170"/>
        <v>0</v>
      </c>
      <c r="AA830" s="43">
        <f t="shared" si="171"/>
        <v>230820</v>
      </c>
      <c r="AB830" s="43">
        <f t="shared" si="172"/>
        <v>76507</v>
      </c>
      <c r="AC830" s="43">
        <f t="shared" si="182"/>
        <v>2.4487274902360415E-2</v>
      </c>
      <c r="AD830" s="43">
        <f t="shared" si="183"/>
        <v>0.89458291538016477</v>
      </c>
      <c r="AF830" s="43">
        <v>14.115580526215865</v>
      </c>
      <c r="AG830" s="43">
        <v>2.5048187999999999E-2</v>
      </c>
      <c r="AH830" s="43">
        <v>1.2640676E-2</v>
      </c>
      <c r="AI830" s="43">
        <v>0.911647392</v>
      </c>
      <c r="AJ830" s="43">
        <v>4.476769912</v>
      </c>
      <c r="AK830" s="43">
        <v>10.50900021</v>
      </c>
      <c r="AL830" s="43">
        <v>4.1536029999999996E-3</v>
      </c>
      <c r="AM830" s="230">
        <v>3.8285632101251257E-2</v>
      </c>
      <c r="AN830" s="43">
        <v>0.94424852599999998</v>
      </c>
    </row>
    <row r="831" spans="1:40" x14ac:dyDescent="0.25">
      <c r="A831" s="134">
        <v>821</v>
      </c>
      <c r="B831" s="134" t="s">
        <v>217</v>
      </c>
      <c r="C831" s="134" t="s">
        <v>218</v>
      </c>
      <c r="D831" s="134" t="s">
        <v>219</v>
      </c>
      <c r="E831" s="134">
        <v>909</v>
      </c>
      <c r="F831" s="134">
        <v>2499</v>
      </c>
      <c r="G831" s="134">
        <v>201</v>
      </c>
      <c r="H831" s="134">
        <v>7</v>
      </c>
      <c r="I831" s="200">
        <v>0.31875987300000003</v>
      </c>
      <c r="J831" s="134">
        <v>2506</v>
      </c>
      <c r="K831" s="134">
        <v>7861.7172745600001</v>
      </c>
      <c r="L831" s="42">
        <v>0.910604646834</v>
      </c>
      <c r="M831" s="42">
        <v>7.6419213973799999E-3</v>
      </c>
      <c r="N831" s="134">
        <v>0</v>
      </c>
      <c r="O831" s="43" t="s">
        <v>665</v>
      </c>
      <c r="P831" s="43">
        <f t="shared" si="173"/>
        <v>14.578841103181562</v>
      </c>
      <c r="Q831" s="43">
        <f t="shared" si="174"/>
        <v>3.6434569999999999E-2</v>
      </c>
      <c r="R831" s="43">
        <f t="shared" si="175"/>
        <v>1.3099988E-2</v>
      </c>
      <c r="S831" s="43">
        <f t="shared" si="176"/>
        <v>0.91060464699999999</v>
      </c>
      <c r="T831" s="43">
        <f t="shared" si="177"/>
        <v>4.5796654520000004</v>
      </c>
      <c r="U831" s="43">
        <f t="shared" si="178"/>
        <v>12.189874120000001</v>
      </c>
      <c r="V831" s="43">
        <f t="shared" si="179"/>
        <v>6.2076600000000003E-4</v>
      </c>
      <c r="W831" s="230">
        <f t="shared" si="180"/>
        <v>5.9278651948215522E-2</v>
      </c>
      <c r="X831" s="43">
        <f t="shared" si="181"/>
        <v>0.929619533</v>
      </c>
      <c r="Y831" s="43">
        <v>127.0129963</v>
      </c>
      <c r="Z831" s="43">
        <f t="shared" si="170"/>
        <v>0</v>
      </c>
      <c r="AA831" s="43">
        <f t="shared" si="171"/>
        <v>230820</v>
      </c>
      <c r="AB831" s="43">
        <f t="shared" si="172"/>
        <v>76507</v>
      </c>
      <c r="AC831" s="43">
        <f t="shared" si="182"/>
        <v>2.4487274902360415E-2</v>
      </c>
      <c r="AD831" s="43">
        <f t="shared" si="183"/>
        <v>0.89458291538016477</v>
      </c>
      <c r="AF831" s="43">
        <v>14.578841103181562</v>
      </c>
      <c r="AG831" s="43">
        <v>3.6434569999999999E-2</v>
      </c>
      <c r="AH831" s="43">
        <v>1.3099988E-2</v>
      </c>
      <c r="AI831" s="43">
        <v>0.91060464699999999</v>
      </c>
      <c r="AJ831" s="43">
        <v>4.5796654520000004</v>
      </c>
      <c r="AK831" s="43">
        <v>12.189874120000001</v>
      </c>
      <c r="AL831" s="43">
        <v>6.2076600000000003E-4</v>
      </c>
      <c r="AM831" s="230">
        <v>5.9278651948215522E-2</v>
      </c>
      <c r="AN831" s="43">
        <v>0.929619533</v>
      </c>
    </row>
    <row r="832" spans="1:40" x14ac:dyDescent="0.25">
      <c r="A832" s="134">
        <v>822</v>
      </c>
      <c r="B832" s="134" t="s">
        <v>217</v>
      </c>
      <c r="C832" s="134" t="s">
        <v>218</v>
      </c>
      <c r="D832" s="134" t="s">
        <v>219</v>
      </c>
      <c r="E832" s="134">
        <v>184</v>
      </c>
      <c r="F832" s="134">
        <v>507</v>
      </c>
      <c r="G832" s="134">
        <v>79</v>
      </c>
      <c r="H832" s="134">
        <v>29</v>
      </c>
      <c r="I832" s="200">
        <v>0.12622761294900001</v>
      </c>
      <c r="J832" s="134">
        <v>536</v>
      </c>
      <c r="K832" s="134">
        <v>4246.2975214300004</v>
      </c>
      <c r="L832" s="42">
        <v>0.89471493965899995</v>
      </c>
      <c r="M832" s="42">
        <v>0.136150234742</v>
      </c>
      <c r="N832" s="134">
        <v>0</v>
      </c>
      <c r="O832" s="43" t="s">
        <v>665</v>
      </c>
      <c r="P832" s="43">
        <f t="shared" si="173"/>
        <v>13.694426671109612</v>
      </c>
      <c r="Q832" s="43">
        <f t="shared" si="174"/>
        <v>2.8967855000000001E-2</v>
      </c>
      <c r="R832" s="43">
        <f t="shared" si="175"/>
        <v>1.2606193E-2</v>
      </c>
      <c r="S832" s="43">
        <f t="shared" si="176"/>
        <v>0.89471493999999996</v>
      </c>
      <c r="T832" s="43">
        <f t="shared" si="177"/>
        <v>3.7747784050000002</v>
      </c>
      <c r="U832" s="43">
        <f t="shared" si="178"/>
        <v>9.9791886020000007</v>
      </c>
      <c r="V832" s="43">
        <f t="shared" si="179"/>
        <v>1.119866E-3</v>
      </c>
      <c r="W832" s="230">
        <f t="shared" si="180"/>
        <v>4.631444226692797E-2</v>
      </c>
      <c r="X832" s="43">
        <f t="shared" si="181"/>
        <v>0.91209054899999997</v>
      </c>
      <c r="Y832" s="43">
        <v>147.439291</v>
      </c>
      <c r="Z832" s="43">
        <f t="shared" si="170"/>
        <v>0</v>
      </c>
      <c r="AA832" s="43">
        <f t="shared" si="171"/>
        <v>230820</v>
      </c>
      <c r="AB832" s="43">
        <f t="shared" si="172"/>
        <v>76507</v>
      </c>
      <c r="AC832" s="43">
        <f t="shared" si="182"/>
        <v>2.4487274902360415E-2</v>
      </c>
      <c r="AD832" s="43">
        <f t="shared" si="183"/>
        <v>0.89458291538016477</v>
      </c>
      <c r="AF832" s="43">
        <v>13.694426671109612</v>
      </c>
      <c r="AG832" s="43">
        <v>2.8967855000000001E-2</v>
      </c>
      <c r="AH832" s="43">
        <v>1.2606193E-2</v>
      </c>
      <c r="AI832" s="43">
        <v>0.89471493999999996</v>
      </c>
      <c r="AJ832" s="43">
        <v>3.7747784050000002</v>
      </c>
      <c r="AK832" s="43">
        <v>9.9791886020000007</v>
      </c>
      <c r="AL832" s="43">
        <v>1.119866E-3</v>
      </c>
      <c r="AM832" s="230">
        <v>4.631444226692797E-2</v>
      </c>
      <c r="AN832" s="43">
        <v>0.91209054899999997</v>
      </c>
    </row>
    <row r="833" spans="1:40" x14ac:dyDescent="0.25">
      <c r="A833" s="134">
        <v>823</v>
      </c>
      <c r="B833" s="134" t="s">
        <v>217</v>
      </c>
      <c r="C833" s="134" t="s">
        <v>218</v>
      </c>
      <c r="D833" s="134" t="s">
        <v>219</v>
      </c>
      <c r="E833" s="134">
        <v>601</v>
      </c>
      <c r="F833" s="134">
        <v>1653</v>
      </c>
      <c r="G833" s="134">
        <v>107</v>
      </c>
      <c r="H833" s="134">
        <v>11</v>
      </c>
      <c r="I833" s="200">
        <v>0.17003657099700001</v>
      </c>
      <c r="J833" s="134">
        <v>1664</v>
      </c>
      <c r="K833" s="134">
        <v>9786.1300674300001</v>
      </c>
      <c r="L833" s="42">
        <v>0.89836463544699996</v>
      </c>
      <c r="M833" s="42">
        <v>1.7973856209200001E-2</v>
      </c>
      <c r="N833" s="134">
        <v>0</v>
      </c>
      <c r="O833" s="43" t="s">
        <v>666</v>
      </c>
      <c r="P833" s="43">
        <f t="shared" si="173"/>
        <v>14.515393380149359</v>
      </c>
      <c r="Q833" s="43">
        <f t="shared" si="174"/>
        <v>3.3947347000000003E-2</v>
      </c>
      <c r="R833" s="43">
        <f t="shared" si="175"/>
        <v>1.2951694E-2</v>
      </c>
      <c r="S833" s="43">
        <f t="shared" si="176"/>
        <v>0.89836463499999997</v>
      </c>
      <c r="T833" s="43">
        <f t="shared" si="177"/>
        <v>4.4456260289999996</v>
      </c>
      <c r="U833" s="43">
        <f t="shared" si="178"/>
        <v>10.95656915</v>
      </c>
      <c r="V833" s="43">
        <f t="shared" si="179"/>
        <v>9.2956799999999997E-4</v>
      </c>
      <c r="W833" s="230">
        <f t="shared" si="180"/>
        <v>6.0502775233065686E-2</v>
      </c>
      <c r="X833" s="43">
        <f t="shared" si="181"/>
        <v>0.92315568199999998</v>
      </c>
      <c r="Y833" s="43">
        <v>148.7098799</v>
      </c>
      <c r="Z833" s="43">
        <f t="shared" si="170"/>
        <v>0</v>
      </c>
      <c r="AA833" s="43">
        <f t="shared" si="171"/>
        <v>230820</v>
      </c>
      <c r="AB833" s="43">
        <f t="shared" si="172"/>
        <v>76507</v>
      </c>
      <c r="AC833" s="43">
        <f t="shared" si="182"/>
        <v>2.4487274902360415E-2</v>
      </c>
      <c r="AD833" s="43">
        <f t="shared" si="183"/>
        <v>0.89458291538016477</v>
      </c>
      <c r="AF833" s="43">
        <v>14.515393380149359</v>
      </c>
      <c r="AG833" s="43">
        <v>3.3947347000000003E-2</v>
      </c>
      <c r="AH833" s="43">
        <v>1.2951694E-2</v>
      </c>
      <c r="AI833" s="43">
        <v>0.89836463499999997</v>
      </c>
      <c r="AJ833" s="43">
        <v>4.4456260289999996</v>
      </c>
      <c r="AK833" s="43">
        <v>10.95656915</v>
      </c>
      <c r="AL833" s="43">
        <v>9.2956799999999997E-4</v>
      </c>
      <c r="AM833" s="230">
        <v>6.0502775233065686E-2</v>
      </c>
      <c r="AN833" s="43">
        <v>0.92315568199999998</v>
      </c>
    </row>
    <row r="834" spans="1:40" x14ac:dyDescent="0.25">
      <c r="A834" s="134">
        <v>824</v>
      </c>
      <c r="B834" s="134" t="s">
        <v>217</v>
      </c>
      <c r="C834" s="134" t="s">
        <v>218</v>
      </c>
      <c r="D834" s="134" t="s">
        <v>219</v>
      </c>
      <c r="E834" s="134">
        <v>344</v>
      </c>
      <c r="F834" s="134">
        <v>914</v>
      </c>
      <c r="G834" s="134">
        <v>1580</v>
      </c>
      <c r="H834" s="134">
        <v>293</v>
      </c>
      <c r="I834" s="200">
        <v>2.4852000726100001</v>
      </c>
      <c r="J834" s="134">
        <v>1207</v>
      </c>
      <c r="K834" s="134">
        <v>485.67518297700002</v>
      </c>
      <c r="L834" s="42">
        <v>0.93450010718999998</v>
      </c>
      <c r="M834" s="42">
        <v>0.45996860282599999</v>
      </c>
      <c r="N834" s="134">
        <v>0</v>
      </c>
      <c r="O834" s="43" t="s">
        <v>665</v>
      </c>
      <c r="P834" s="43">
        <f t="shared" si="173"/>
        <v>14.514347725207982</v>
      </c>
      <c r="Q834" s="43">
        <f t="shared" si="174"/>
        <v>2.2455151E-2</v>
      </c>
      <c r="R834" s="43">
        <f t="shared" si="175"/>
        <v>1.2680340999999999E-2</v>
      </c>
      <c r="S834" s="43">
        <f t="shared" si="176"/>
        <v>0.93450010699999997</v>
      </c>
      <c r="T834" s="43">
        <f t="shared" si="177"/>
        <v>5.0545160129999998</v>
      </c>
      <c r="U834" s="43">
        <f t="shared" si="178"/>
        <v>11.68095321</v>
      </c>
      <c r="V834" s="43">
        <f t="shared" si="179"/>
        <v>2.8539450000000001E-3</v>
      </c>
      <c r="W834" s="230">
        <f t="shared" si="180"/>
        <v>2.7825965304980417E-2</v>
      </c>
      <c r="X834" s="43">
        <f t="shared" si="181"/>
        <v>0.95386121999999995</v>
      </c>
      <c r="Y834" s="43">
        <v>4.7130942490000001</v>
      </c>
      <c r="Z834" s="43">
        <f t="shared" si="170"/>
        <v>0</v>
      </c>
      <c r="AA834" s="43">
        <f t="shared" si="171"/>
        <v>230820</v>
      </c>
      <c r="AB834" s="43">
        <f t="shared" si="172"/>
        <v>76507</v>
      </c>
      <c r="AC834" s="43">
        <f t="shared" si="182"/>
        <v>2.4487274902360415E-2</v>
      </c>
      <c r="AD834" s="43">
        <f t="shared" si="183"/>
        <v>0.89458291538016477</v>
      </c>
      <c r="AF834" s="43">
        <v>14.514347725207982</v>
      </c>
      <c r="AG834" s="43">
        <v>2.2455151E-2</v>
      </c>
      <c r="AH834" s="43">
        <v>1.2680340999999999E-2</v>
      </c>
      <c r="AI834" s="43">
        <v>0.93450010699999997</v>
      </c>
      <c r="AJ834" s="43">
        <v>5.0545160129999998</v>
      </c>
      <c r="AK834" s="43">
        <v>11.68095321</v>
      </c>
      <c r="AL834" s="43">
        <v>2.8539450000000001E-3</v>
      </c>
      <c r="AM834" s="230">
        <v>2.7825965304980417E-2</v>
      </c>
      <c r="AN834" s="43">
        <v>0.95386121999999995</v>
      </c>
    </row>
    <row r="835" spans="1:40" x14ac:dyDescent="0.25">
      <c r="A835" s="134">
        <v>825</v>
      </c>
      <c r="B835" s="134" t="s">
        <v>217</v>
      </c>
      <c r="C835" s="134" t="s">
        <v>218</v>
      </c>
      <c r="D835" s="134" t="s">
        <v>219</v>
      </c>
      <c r="E835" s="134">
        <v>1195</v>
      </c>
      <c r="F835" s="134">
        <v>3172</v>
      </c>
      <c r="G835" s="134">
        <v>433</v>
      </c>
      <c r="H835" s="134">
        <v>254</v>
      </c>
      <c r="I835" s="200">
        <v>0.68102647958999996</v>
      </c>
      <c r="J835" s="134">
        <v>3426</v>
      </c>
      <c r="K835" s="134">
        <v>5030.6413960099999</v>
      </c>
      <c r="L835" s="42">
        <v>0.89962725816099998</v>
      </c>
      <c r="M835" s="42">
        <v>0.175293305728</v>
      </c>
      <c r="N835" s="134">
        <v>0</v>
      </c>
      <c r="O835" s="43" t="s">
        <v>665</v>
      </c>
      <c r="P835" s="43">
        <f t="shared" si="173"/>
        <v>14.495960385383238</v>
      </c>
      <c r="Q835" s="43">
        <f t="shared" si="174"/>
        <v>2.5406989000000001E-2</v>
      </c>
      <c r="R835" s="43">
        <f t="shared" si="175"/>
        <v>1.3732433E-2</v>
      </c>
      <c r="S835" s="43">
        <f t="shared" si="176"/>
        <v>0.89962725799999999</v>
      </c>
      <c r="T835" s="43">
        <f t="shared" si="177"/>
        <v>4.4084217539999999</v>
      </c>
      <c r="U835" s="43">
        <f t="shared" si="178"/>
        <v>10.65881029</v>
      </c>
      <c r="V835" s="43">
        <f t="shared" si="179"/>
        <v>2.569769E-3</v>
      </c>
      <c r="W835" s="230">
        <f t="shared" si="180"/>
        <v>4.8543151621889553E-2</v>
      </c>
      <c r="X835" s="43">
        <f t="shared" si="181"/>
        <v>0.93081008600000004</v>
      </c>
      <c r="Y835" s="43">
        <v>57.137983220000002</v>
      </c>
      <c r="Z835" s="43">
        <f t="shared" si="170"/>
        <v>0</v>
      </c>
      <c r="AA835" s="43">
        <f t="shared" si="171"/>
        <v>230820</v>
      </c>
      <c r="AB835" s="43">
        <f t="shared" si="172"/>
        <v>76507</v>
      </c>
      <c r="AC835" s="43">
        <f t="shared" si="182"/>
        <v>2.4487274902360415E-2</v>
      </c>
      <c r="AD835" s="43">
        <f t="shared" si="183"/>
        <v>0.89458291538016477</v>
      </c>
      <c r="AF835" s="43">
        <v>14.495960385383238</v>
      </c>
      <c r="AG835" s="43">
        <v>2.5406989000000001E-2</v>
      </c>
      <c r="AH835" s="43">
        <v>1.3732433E-2</v>
      </c>
      <c r="AI835" s="43">
        <v>0.89962725799999999</v>
      </c>
      <c r="AJ835" s="43">
        <v>4.4084217539999999</v>
      </c>
      <c r="AK835" s="43">
        <v>10.65881029</v>
      </c>
      <c r="AL835" s="43">
        <v>2.569769E-3</v>
      </c>
      <c r="AM835" s="230">
        <v>4.8543151621889553E-2</v>
      </c>
      <c r="AN835" s="43">
        <v>0.93081008600000004</v>
      </c>
    </row>
    <row r="836" spans="1:40" x14ac:dyDescent="0.25">
      <c r="A836" s="134">
        <v>826</v>
      </c>
      <c r="B836" s="134" t="s">
        <v>217</v>
      </c>
      <c r="C836" s="134" t="s">
        <v>218</v>
      </c>
      <c r="D836" s="134" t="s">
        <v>219</v>
      </c>
      <c r="E836" s="134">
        <v>170</v>
      </c>
      <c r="F836" s="134">
        <v>451</v>
      </c>
      <c r="G836" s="134">
        <v>1682</v>
      </c>
      <c r="H836" s="134">
        <v>18</v>
      </c>
      <c r="I836" s="200">
        <v>2.6455744566699999</v>
      </c>
      <c r="J836" s="134">
        <v>469</v>
      </c>
      <c r="K836" s="134">
        <v>177.27718787800001</v>
      </c>
      <c r="L836" s="42">
        <v>0.93982129129000003</v>
      </c>
      <c r="M836" s="42">
        <v>9.5744680851099995E-2</v>
      </c>
      <c r="N836" s="134">
        <v>0</v>
      </c>
      <c r="O836" s="43" t="s">
        <v>665</v>
      </c>
      <c r="P836" s="43">
        <f t="shared" si="173"/>
        <v>15.682553280359809</v>
      </c>
      <c r="Q836" s="43">
        <f t="shared" si="174"/>
        <v>1.2426431E-2</v>
      </c>
      <c r="R836" s="43">
        <f t="shared" si="175"/>
        <v>1.3081779999999999E-2</v>
      </c>
      <c r="S836" s="43">
        <f t="shared" si="176"/>
        <v>0.939821291</v>
      </c>
      <c r="T836" s="43">
        <f t="shared" si="177"/>
        <v>5.9840579710000004</v>
      </c>
      <c r="U836" s="43">
        <f t="shared" si="178"/>
        <v>13.841468089999999</v>
      </c>
      <c r="V836" s="43">
        <f t="shared" si="179"/>
        <v>2.6107399999999997E-4</v>
      </c>
      <c r="W836" s="230">
        <f t="shared" si="180"/>
        <v>3.4244191106083025E-2</v>
      </c>
      <c r="X836" s="43">
        <f t="shared" si="181"/>
        <v>0.92898790399999998</v>
      </c>
      <c r="Y836" s="43">
        <v>4.5637787090000002</v>
      </c>
      <c r="Z836" s="43">
        <f t="shared" si="170"/>
        <v>0</v>
      </c>
      <c r="AA836" s="43">
        <f t="shared" si="171"/>
        <v>230820</v>
      </c>
      <c r="AB836" s="43">
        <f t="shared" si="172"/>
        <v>76507</v>
      </c>
      <c r="AC836" s="43">
        <f t="shared" si="182"/>
        <v>2.4487274902360415E-2</v>
      </c>
      <c r="AD836" s="43">
        <f t="shared" si="183"/>
        <v>0.89458291538016477</v>
      </c>
      <c r="AF836" s="43">
        <v>15.682553280359809</v>
      </c>
      <c r="AG836" s="43">
        <v>1.2426431E-2</v>
      </c>
      <c r="AH836" s="43">
        <v>1.3081779999999999E-2</v>
      </c>
      <c r="AI836" s="43">
        <v>0.939821291</v>
      </c>
      <c r="AJ836" s="43">
        <v>5.9840579710000004</v>
      </c>
      <c r="AK836" s="43">
        <v>13.841468089999999</v>
      </c>
      <c r="AL836" s="43">
        <v>2.6107399999999997E-4</v>
      </c>
      <c r="AM836" s="230">
        <v>3.4244191106083025E-2</v>
      </c>
      <c r="AN836" s="43">
        <v>0.92898790399999998</v>
      </c>
    </row>
    <row r="837" spans="1:40" x14ac:dyDescent="0.25">
      <c r="A837" s="134">
        <v>827</v>
      </c>
      <c r="B837" s="134" t="s">
        <v>217</v>
      </c>
      <c r="C837" s="134" t="s">
        <v>218</v>
      </c>
      <c r="D837" s="134" t="s">
        <v>219</v>
      </c>
      <c r="E837" s="134">
        <v>815</v>
      </c>
      <c r="F837" s="134">
        <v>2643</v>
      </c>
      <c r="G837" s="134">
        <v>1057</v>
      </c>
      <c r="H837" s="134">
        <v>479</v>
      </c>
      <c r="I837" s="200">
        <v>1.6772485036</v>
      </c>
      <c r="J837" s="134">
        <v>3122</v>
      </c>
      <c r="K837" s="134">
        <v>1861.38189618</v>
      </c>
      <c r="L837" s="42">
        <v>0.91654793831699999</v>
      </c>
      <c r="M837" s="42">
        <v>0.37017001545599998</v>
      </c>
      <c r="N837" s="134">
        <v>0</v>
      </c>
      <c r="O837" s="43" t="s">
        <v>665</v>
      </c>
      <c r="P837" s="43">
        <f t="shared" si="173"/>
        <v>14.928803830338461</v>
      </c>
      <c r="Q837" s="43">
        <f t="shared" si="174"/>
        <v>2.0803650999999999E-2</v>
      </c>
      <c r="R837" s="43">
        <f t="shared" si="175"/>
        <v>1.2658536999999999E-2</v>
      </c>
      <c r="S837" s="43">
        <f t="shared" si="176"/>
        <v>0.91654793800000001</v>
      </c>
      <c r="T837" s="43">
        <f t="shared" si="177"/>
        <v>4.6192381999999998</v>
      </c>
      <c r="U837" s="43">
        <f t="shared" si="178"/>
        <v>11.62390635</v>
      </c>
      <c r="V837" s="43">
        <f t="shared" si="179"/>
        <v>2.781819E-3</v>
      </c>
      <c r="W837" s="230">
        <f t="shared" si="180"/>
        <v>3.3526191295850036E-2</v>
      </c>
      <c r="X837" s="43">
        <f t="shared" si="181"/>
        <v>0.94662905799999997</v>
      </c>
      <c r="Y837" s="43">
        <v>13.29398342</v>
      </c>
      <c r="Z837" s="43">
        <f t="shared" si="170"/>
        <v>0</v>
      </c>
      <c r="AA837" s="43">
        <f t="shared" si="171"/>
        <v>230820</v>
      </c>
      <c r="AB837" s="43">
        <f t="shared" si="172"/>
        <v>76507</v>
      </c>
      <c r="AC837" s="43">
        <f t="shared" si="182"/>
        <v>2.4487274902360415E-2</v>
      </c>
      <c r="AD837" s="43">
        <f t="shared" si="183"/>
        <v>0.89458291538016477</v>
      </c>
      <c r="AF837" s="43">
        <v>14.928803830338461</v>
      </c>
      <c r="AG837" s="43">
        <v>2.0803650999999999E-2</v>
      </c>
      <c r="AH837" s="43">
        <v>1.2658536999999999E-2</v>
      </c>
      <c r="AI837" s="43">
        <v>0.91654793800000001</v>
      </c>
      <c r="AJ837" s="43">
        <v>4.6192381999999998</v>
      </c>
      <c r="AK837" s="43">
        <v>11.62390635</v>
      </c>
      <c r="AL837" s="43">
        <v>2.781819E-3</v>
      </c>
      <c r="AM837" s="230">
        <v>3.3526191295850036E-2</v>
      </c>
      <c r="AN837" s="43">
        <v>0.94662905799999997</v>
      </c>
    </row>
    <row r="838" spans="1:40" x14ac:dyDescent="0.25">
      <c r="A838" s="134">
        <v>828</v>
      </c>
      <c r="B838" s="134" t="s">
        <v>217</v>
      </c>
      <c r="C838" s="134" t="s">
        <v>218</v>
      </c>
      <c r="D838" s="134" t="s">
        <v>219</v>
      </c>
      <c r="E838" s="134">
        <v>208</v>
      </c>
      <c r="F838" s="134">
        <v>674</v>
      </c>
      <c r="G838" s="134">
        <v>866</v>
      </c>
      <c r="H838" s="134">
        <v>68</v>
      </c>
      <c r="I838" s="200">
        <v>1.3733855820800001</v>
      </c>
      <c r="J838" s="134">
        <v>742</v>
      </c>
      <c r="K838" s="134">
        <v>540.27070742800004</v>
      </c>
      <c r="L838" s="42">
        <v>0.92612808233400001</v>
      </c>
      <c r="M838" s="42">
        <v>0.24637681159399999</v>
      </c>
      <c r="N838" s="134">
        <v>0</v>
      </c>
      <c r="O838" s="43" t="s">
        <v>665</v>
      </c>
      <c r="P838" s="43">
        <f t="shared" si="173"/>
        <v>14.812317554602087</v>
      </c>
      <c r="Q838" s="43">
        <f t="shared" si="174"/>
        <v>1.8397335000000001E-2</v>
      </c>
      <c r="R838" s="43">
        <f t="shared" si="175"/>
        <v>1.2150866999999999E-2</v>
      </c>
      <c r="S838" s="43">
        <f t="shared" si="176"/>
        <v>0.92612808199999996</v>
      </c>
      <c r="T838" s="43">
        <f t="shared" si="177"/>
        <v>4.8279537149999996</v>
      </c>
      <c r="U838" s="43">
        <f t="shared" si="178"/>
        <v>12.114892230000001</v>
      </c>
      <c r="V838" s="43">
        <f t="shared" si="179"/>
        <v>9.4169299999999996E-4</v>
      </c>
      <c r="W838" s="230">
        <f t="shared" si="180"/>
        <v>2.7910748384734101E-2</v>
      </c>
      <c r="X838" s="43">
        <f t="shared" si="181"/>
        <v>0.947552905</v>
      </c>
      <c r="Y838" s="43">
        <v>18.032393580000001</v>
      </c>
      <c r="Z838" s="43">
        <f t="shared" si="170"/>
        <v>0</v>
      </c>
      <c r="AA838" s="43">
        <f t="shared" si="171"/>
        <v>230820</v>
      </c>
      <c r="AB838" s="43">
        <f t="shared" si="172"/>
        <v>76507</v>
      </c>
      <c r="AC838" s="43">
        <f t="shared" si="182"/>
        <v>2.4487274902360415E-2</v>
      </c>
      <c r="AD838" s="43">
        <f t="shared" si="183"/>
        <v>0.89458291538016477</v>
      </c>
      <c r="AF838" s="43">
        <v>14.812317554602087</v>
      </c>
      <c r="AG838" s="43">
        <v>1.8397335000000001E-2</v>
      </c>
      <c r="AH838" s="43">
        <v>1.2150866999999999E-2</v>
      </c>
      <c r="AI838" s="43">
        <v>0.92612808199999996</v>
      </c>
      <c r="AJ838" s="43">
        <v>4.8279537149999996</v>
      </c>
      <c r="AK838" s="43">
        <v>12.114892230000001</v>
      </c>
      <c r="AL838" s="43">
        <v>9.4169299999999996E-4</v>
      </c>
      <c r="AM838" s="230">
        <v>2.7910748384734101E-2</v>
      </c>
      <c r="AN838" s="43">
        <v>0.947552905</v>
      </c>
    </row>
    <row r="839" spans="1:40" x14ac:dyDescent="0.25">
      <c r="A839" s="134">
        <v>829</v>
      </c>
      <c r="B839" s="134" t="s">
        <v>217</v>
      </c>
      <c r="C839" s="134" t="s">
        <v>218</v>
      </c>
      <c r="D839" s="134" t="s">
        <v>219</v>
      </c>
      <c r="E839" s="134">
        <v>1285</v>
      </c>
      <c r="F839" s="134">
        <v>4105</v>
      </c>
      <c r="G839" s="134">
        <v>393</v>
      </c>
      <c r="H839" s="134">
        <v>680</v>
      </c>
      <c r="I839" s="200">
        <v>0.60736910125499999</v>
      </c>
      <c r="J839" s="134">
        <v>4785</v>
      </c>
      <c r="K839" s="134">
        <v>7878.2407437499996</v>
      </c>
      <c r="L839" s="42">
        <v>0.90551862043800002</v>
      </c>
      <c r="M839" s="42">
        <v>0.34605597964399998</v>
      </c>
      <c r="N839" s="134">
        <v>0</v>
      </c>
      <c r="O839" s="43" t="s">
        <v>666</v>
      </c>
      <c r="P839" s="43">
        <f t="shared" si="173"/>
        <v>14.831750646179998</v>
      </c>
      <c r="Q839" s="43">
        <f t="shared" si="174"/>
        <v>2.2713184000000001E-2</v>
      </c>
      <c r="R839" s="43">
        <f t="shared" si="175"/>
        <v>1.3797370999999999E-2</v>
      </c>
      <c r="S839" s="43">
        <f t="shared" si="176"/>
        <v>0.90551862000000005</v>
      </c>
      <c r="T839" s="43">
        <f t="shared" si="177"/>
        <v>4.1630292710000001</v>
      </c>
      <c r="U839" s="43">
        <f t="shared" si="178"/>
        <v>11.26687454</v>
      </c>
      <c r="V839" s="43">
        <f t="shared" si="179"/>
        <v>4.0763969999999998E-3</v>
      </c>
      <c r="W839" s="230">
        <f t="shared" si="180"/>
        <v>4.1563265989677696E-2</v>
      </c>
      <c r="X839" s="43">
        <f t="shared" si="181"/>
        <v>0.941457455</v>
      </c>
      <c r="Y839" s="43">
        <v>107.6861835</v>
      </c>
      <c r="Z839" s="43">
        <f t="shared" si="170"/>
        <v>0</v>
      </c>
      <c r="AA839" s="43">
        <f t="shared" si="171"/>
        <v>230820</v>
      </c>
      <c r="AB839" s="43">
        <f t="shared" si="172"/>
        <v>76507</v>
      </c>
      <c r="AC839" s="43">
        <f t="shared" si="182"/>
        <v>2.4487274902360415E-2</v>
      </c>
      <c r="AD839" s="43">
        <f t="shared" si="183"/>
        <v>0.89458291538016477</v>
      </c>
      <c r="AF839" s="43">
        <v>14.831750646179998</v>
      </c>
      <c r="AG839" s="43">
        <v>2.2713184000000001E-2</v>
      </c>
      <c r="AH839" s="43">
        <v>1.3797370999999999E-2</v>
      </c>
      <c r="AI839" s="43">
        <v>0.90551862000000005</v>
      </c>
      <c r="AJ839" s="43">
        <v>4.1630292710000001</v>
      </c>
      <c r="AK839" s="43">
        <v>11.26687454</v>
      </c>
      <c r="AL839" s="43">
        <v>4.0763969999999998E-3</v>
      </c>
      <c r="AM839" s="230">
        <v>4.1563265989677696E-2</v>
      </c>
      <c r="AN839" s="43">
        <v>0.941457455</v>
      </c>
    </row>
    <row r="840" spans="1:40" x14ac:dyDescent="0.25">
      <c r="A840" s="134">
        <v>830</v>
      </c>
      <c r="B840" s="134" t="s">
        <v>217</v>
      </c>
      <c r="C840" s="134" t="s">
        <v>218</v>
      </c>
      <c r="D840" s="134" t="s">
        <v>219</v>
      </c>
      <c r="E840" s="134">
        <v>365</v>
      </c>
      <c r="F840" s="134">
        <v>1165</v>
      </c>
      <c r="G840" s="134">
        <v>62</v>
      </c>
      <c r="H840" s="134">
        <v>16</v>
      </c>
      <c r="I840" s="200">
        <v>9.5005597528400001E-2</v>
      </c>
      <c r="J840" s="134">
        <v>1181</v>
      </c>
      <c r="K840" s="134">
        <v>12430.8465051</v>
      </c>
      <c r="L840" s="42">
        <v>0.895588219435</v>
      </c>
      <c r="M840" s="42">
        <v>4.1994750656200001E-2</v>
      </c>
      <c r="N840" s="134">
        <v>0</v>
      </c>
      <c r="O840" s="43" t="s">
        <v>666</v>
      </c>
      <c r="P840" s="43">
        <f t="shared" si="173"/>
        <v>13.108032405062193</v>
      </c>
      <c r="Q840" s="43">
        <f t="shared" si="174"/>
        <v>2.1088333000000001E-2</v>
      </c>
      <c r="R840" s="43">
        <f t="shared" si="175"/>
        <v>1.4590905E-2</v>
      </c>
      <c r="S840" s="43">
        <f t="shared" si="176"/>
        <v>0.89558821899999996</v>
      </c>
      <c r="T840" s="43">
        <f t="shared" si="177"/>
        <v>3.3758067490000001</v>
      </c>
      <c r="U840" s="43">
        <f t="shared" si="178"/>
        <v>9.8526732569999993</v>
      </c>
      <c r="V840" s="43">
        <f t="shared" si="179"/>
        <v>1.930864E-3</v>
      </c>
      <c r="W840" s="230">
        <f t="shared" si="180"/>
        <v>3.6311487702459504E-2</v>
      </c>
      <c r="X840" s="43">
        <f t="shared" si="181"/>
        <v>0.93273845200000005</v>
      </c>
      <c r="Y840" s="43">
        <v>129.39664669999999</v>
      </c>
      <c r="Z840" s="43">
        <f t="shared" si="170"/>
        <v>0</v>
      </c>
      <c r="AA840" s="43">
        <f t="shared" si="171"/>
        <v>230820</v>
      </c>
      <c r="AB840" s="43">
        <f t="shared" si="172"/>
        <v>76507</v>
      </c>
      <c r="AC840" s="43">
        <f t="shared" si="182"/>
        <v>2.4487274902360415E-2</v>
      </c>
      <c r="AD840" s="43">
        <f t="shared" si="183"/>
        <v>0.89458291538016477</v>
      </c>
      <c r="AF840" s="43">
        <v>13.108032405062193</v>
      </c>
      <c r="AG840" s="43">
        <v>2.1088333000000001E-2</v>
      </c>
      <c r="AH840" s="43">
        <v>1.4590905E-2</v>
      </c>
      <c r="AI840" s="43">
        <v>0.89558821899999996</v>
      </c>
      <c r="AJ840" s="43">
        <v>3.3758067490000001</v>
      </c>
      <c r="AK840" s="43">
        <v>9.8526732569999993</v>
      </c>
      <c r="AL840" s="43">
        <v>1.930864E-3</v>
      </c>
      <c r="AM840" s="230">
        <v>3.6311487702459504E-2</v>
      </c>
      <c r="AN840" s="43">
        <v>0.93273845200000005</v>
      </c>
    </row>
    <row r="841" spans="1:40" x14ac:dyDescent="0.25">
      <c r="A841" s="134">
        <v>831</v>
      </c>
      <c r="B841" s="134" t="s">
        <v>217</v>
      </c>
      <c r="C841" s="134" t="s">
        <v>218</v>
      </c>
      <c r="D841" s="134" t="s">
        <v>219</v>
      </c>
      <c r="E841" s="134">
        <v>0</v>
      </c>
      <c r="F841" s="134">
        <v>0</v>
      </c>
      <c r="G841" s="134">
        <v>443</v>
      </c>
      <c r="H841" s="134">
        <v>2446</v>
      </c>
      <c r="I841" s="200">
        <v>0.69559382812899995</v>
      </c>
      <c r="J841" s="134">
        <v>2446</v>
      </c>
      <c r="K841" s="134">
        <v>3516.4199294</v>
      </c>
      <c r="L841" s="42">
        <v>0.89712763381000005</v>
      </c>
      <c r="M841" s="42">
        <v>1</v>
      </c>
      <c r="N841" s="134">
        <v>0</v>
      </c>
      <c r="O841" s="43" t="s">
        <v>666</v>
      </c>
      <c r="P841" s="43">
        <f t="shared" si="173"/>
        <v>13.325863037244929</v>
      </c>
      <c r="Q841" s="43">
        <f t="shared" si="174"/>
        <v>1.4334382999999999E-2</v>
      </c>
      <c r="R841" s="43">
        <f t="shared" si="175"/>
        <v>8.6445470000000007E-3</v>
      </c>
      <c r="S841" s="43">
        <f t="shared" si="176"/>
        <v>0.89712763399999995</v>
      </c>
      <c r="T841" s="43">
        <f t="shared" si="177"/>
        <v>2.8963335190000001</v>
      </c>
      <c r="U841" s="43">
        <f t="shared" si="178"/>
        <v>9.1206001850000007</v>
      </c>
      <c r="V841" s="43">
        <f t="shared" si="179"/>
        <v>8.6364170000000004E-3</v>
      </c>
      <c r="W841" s="230">
        <f t="shared" si="180"/>
        <v>1.4074932191985128E-2</v>
      </c>
      <c r="X841" s="43">
        <f t="shared" si="181"/>
        <v>0.92006631699999997</v>
      </c>
      <c r="Y841" s="43">
        <v>122.53759100000001</v>
      </c>
      <c r="Z841" s="43">
        <f t="shared" si="170"/>
        <v>0</v>
      </c>
      <c r="AA841" s="43">
        <f t="shared" si="171"/>
        <v>230820</v>
      </c>
      <c r="AB841" s="43">
        <f t="shared" si="172"/>
        <v>76507</v>
      </c>
      <c r="AC841" s="43">
        <f t="shared" si="182"/>
        <v>2.4487274902360415E-2</v>
      </c>
      <c r="AD841" s="43">
        <f t="shared" si="183"/>
        <v>0.89458291538016477</v>
      </c>
      <c r="AF841" s="43">
        <v>13.325863037244929</v>
      </c>
      <c r="AG841" s="43">
        <v>1.4334382999999999E-2</v>
      </c>
      <c r="AH841" s="43">
        <v>8.6445470000000007E-3</v>
      </c>
      <c r="AI841" s="43">
        <v>0.89712763399999995</v>
      </c>
      <c r="AJ841" s="43">
        <v>2.8963335190000001</v>
      </c>
      <c r="AK841" s="43">
        <v>9.1206001850000007</v>
      </c>
      <c r="AL841" s="43">
        <v>8.6364170000000004E-3</v>
      </c>
      <c r="AM841" s="230">
        <v>1.4074932191985128E-2</v>
      </c>
      <c r="AN841" s="43">
        <v>0.92006631699999997</v>
      </c>
    </row>
    <row r="842" spans="1:40" x14ac:dyDescent="0.25">
      <c r="A842" s="134">
        <v>832</v>
      </c>
      <c r="B842" s="134" t="s">
        <v>217</v>
      </c>
      <c r="C842" s="134" t="s">
        <v>218</v>
      </c>
      <c r="D842" s="134" t="s">
        <v>219</v>
      </c>
      <c r="E842" s="134">
        <v>237</v>
      </c>
      <c r="F842" s="134">
        <v>601</v>
      </c>
      <c r="G842" s="134">
        <v>24</v>
      </c>
      <c r="H842" s="134">
        <v>4</v>
      </c>
      <c r="I842" s="200">
        <v>4.31577653568E-2</v>
      </c>
      <c r="J842" s="134">
        <v>605</v>
      </c>
      <c r="K842" s="134">
        <v>14018.3347075</v>
      </c>
      <c r="L842" s="42">
        <v>0.861279596609</v>
      </c>
      <c r="M842" s="42">
        <v>1.6597510373400001E-2</v>
      </c>
      <c r="N842" s="134">
        <v>0</v>
      </c>
      <c r="O842" s="43" t="s">
        <v>666</v>
      </c>
      <c r="P842" s="43">
        <f t="shared" si="173"/>
        <v>14.064071592244897</v>
      </c>
      <c r="Q842" s="43">
        <f t="shared" si="174"/>
        <v>4.3837694000000003E-2</v>
      </c>
      <c r="R842" s="43">
        <f t="shared" si="175"/>
        <v>1.2496346E-2</v>
      </c>
      <c r="S842" s="43">
        <f t="shared" si="176"/>
        <v>0.86127959700000001</v>
      </c>
      <c r="T842" s="43">
        <f t="shared" si="177"/>
        <v>3.9122165330000001</v>
      </c>
      <c r="U842" s="43">
        <f t="shared" si="178"/>
        <v>9.2938847819999992</v>
      </c>
      <c r="V842" s="43">
        <f t="shared" si="179"/>
        <v>2.3631759999999998E-3</v>
      </c>
      <c r="W842" s="230">
        <f t="shared" si="180"/>
        <v>8.9355435303787922E-2</v>
      </c>
      <c r="X842" s="43">
        <f t="shared" si="181"/>
        <v>0.85591478899999995</v>
      </c>
      <c r="Y842" s="43">
        <v>88.2473679</v>
      </c>
      <c r="Z842" s="43">
        <f t="shared" si="170"/>
        <v>0</v>
      </c>
      <c r="AA842" s="43">
        <f t="shared" si="171"/>
        <v>230820</v>
      </c>
      <c r="AB842" s="43">
        <f t="shared" si="172"/>
        <v>76507</v>
      </c>
      <c r="AC842" s="43">
        <f t="shared" si="182"/>
        <v>2.4487274902360415E-2</v>
      </c>
      <c r="AD842" s="43">
        <f t="shared" si="183"/>
        <v>0.89458291538016477</v>
      </c>
      <c r="AF842" s="43">
        <v>14.064071592244897</v>
      </c>
      <c r="AG842" s="43">
        <v>4.3837694000000003E-2</v>
      </c>
      <c r="AH842" s="43">
        <v>1.2496346E-2</v>
      </c>
      <c r="AI842" s="43">
        <v>0.86127959700000001</v>
      </c>
      <c r="AJ842" s="43">
        <v>3.9122165330000001</v>
      </c>
      <c r="AK842" s="43">
        <v>9.2938847819999992</v>
      </c>
      <c r="AL842" s="43">
        <v>2.3631759999999998E-3</v>
      </c>
      <c r="AM842" s="230">
        <v>8.9355435303787922E-2</v>
      </c>
      <c r="AN842" s="43">
        <v>0.85591478899999995</v>
      </c>
    </row>
    <row r="843" spans="1:40" x14ac:dyDescent="0.25">
      <c r="A843" s="134">
        <v>833</v>
      </c>
      <c r="B843" s="134" t="s">
        <v>217</v>
      </c>
      <c r="C843" s="134" t="s">
        <v>218</v>
      </c>
      <c r="D843" s="134" t="s">
        <v>219</v>
      </c>
      <c r="E843" s="134">
        <v>710</v>
      </c>
      <c r="F843" s="134">
        <v>1802</v>
      </c>
      <c r="G843" s="134">
        <v>90</v>
      </c>
      <c r="H843" s="134">
        <v>208</v>
      </c>
      <c r="I843" s="200">
        <v>0.16269436375999999</v>
      </c>
      <c r="J843" s="134">
        <v>2010</v>
      </c>
      <c r="K843" s="134">
        <v>12354.4537963</v>
      </c>
      <c r="L843" s="42">
        <v>0.84907513417299996</v>
      </c>
      <c r="M843" s="42">
        <v>0.22657952069699999</v>
      </c>
      <c r="N843" s="134">
        <v>0</v>
      </c>
      <c r="O843" s="43" t="s">
        <v>666</v>
      </c>
      <c r="P843" s="43">
        <f t="shared" si="173"/>
        <v>13.72365457350212</v>
      </c>
      <c r="Q843" s="43">
        <f t="shared" si="174"/>
        <v>4.2681803999999997E-2</v>
      </c>
      <c r="R843" s="43">
        <f t="shared" si="175"/>
        <v>1.3290526E-2</v>
      </c>
      <c r="S843" s="43">
        <f t="shared" si="176"/>
        <v>0.84907513400000001</v>
      </c>
      <c r="T843" s="43">
        <f t="shared" si="177"/>
        <v>3.5698827770000001</v>
      </c>
      <c r="U843" s="43">
        <f t="shared" si="178"/>
        <v>8.8554798209999994</v>
      </c>
      <c r="V843" s="43">
        <f t="shared" si="179"/>
        <v>7.3553179999999996E-3</v>
      </c>
      <c r="W843" s="230">
        <f t="shared" si="180"/>
        <v>7.5026044473183173E-2</v>
      </c>
      <c r="X843" s="43">
        <f t="shared" si="181"/>
        <v>0.872759277</v>
      </c>
      <c r="Y843" s="43">
        <v>88.821370470000005</v>
      </c>
      <c r="Z843" s="43">
        <f t="shared" ref="Z843:Z906" si="184">IF(B843="Berkeley",1,0)</f>
        <v>0</v>
      </c>
      <c r="AA843" s="43">
        <f t="shared" ref="AA843:AA906" si="185">SUMIFS(F:F,B:B,B843)</f>
        <v>230820</v>
      </c>
      <c r="AB843" s="43">
        <f t="shared" ref="AB843:AB906" si="186">SUMIFS(E:E,B:B,B843)</f>
        <v>76507</v>
      </c>
      <c r="AC843" s="43">
        <f t="shared" si="182"/>
        <v>2.4487274902360415E-2</v>
      </c>
      <c r="AD843" s="43">
        <f t="shared" si="183"/>
        <v>0.89458291538016477</v>
      </c>
      <c r="AF843" s="43">
        <v>13.72365457350212</v>
      </c>
      <c r="AG843" s="43">
        <v>4.2681803999999997E-2</v>
      </c>
      <c r="AH843" s="43">
        <v>1.3290526E-2</v>
      </c>
      <c r="AI843" s="43">
        <v>0.84907513400000001</v>
      </c>
      <c r="AJ843" s="43">
        <v>3.5698827770000001</v>
      </c>
      <c r="AK843" s="43">
        <v>8.8554798209999994</v>
      </c>
      <c r="AL843" s="43">
        <v>7.3553179999999996E-3</v>
      </c>
      <c r="AM843" s="230">
        <v>7.5026044473183173E-2</v>
      </c>
      <c r="AN843" s="43">
        <v>0.872759277</v>
      </c>
    </row>
    <row r="844" spans="1:40" x14ac:dyDescent="0.25">
      <c r="A844" s="134">
        <v>834</v>
      </c>
      <c r="B844" s="134" t="s">
        <v>217</v>
      </c>
      <c r="C844" s="134" t="s">
        <v>218</v>
      </c>
      <c r="D844" s="134" t="s">
        <v>219</v>
      </c>
      <c r="E844" s="134">
        <v>54</v>
      </c>
      <c r="F844" s="134">
        <v>138</v>
      </c>
      <c r="G844" s="134">
        <v>98</v>
      </c>
      <c r="H844" s="134">
        <v>281</v>
      </c>
      <c r="I844" s="200">
        <v>0.15248642079899999</v>
      </c>
      <c r="J844" s="134">
        <v>419</v>
      </c>
      <c r="K844" s="134">
        <v>2747.7856572699998</v>
      </c>
      <c r="L844" s="42">
        <v>0.87083237855200002</v>
      </c>
      <c r="M844" s="42">
        <v>0.83880597014900005</v>
      </c>
      <c r="N844" s="134">
        <v>0</v>
      </c>
      <c r="O844" s="43" t="s">
        <v>664</v>
      </c>
      <c r="P844" s="43">
        <f t="shared" ref="P844:P907" si="187">IF(OR(IFERROR(AF844=0,TRUE),ISERROR(AF844)),AVERAGEIFS(AF:AF,$B:$B,$B844,AF:AF,"&gt;0"),AF844)</f>
        <v>13.46293355098449</v>
      </c>
      <c r="Q844" s="43">
        <f t="shared" ref="Q844:Q907" si="188">IF(OR(IFERROR(AG844=0,TRUE),ISERROR(AG844)),AVERAGEIFS(AG:AG,$B:$B,$B844,AG:AG,"&gt;0"),AG844)</f>
        <v>2.1711732000000001E-2</v>
      </c>
      <c r="R844" s="43">
        <f t="shared" ref="R844:R907" si="189">IF(OR(IFERROR(AH844=0,TRUE),ISERROR(AH844)),AVERAGEIFS(AH:AH,$B:$B,$B844,AH:AH,"&gt;0"),AH844)</f>
        <v>1.0068171000000001E-2</v>
      </c>
      <c r="S844" s="43">
        <f t="shared" ref="S844:S907" si="190">IF(OR(IFERROR(AI844=0,TRUE),ISERROR(AI844)),AVERAGEIFS(AI:AI,$B:$B,$B844,AI:AI,"&gt;0"),AI844)</f>
        <v>0.87083237899999999</v>
      </c>
      <c r="T844" s="43">
        <f t="shared" ref="T844:T907" si="191">IF(OR(IFERROR(AJ844=0,TRUE),ISERROR(AJ844)),AVERAGEIFS(AJ:AJ,$B:$B,$B844,AJ:AJ,"&gt;0"),AJ844)</f>
        <v>3.255182273</v>
      </c>
      <c r="U844" s="43">
        <f t="shared" ref="U844:U907" si="192">IF(OR(IFERROR(AK844=0,TRUE),ISERROR(AK844)),AVERAGEIFS(AK:AK,$B:$B,$B844,AK:AK,"&gt;0"),AK844)</f>
        <v>8.4471157350000006</v>
      </c>
      <c r="V844" s="43">
        <f t="shared" ref="V844:V907" si="193">IF(OR(IFERROR(AL844=0,TRUE),ISERROR(AL844)),AVERAGEIFS(AL:AL,$B:$B,$B844,AL:AL,"&gt;0"),AL844)</f>
        <v>6.330774E-3</v>
      </c>
      <c r="W844" s="230">
        <f t="shared" ref="W844:W907" si="194">IF(OR(IFERROR(AM844=0,TRUE),ISERROR(AM844)),AVERAGEIFS(AM:AM,$B:$B,$B844,AM:AM,"&gt;0"),AM844)</f>
        <v>2.4948492227008803E-2</v>
      </c>
      <c r="X844" s="43">
        <f t="shared" ref="X844:X907" si="195">IF(OR(IFERROR(AN844=0,TRUE),ISERROR(AN844)),AVERAGEIFS(AN:AN,$B:$B,$B844,AN:AN,"&gt;0"),AN844)</f>
        <v>0.880014984</v>
      </c>
      <c r="Y844" s="43">
        <v>122.5866371</v>
      </c>
      <c r="Z844" s="43">
        <f t="shared" si="184"/>
        <v>0</v>
      </c>
      <c r="AA844" s="43">
        <f t="shared" si="185"/>
        <v>230820</v>
      </c>
      <c r="AB844" s="43">
        <f t="shared" si="186"/>
        <v>76507</v>
      </c>
      <c r="AC844" s="43">
        <f t="shared" ref="AC844:AC907" si="196">AVERAGEIFS(Q:Q,B:B,B844,N:N,0,Q:Q,"&gt;0")</f>
        <v>2.4487274902360415E-2</v>
      </c>
      <c r="AD844" s="43">
        <f t="shared" ref="AD844:AD907" si="197">AVERAGEIFS(S:S,B:B,B844,N:N,0,S:S,"&gt;0")</f>
        <v>0.89458291538016477</v>
      </c>
      <c r="AF844" s="43">
        <v>13.46293355098449</v>
      </c>
      <c r="AG844" s="43">
        <v>2.1711732000000001E-2</v>
      </c>
      <c r="AH844" s="43">
        <v>1.0068171000000001E-2</v>
      </c>
      <c r="AI844" s="43">
        <v>0.87083237899999999</v>
      </c>
      <c r="AJ844" s="43">
        <v>3.255182273</v>
      </c>
      <c r="AK844" s="43">
        <v>8.4471157350000006</v>
      </c>
      <c r="AL844" s="43">
        <v>6.330774E-3</v>
      </c>
      <c r="AM844" s="230">
        <v>2.4948492227008803E-2</v>
      </c>
      <c r="AN844" s="43">
        <v>0.880014984</v>
      </c>
    </row>
    <row r="845" spans="1:40" x14ac:dyDescent="0.25">
      <c r="A845" s="134">
        <v>835</v>
      </c>
      <c r="B845" s="134" t="s">
        <v>217</v>
      </c>
      <c r="C845" s="134" t="s">
        <v>218</v>
      </c>
      <c r="D845" s="134" t="s">
        <v>219</v>
      </c>
      <c r="E845" s="134">
        <v>1511</v>
      </c>
      <c r="F845" s="134">
        <v>3833</v>
      </c>
      <c r="G845" s="134">
        <v>57</v>
      </c>
      <c r="H845" s="134">
        <v>27</v>
      </c>
      <c r="I845" s="200">
        <v>0.101584873748</v>
      </c>
      <c r="J845" s="134">
        <v>3860</v>
      </c>
      <c r="K845" s="134">
        <v>37997.7831105</v>
      </c>
      <c r="L845" s="42">
        <v>0.81540984221299995</v>
      </c>
      <c r="M845" s="42">
        <v>1.7555266579999999E-2</v>
      </c>
      <c r="N845" s="134">
        <v>1</v>
      </c>
      <c r="O845" s="43" t="s">
        <v>664</v>
      </c>
      <c r="P845" s="43">
        <f t="shared" si="187"/>
        <v>13.205948161904022</v>
      </c>
      <c r="Q845" s="43">
        <f t="shared" si="188"/>
        <v>4.4627856E-2</v>
      </c>
      <c r="R845" s="43">
        <f t="shared" si="189"/>
        <v>1.3683280000000001E-2</v>
      </c>
      <c r="S845" s="43">
        <f t="shared" si="190"/>
        <v>0.815409842</v>
      </c>
      <c r="T845" s="43">
        <f t="shared" si="191"/>
        <v>3.411823542</v>
      </c>
      <c r="U845" s="43">
        <f t="shared" si="192"/>
        <v>8.2861482290000001</v>
      </c>
      <c r="V845" s="43">
        <f t="shared" si="193"/>
        <v>6.6694550000000003E-3</v>
      </c>
      <c r="W845" s="230">
        <f t="shared" si="194"/>
        <v>8.3630885364729096E-2</v>
      </c>
      <c r="X845" s="43">
        <f t="shared" si="195"/>
        <v>0.83317785600000005</v>
      </c>
      <c r="Y845" s="43">
        <v>123.4103257</v>
      </c>
      <c r="Z845" s="43">
        <f t="shared" si="184"/>
        <v>0</v>
      </c>
      <c r="AA845" s="43">
        <f t="shared" si="185"/>
        <v>230820</v>
      </c>
      <c r="AB845" s="43">
        <f t="shared" si="186"/>
        <v>76507</v>
      </c>
      <c r="AC845" s="43">
        <f t="shared" si="196"/>
        <v>2.4487274902360415E-2</v>
      </c>
      <c r="AD845" s="43">
        <f t="shared" si="197"/>
        <v>0.89458291538016477</v>
      </c>
      <c r="AF845" s="43">
        <v>13.205948161904022</v>
      </c>
      <c r="AG845" s="43">
        <v>4.4627856E-2</v>
      </c>
      <c r="AH845" s="43">
        <v>1.3683280000000001E-2</v>
      </c>
      <c r="AI845" s="43">
        <v>0.815409842</v>
      </c>
      <c r="AJ845" s="43">
        <v>3.411823542</v>
      </c>
      <c r="AK845" s="43">
        <v>8.2861482290000001</v>
      </c>
      <c r="AL845" s="43">
        <v>6.6694550000000003E-3</v>
      </c>
      <c r="AM845" s="230">
        <v>8.3630885364729096E-2</v>
      </c>
      <c r="AN845" s="43">
        <v>0.83317785600000005</v>
      </c>
    </row>
    <row r="846" spans="1:40" x14ac:dyDescent="0.25">
      <c r="A846" s="134">
        <v>836</v>
      </c>
      <c r="B846" s="134" t="s">
        <v>217</v>
      </c>
      <c r="C846" s="134" t="s">
        <v>218</v>
      </c>
      <c r="D846" s="134" t="s">
        <v>219</v>
      </c>
      <c r="E846" s="134">
        <v>1963</v>
      </c>
      <c r="F846" s="134">
        <v>4979</v>
      </c>
      <c r="G846" s="134">
        <v>73</v>
      </c>
      <c r="H846" s="134">
        <v>2016</v>
      </c>
      <c r="I846" s="200">
        <v>0.13224028202800001</v>
      </c>
      <c r="J846" s="134">
        <v>6995</v>
      </c>
      <c r="K846" s="134">
        <v>52896.136432400002</v>
      </c>
      <c r="L846" s="42">
        <v>0.78833851407800004</v>
      </c>
      <c r="M846" s="42">
        <v>0.50665996481499997</v>
      </c>
      <c r="N846" s="134">
        <v>1</v>
      </c>
      <c r="O846" s="43" t="s">
        <v>627</v>
      </c>
      <c r="P846" s="43">
        <f t="shared" si="187"/>
        <v>12.998553760215669</v>
      </c>
      <c r="Q846" s="43">
        <f t="shared" si="188"/>
        <v>5.1878595999999999E-2</v>
      </c>
      <c r="R846" s="43">
        <f t="shared" si="189"/>
        <v>1.5678266999999999E-2</v>
      </c>
      <c r="S846" s="43">
        <f t="shared" si="190"/>
        <v>0.78833851399999999</v>
      </c>
      <c r="T846" s="43">
        <f t="shared" si="191"/>
        <v>3.0927061870000001</v>
      </c>
      <c r="U846" s="43">
        <f t="shared" si="192"/>
        <v>7.7372728259999999</v>
      </c>
      <c r="V846" s="43">
        <f t="shared" si="193"/>
        <v>1.7869844999999999E-2</v>
      </c>
      <c r="W846" s="230">
        <f t="shared" si="194"/>
        <v>9.2167257784287915E-2</v>
      </c>
      <c r="X846" s="43">
        <f t="shared" si="195"/>
        <v>0.78411442600000003</v>
      </c>
      <c r="Y846" s="43">
        <v>58.609613549999999</v>
      </c>
      <c r="Z846" s="43">
        <f t="shared" si="184"/>
        <v>0</v>
      </c>
      <c r="AA846" s="43">
        <f t="shared" si="185"/>
        <v>230820</v>
      </c>
      <c r="AB846" s="43">
        <f t="shared" si="186"/>
        <v>76507</v>
      </c>
      <c r="AC846" s="43">
        <f t="shared" si="196"/>
        <v>2.4487274902360415E-2</v>
      </c>
      <c r="AD846" s="43">
        <f t="shared" si="197"/>
        <v>0.89458291538016477</v>
      </c>
      <c r="AF846" s="43">
        <v>12.998553760215669</v>
      </c>
      <c r="AG846" s="43">
        <v>5.1878595999999999E-2</v>
      </c>
      <c r="AH846" s="43">
        <v>1.5678266999999999E-2</v>
      </c>
      <c r="AI846" s="43">
        <v>0.78833851399999999</v>
      </c>
      <c r="AJ846" s="43">
        <v>3.0927061870000001</v>
      </c>
      <c r="AK846" s="43">
        <v>7.7372728259999999</v>
      </c>
      <c r="AL846" s="43">
        <v>1.7869844999999999E-2</v>
      </c>
      <c r="AM846" s="230">
        <v>9.2167257784287915E-2</v>
      </c>
      <c r="AN846" s="43">
        <v>0.78411442600000003</v>
      </c>
    </row>
    <row r="847" spans="1:40" x14ac:dyDescent="0.25">
      <c r="A847" s="134">
        <v>837</v>
      </c>
      <c r="B847" s="134" t="s">
        <v>217</v>
      </c>
      <c r="C847" s="134" t="s">
        <v>218</v>
      </c>
      <c r="D847" s="134" t="s">
        <v>219</v>
      </c>
      <c r="E847" s="134">
        <v>0</v>
      </c>
      <c r="F847" s="134">
        <v>0</v>
      </c>
      <c r="G847" s="134">
        <v>32</v>
      </c>
      <c r="H847" s="134">
        <v>536</v>
      </c>
      <c r="I847" s="200">
        <v>5.79763290555E-2</v>
      </c>
      <c r="J847" s="134">
        <v>536</v>
      </c>
      <c r="K847" s="134">
        <v>9245.1524394799999</v>
      </c>
      <c r="L847" s="42">
        <v>0.82266152595399999</v>
      </c>
      <c r="M847" s="42">
        <v>1</v>
      </c>
      <c r="N847" s="134">
        <v>1</v>
      </c>
      <c r="O847" s="43" t="s">
        <v>664</v>
      </c>
      <c r="P847" s="43">
        <f t="shared" si="187"/>
        <v>12.509016184762531</v>
      </c>
      <c r="Q847" s="43">
        <f t="shared" si="188"/>
        <v>4.3417017000000002E-2</v>
      </c>
      <c r="R847" s="43">
        <f t="shared" si="189"/>
        <v>8.3308519999999997E-3</v>
      </c>
      <c r="S847" s="43">
        <f t="shared" si="190"/>
        <v>0.82266152599999998</v>
      </c>
      <c r="T847" s="43">
        <f t="shared" si="191"/>
        <v>2.2923892100000001</v>
      </c>
      <c r="U847" s="43">
        <f t="shared" si="192"/>
        <v>6.6172412329999997</v>
      </c>
      <c r="V847" s="43">
        <f t="shared" si="193"/>
        <v>7.1304410000000004E-3</v>
      </c>
      <c r="W847" s="230">
        <f t="shared" si="194"/>
        <v>4.4733761396289332E-2</v>
      </c>
      <c r="X847" s="43">
        <f t="shared" si="195"/>
        <v>0.824754337</v>
      </c>
      <c r="Y847" s="43">
        <v>56.22476468</v>
      </c>
      <c r="Z847" s="43">
        <f t="shared" si="184"/>
        <v>0</v>
      </c>
      <c r="AA847" s="43">
        <f t="shared" si="185"/>
        <v>230820</v>
      </c>
      <c r="AB847" s="43">
        <f t="shared" si="186"/>
        <v>76507</v>
      </c>
      <c r="AC847" s="43">
        <f t="shared" si="196"/>
        <v>2.4487274902360415E-2</v>
      </c>
      <c r="AD847" s="43">
        <f t="shared" si="197"/>
        <v>0.89458291538016477</v>
      </c>
      <c r="AF847" s="43">
        <v>12.509016184762531</v>
      </c>
      <c r="AG847" s="43">
        <v>4.3417017000000002E-2</v>
      </c>
      <c r="AH847" s="43">
        <v>8.3308519999999997E-3</v>
      </c>
      <c r="AI847" s="43">
        <v>0.82266152599999998</v>
      </c>
      <c r="AJ847" s="43">
        <v>2.2923892100000001</v>
      </c>
      <c r="AK847" s="43">
        <v>6.6172412329999997</v>
      </c>
      <c r="AL847" s="43">
        <v>7.1304410000000004E-3</v>
      </c>
      <c r="AM847" s="230">
        <v>4.4733761396289332E-2</v>
      </c>
      <c r="AN847" s="43">
        <v>0.824754337</v>
      </c>
    </row>
    <row r="848" spans="1:40" x14ac:dyDescent="0.25">
      <c r="A848" s="134">
        <v>838</v>
      </c>
      <c r="B848" s="134" t="s">
        <v>217</v>
      </c>
      <c r="C848" s="134" t="s">
        <v>218</v>
      </c>
      <c r="D848" s="134" t="s">
        <v>219</v>
      </c>
      <c r="E848" s="134">
        <v>877</v>
      </c>
      <c r="F848" s="134">
        <v>2225</v>
      </c>
      <c r="G848" s="134">
        <v>152</v>
      </c>
      <c r="H848" s="134">
        <v>174</v>
      </c>
      <c r="I848" s="200">
        <v>0.13173397245499999</v>
      </c>
      <c r="J848" s="134">
        <v>2399</v>
      </c>
      <c r="K848" s="134">
        <v>18210.9440359</v>
      </c>
      <c r="L848" s="42">
        <v>0.84491724290400005</v>
      </c>
      <c r="M848" s="42">
        <v>0.16555661275</v>
      </c>
      <c r="N848" s="134">
        <v>1</v>
      </c>
      <c r="O848" s="43" t="s">
        <v>666</v>
      </c>
      <c r="P848" s="43">
        <f t="shared" si="187"/>
        <v>13.563569280673091</v>
      </c>
      <c r="Q848" s="43">
        <f t="shared" si="188"/>
        <v>4.5202143E-2</v>
      </c>
      <c r="R848" s="43">
        <f t="shared" si="189"/>
        <v>1.2789226000000001E-2</v>
      </c>
      <c r="S848" s="43">
        <f t="shared" si="190"/>
        <v>0.84491724300000004</v>
      </c>
      <c r="T848" s="43">
        <f t="shared" si="191"/>
        <v>3.503141361</v>
      </c>
      <c r="U848" s="43">
        <f t="shared" si="192"/>
        <v>8.721723463</v>
      </c>
      <c r="V848" s="43">
        <f t="shared" si="193"/>
        <v>5.7948059999999996E-3</v>
      </c>
      <c r="W848" s="230">
        <f t="shared" si="194"/>
        <v>8.5698826924283295E-2</v>
      </c>
      <c r="X848" s="43">
        <f t="shared" si="195"/>
        <v>0.86151276600000004</v>
      </c>
      <c r="Y848" s="43">
        <v>191.2394644</v>
      </c>
      <c r="Z848" s="43">
        <f t="shared" si="184"/>
        <v>0</v>
      </c>
      <c r="AA848" s="43">
        <f t="shared" si="185"/>
        <v>230820</v>
      </c>
      <c r="AB848" s="43">
        <f t="shared" si="186"/>
        <v>76507</v>
      </c>
      <c r="AC848" s="43">
        <f t="shared" si="196"/>
        <v>2.4487274902360415E-2</v>
      </c>
      <c r="AD848" s="43">
        <f t="shared" si="197"/>
        <v>0.89458291538016477</v>
      </c>
      <c r="AF848" s="43">
        <v>13.563569280673091</v>
      </c>
      <c r="AG848" s="43">
        <v>4.5202143E-2</v>
      </c>
      <c r="AH848" s="43">
        <v>1.2789226000000001E-2</v>
      </c>
      <c r="AI848" s="43">
        <v>0.84491724300000004</v>
      </c>
      <c r="AJ848" s="43">
        <v>3.503141361</v>
      </c>
      <c r="AK848" s="43">
        <v>8.721723463</v>
      </c>
      <c r="AL848" s="43">
        <v>5.7948059999999996E-3</v>
      </c>
      <c r="AM848" s="230">
        <v>8.5698826924283295E-2</v>
      </c>
      <c r="AN848" s="43">
        <v>0.86151276600000004</v>
      </c>
    </row>
    <row r="849" spans="1:40" x14ac:dyDescent="0.25">
      <c r="A849" s="134">
        <v>839</v>
      </c>
      <c r="B849" s="134" t="s">
        <v>217</v>
      </c>
      <c r="C849" s="134" t="s">
        <v>218</v>
      </c>
      <c r="D849" s="134" t="s">
        <v>219</v>
      </c>
      <c r="E849" s="134">
        <v>248</v>
      </c>
      <c r="F849" s="134">
        <v>629</v>
      </c>
      <c r="G849" s="134">
        <v>52</v>
      </c>
      <c r="H849" s="134">
        <v>921</v>
      </c>
      <c r="I849" s="200">
        <v>9.4727007441800001E-2</v>
      </c>
      <c r="J849" s="134">
        <v>1550</v>
      </c>
      <c r="K849" s="134">
        <v>16362.8097399</v>
      </c>
      <c r="L849" s="42">
        <v>0.81679884668400005</v>
      </c>
      <c r="M849" s="42">
        <v>0.78785286569699997</v>
      </c>
      <c r="N849" s="134">
        <v>1</v>
      </c>
      <c r="O849" s="43" t="s">
        <v>664</v>
      </c>
      <c r="P849" s="43">
        <f t="shared" si="187"/>
        <v>12.665749397139885</v>
      </c>
      <c r="Q849" s="43">
        <f t="shared" si="188"/>
        <v>3.8072054000000001E-2</v>
      </c>
      <c r="R849" s="43">
        <f t="shared" si="189"/>
        <v>1.1627866000000001E-2</v>
      </c>
      <c r="S849" s="43">
        <f t="shared" si="190"/>
        <v>0.81679884700000005</v>
      </c>
      <c r="T849" s="43">
        <f t="shared" si="191"/>
        <v>2.6633514169999999</v>
      </c>
      <c r="U849" s="43">
        <f t="shared" si="192"/>
        <v>7.2132711550000002</v>
      </c>
      <c r="V849" s="43">
        <f t="shared" si="193"/>
        <v>9.776458E-3</v>
      </c>
      <c r="W849" s="230">
        <f t="shared" si="194"/>
        <v>6.1010046463487351E-2</v>
      </c>
      <c r="X849" s="43">
        <f t="shared" si="195"/>
        <v>0.82142495500000001</v>
      </c>
      <c r="Y849" s="43">
        <v>193.17103689999999</v>
      </c>
      <c r="Z849" s="43">
        <f t="shared" si="184"/>
        <v>0</v>
      </c>
      <c r="AA849" s="43">
        <f t="shared" si="185"/>
        <v>230820</v>
      </c>
      <c r="AB849" s="43">
        <f t="shared" si="186"/>
        <v>76507</v>
      </c>
      <c r="AC849" s="43">
        <f t="shared" si="196"/>
        <v>2.4487274902360415E-2</v>
      </c>
      <c r="AD849" s="43">
        <f t="shared" si="197"/>
        <v>0.89458291538016477</v>
      </c>
      <c r="AF849" s="43">
        <v>12.665749397139885</v>
      </c>
      <c r="AG849" s="43">
        <v>3.8072054000000001E-2</v>
      </c>
      <c r="AH849" s="43">
        <v>1.1627866000000001E-2</v>
      </c>
      <c r="AI849" s="43">
        <v>0.81679884700000005</v>
      </c>
      <c r="AJ849" s="43">
        <v>2.6633514169999999</v>
      </c>
      <c r="AK849" s="43">
        <v>7.2132711550000002</v>
      </c>
      <c r="AL849" s="43">
        <v>9.776458E-3</v>
      </c>
      <c r="AM849" s="230">
        <v>6.1010046463487351E-2</v>
      </c>
      <c r="AN849" s="43">
        <v>0.82142495500000001</v>
      </c>
    </row>
    <row r="850" spans="1:40" x14ac:dyDescent="0.25">
      <c r="A850" s="134">
        <v>840</v>
      </c>
      <c r="B850" s="134" t="s">
        <v>217</v>
      </c>
      <c r="C850" s="134" t="s">
        <v>218</v>
      </c>
      <c r="D850" s="134" t="s">
        <v>219</v>
      </c>
      <c r="E850" s="134">
        <v>435</v>
      </c>
      <c r="F850" s="134">
        <v>1103</v>
      </c>
      <c r="G850" s="134">
        <v>137</v>
      </c>
      <c r="H850" s="134">
        <v>603</v>
      </c>
      <c r="I850" s="200">
        <v>0.24682978242</v>
      </c>
      <c r="J850" s="134">
        <v>1706</v>
      </c>
      <c r="K850" s="134">
        <v>6911.6456825900004</v>
      </c>
      <c r="L850" s="42">
        <v>0.85552522636399997</v>
      </c>
      <c r="M850" s="42">
        <v>0.58092485549100004</v>
      </c>
      <c r="N850" s="134">
        <v>0</v>
      </c>
      <c r="O850" s="43" t="s">
        <v>666</v>
      </c>
      <c r="P850" s="43">
        <f t="shared" si="187"/>
        <v>13.326242155120184</v>
      </c>
      <c r="Q850" s="43">
        <f t="shared" si="188"/>
        <v>4.6616589E-2</v>
      </c>
      <c r="R850" s="43">
        <f t="shared" si="189"/>
        <v>1.263238E-2</v>
      </c>
      <c r="S850" s="43">
        <f t="shared" si="190"/>
        <v>0.85552522600000003</v>
      </c>
      <c r="T850" s="43">
        <f t="shared" si="191"/>
        <v>3.420893054</v>
      </c>
      <c r="U850" s="43">
        <f t="shared" si="192"/>
        <v>8.5837756459999994</v>
      </c>
      <c r="V850" s="43">
        <f t="shared" si="193"/>
        <v>7.700559E-3</v>
      </c>
      <c r="W850" s="230">
        <f t="shared" si="194"/>
        <v>6.8718125151784992E-2</v>
      </c>
      <c r="X850" s="43">
        <f t="shared" si="195"/>
        <v>0.875182142</v>
      </c>
      <c r="Y850" s="43">
        <v>64.479869539999996</v>
      </c>
      <c r="Z850" s="43">
        <f t="shared" si="184"/>
        <v>0</v>
      </c>
      <c r="AA850" s="43">
        <f t="shared" si="185"/>
        <v>230820</v>
      </c>
      <c r="AB850" s="43">
        <f t="shared" si="186"/>
        <v>76507</v>
      </c>
      <c r="AC850" s="43">
        <f t="shared" si="196"/>
        <v>2.4487274902360415E-2</v>
      </c>
      <c r="AD850" s="43">
        <f t="shared" si="197"/>
        <v>0.89458291538016477</v>
      </c>
      <c r="AF850" s="43">
        <v>13.326242155120184</v>
      </c>
      <c r="AG850" s="43">
        <v>4.6616589E-2</v>
      </c>
      <c r="AH850" s="43">
        <v>1.263238E-2</v>
      </c>
      <c r="AI850" s="43">
        <v>0.85552522600000003</v>
      </c>
      <c r="AJ850" s="43">
        <v>3.420893054</v>
      </c>
      <c r="AK850" s="43">
        <v>8.5837756459999994</v>
      </c>
      <c r="AL850" s="43">
        <v>7.700559E-3</v>
      </c>
      <c r="AM850" s="230">
        <v>6.8718125151784992E-2</v>
      </c>
      <c r="AN850" s="43">
        <v>0.875182142</v>
      </c>
    </row>
    <row r="851" spans="1:40" x14ac:dyDescent="0.25">
      <c r="A851" s="134">
        <v>841</v>
      </c>
      <c r="B851" s="134" t="s">
        <v>217</v>
      </c>
      <c r="C851" s="134" t="s">
        <v>218</v>
      </c>
      <c r="D851" s="134" t="s">
        <v>219</v>
      </c>
      <c r="E851" s="134">
        <v>150</v>
      </c>
      <c r="F851" s="134">
        <v>413</v>
      </c>
      <c r="G851" s="134">
        <v>61</v>
      </c>
      <c r="H851" s="134">
        <v>1782</v>
      </c>
      <c r="I851" s="200">
        <v>0.10071287695</v>
      </c>
      <c r="J851" s="134">
        <v>2195</v>
      </c>
      <c r="K851" s="134">
        <v>21794.631098599999</v>
      </c>
      <c r="L851" s="42">
        <v>0.83317018142499999</v>
      </c>
      <c r="M851" s="42">
        <v>0.92236024844700004</v>
      </c>
      <c r="N851" s="134">
        <v>0</v>
      </c>
      <c r="O851" s="43" t="s">
        <v>664</v>
      </c>
      <c r="P851" s="43">
        <f t="shared" si="187"/>
        <v>12.266561322007801</v>
      </c>
      <c r="Q851" s="43">
        <f t="shared" si="188"/>
        <v>3.4175663000000002E-2</v>
      </c>
      <c r="R851" s="43">
        <f t="shared" si="189"/>
        <v>1.1406649E-2</v>
      </c>
      <c r="S851" s="43">
        <f t="shared" si="190"/>
        <v>0.83317018099999995</v>
      </c>
      <c r="T851" s="43">
        <f t="shared" si="191"/>
        <v>2.4600264790000002</v>
      </c>
      <c r="U851" s="43">
        <f t="shared" si="192"/>
        <v>7.485483372</v>
      </c>
      <c r="V851" s="43">
        <f t="shared" si="193"/>
        <v>1.0721955E-2</v>
      </c>
      <c r="W851" s="230">
        <f t="shared" si="194"/>
        <v>6.0022213994816734E-2</v>
      </c>
      <c r="X851" s="43">
        <f t="shared" si="195"/>
        <v>0.84633098900000003</v>
      </c>
      <c r="Y851" s="43">
        <v>80.953791089999996</v>
      </c>
      <c r="Z851" s="43">
        <f t="shared" si="184"/>
        <v>0</v>
      </c>
      <c r="AA851" s="43">
        <f t="shared" si="185"/>
        <v>230820</v>
      </c>
      <c r="AB851" s="43">
        <f t="shared" si="186"/>
        <v>76507</v>
      </c>
      <c r="AC851" s="43">
        <f t="shared" si="196"/>
        <v>2.4487274902360415E-2</v>
      </c>
      <c r="AD851" s="43">
        <f t="shared" si="197"/>
        <v>0.89458291538016477</v>
      </c>
      <c r="AF851" s="43">
        <v>12.266561322007801</v>
      </c>
      <c r="AG851" s="43">
        <v>3.4175663000000002E-2</v>
      </c>
      <c r="AH851" s="43">
        <v>1.1406649E-2</v>
      </c>
      <c r="AI851" s="43">
        <v>0.83317018099999995</v>
      </c>
      <c r="AJ851" s="43">
        <v>2.4600264790000002</v>
      </c>
      <c r="AK851" s="43">
        <v>7.485483372</v>
      </c>
      <c r="AL851" s="43">
        <v>1.0721955E-2</v>
      </c>
      <c r="AM851" s="230">
        <v>6.0022213994816734E-2</v>
      </c>
      <c r="AN851" s="43">
        <v>0.84633098900000003</v>
      </c>
    </row>
    <row r="852" spans="1:40" x14ac:dyDescent="0.25">
      <c r="A852" s="134">
        <v>842</v>
      </c>
      <c r="B852" s="134" t="s">
        <v>217</v>
      </c>
      <c r="C852" s="134" t="s">
        <v>218</v>
      </c>
      <c r="D852" s="134" t="s">
        <v>219</v>
      </c>
      <c r="E852" s="134">
        <v>176</v>
      </c>
      <c r="F852" s="134">
        <v>484</v>
      </c>
      <c r="G852" s="134">
        <v>34</v>
      </c>
      <c r="H852" s="134">
        <v>1364</v>
      </c>
      <c r="I852" s="200">
        <v>5.55121161249E-2</v>
      </c>
      <c r="J852" s="134">
        <v>1848</v>
      </c>
      <c r="K852" s="134">
        <v>33290.029799000004</v>
      </c>
      <c r="L852" s="42">
        <v>0.81188650545899999</v>
      </c>
      <c r="M852" s="42">
        <v>0.88571428571400002</v>
      </c>
      <c r="N852" s="134">
        <v>1</v>
      </c>
      <c r="O852" s="43" t="s">
        <v>627</v>
      </c>
      <c r="P852" s="43">
        <f t="shared" si="187"/>
        <v>12.201669464525553</v>
      </c>
      <c r="Q852" s="43">
        <f t="shared" si="188"/>
        <v>4.4166410000000003E-2</v>
      </c>
      <c r="R852" s="43">
        <f t="shared" si="189"/>
        <v>1.1905216E-2</v>
      </c>
      <c r="S852" s="43">
        <f t="shared" si="190"/>
        <v>0.81188650500000004</v>
      </c>
      <c r="T852" s="43">
        <f t="shared" si="191"/>
        <v>2.7281610029999999</v>
      </c>
      <c r="U852" s="43">
        <f t="shared" si="192"/>
        <v>7.4124696869999998</v>
      </c>
      <c r="V852" s="43">
        <f t="shared" si="193"/>
        <v>1.1072729999999999E-2</v>
      </c>
      <c r="W852" s="230">
        <f t="shared" si="194"/>
        <v>7.2464865376425477E-2</v>
      </c>
      <c r="X852" s="43">
        <f t="shared" si="195"/>
        <v>0.80398429000000005</v>
      </c>
      <c r="Y852" s="43">
        <v>57.12496745</v>
      </c>
      <c r="Z852" s="43">
        <f t="shared" si="184"/>
        <v>0</v>
      </c>
      <c r="AA852" s="43">
        <f t="shared" si="185"/>
        <v>230820</v>
      </c>
      <c r="AB852" s="43">
        <f t="shared" si="186"/>
        <v>76507</v>
      </c>
      <c r="AC852" s="43">
        <f t="shared" si="196"/>
        <v>2.4487274902360415E-2</v>
      </c>
      <c r="AD852" s="43">
        <f t="shared" si="197"/>
        <v>0.89458291538016477</v>
      </c>
      <c r="AF852" s="43">
        <v>12.201669464525553</v>
      </c>
      <c r="AG852" s="43">
        <v>4.4166410000000003E-2</v>
      </c>
      <c r="AH852" s="43">
        <v>1.1905216E-2</v>
      </c>
      <c r="AI852" s="43">
        <v>0.81188650500000004</v>
      </c>
      <c r="AJ852" s="43">
        <v>2.7281610029999999</v>
      </c>
      <c r="AK852" s="43">
        <v>7.4124696869999998</v>
      </c>
      <c r="AL852" s="43">
        <v>1.1072729999999999E-2</v>
      </c>
      <c r="AM852" s="230">
        <v>7.2464865376425477E-2</v>
      </c>
      <c r="AN852" s="43">
        <v>0.80398429000000005</v>
      </c>
    </row>
    <row r="853" spans="1:40" x14ac:dyDescent="0.25">
      <c r="A853" s="134">
        <v>843</v>
      </c>
      <c r="B853" s="134" t="s">
        <v>217</v>
      </c>
      <c r="C853" s="134" t="s">
        <v>218</v>
      </c>
      <c r="D853" s="134" t="s">
        <v>219</v>
      </c>
      <c r="E853" s="134">
        <v>2245</v>
      </c>
      <c r="F853" s="134">
        <v>6181</v>
      </c>
      <c r="G853" s="134">
        <v>103</v>
      </c>
      <c r="H853" s="134">
        <v>666</v>
      </c>
      <c r="I853" s="200">
        <v>0.17015994639900001</v>
      </c>
      <c r="J853" s="134">
        <v>6847</v>
      </c>
      <c r="K853" s="134">
        <v>40238.611641000003</v>
      </c>
      <c r="L853" s="42">
        <v>0.79929236967999995</v>
      </c>
      <c r="M853" s="42">
        <v>0.228787358296</v>
      </c>
      <c r="N853" s="134">
        <v>0</v>
      </c>
      <c r="O853" s="43" t="s">
        <v>664</v>
      </c>
      <c r="P853" s="43">
        <f t="shared" si="187"/>
        <v>12.466419258710255</v>
      </c>
      <c r="Q853" s="43">
        <f t="shared" si="188"/>
        <v>4.5581297999999999E-2</v>
      </c>
      <c r="R853" s="43">
        <f t="shared" si="189"/>
        <v>1.5744984E-2</v>
      </c>
      <c r="S853" s="43">
        <f t="shared" si="190"/>
        <v>0.79929236999999997</v>
      </c>
      <c r="T853" s="43">
        <f t="shared" si="191"/>
        <v>2.9396880419999998</v>
      </c>
      <c r="U853" s="43">
        <f t="shared" si="192"/>
        <v>7.7083834209999997</v>
      </c>
      <c r="V853" s="43">
        <f t="shared" si="193"/>
        <v>1.3317757E-2</v>
      </c>
      <c r="W853" s="230">
        <f t="shared" si="194"/>
        <v>7.6184227371655353E-2</v>
      </c>
      <c r="X853" s="43">
        <f t="shared" si="195"/>
        <v>0.81599987200000001</v>
      </c>
      <c r="Y853" s="43">
        <v>87.543884199999994</v>
      </c>
      <c r="Z853" s="43">
        <f t="shared" si="184"/>
        <v>0</v>
      </c>
      <c r="AA853" s="43">
        <f t="shared" si="185"/>
        <v>230820</v>
      </c>
      <c r="AB853" s="43">
        <f t="shared" si="186"/>
        <v>76507</v>
      </c>
      <c r="AC853" s="43">
        <f t="shared" si="196"/>
        <v>2.4487274902360415E-2</v>
      </c>
      <c r="AD853" s="43">
        <f t="shared" si="197"/>
        <v>0.89458291538016477</v>
      </c>
      <c r="AF853" s="43">
        <v>12.466419258710255</v>
      </c>
      <c r="AG853" s="43">
        <v>4.5581297999999999E-2</v>
      </c>
      <c r="AH853" s="43">
        <v>1.5744984E-2</v>
      </c>
      <c r="AI853" s="43">
        <v>0.79929236999999997</v>
      </c>
      <c r="AJ853" s="43">
        <v>2.9396880419999998</v>
      </c>
      <c r="AK853" s="43">
        <v>7.7083834209999997</v>
      </c>
      <c r="AL853" s="43">
        <v>1.3317757E-2</v>
      </c>
      <c r="AM853" s="230">
        <v>7.6184227371655353E-2</v>
      </c>
      <c r="AN853" s="43">
        <v>0.81599987200000001</v>
      </c>
    </row>
    <row r="854" spans="1:40" x14ac:dyDescent="0.25">
      <c r="A854" s="134">
        <v>844</v>
      </c>
      <c r="B854" s="134" t="s">
        <v>217</v>
      </c>
      <c r="C854" s="134" t="s">
        <v>218</v>
      </c>
      <c r="D854" s="134" t="s">
        <v>219</v>
      </c>
      <c r="E854" s="134">
        <v>0</v>
      </c>
      <c r="F854" s="134">
        <v>0</v>
      </c>
      <c r="G854" s="134">
        <v>40</v>
      </c>
      <c r="H854" s="134">
        <v>1271</v>
      </c>
      <c r="I854" s="200">
        <v>6.6522015441000004E-2</v>
      </c>
      <c r="J854" s="134">
        <v>1271</v>
      </c>
      <c r="K854" s="134">
        <v>19106.456585399999</v>
      </c>
      <c r="L854" s="42">
        <v>0.80777395052599998</v>
      </c>
      <c r="M854" s="42">
        <v>1</v>
      </c>
      <c r="N854" s="134">
        <v>1</v>
      </c>
      <c r="O854" s="43" t="s">
        <v>627</v>
      </c>
      <c r="P854" s="43">
        <f t="shared" si="187"/>
        <v>12.032332717322932</v>
      </c>
      <c r="Q854" s="43">
        <f t="shared" si="188"/>
        <v>4.2252420999999998E-2</v>
      </c>
      <c r="R854" s="43">
        <f t="shared" si="189"/>
        <v>9.9233610000000003E-3</v>
      </c>
      <c r="S854" s="43">
        <f t="shared" si="190"/>
        <v>0.80777395100000005</v>
      </c>
      <c r="T854" s="43">
        <f t="shared" si="191"/>
        <v>2.1715646039999998</v>
      </c>
      <c r="U854" s="43">
        <f t="shared" si="192"/>
        <v>6.4555432330000002</v>
      </c>
      <c r="V854" s="43">
        <f t="shared" si="193"/>
        <v>9.9973340000000001E-3</v>
      </c>
      <c r="W854" s="230">
        <f t="shared" si="194"/>
        <v>7.7146094374833371E-2</v>
      </c>
      <c r="X854" s="43">
        <f t="shared" si="195"/>
        <v>0.790589176</v>
      </c>
      <c r="Y854" s="43">
        <v>86.862738719999996</v>
      </c>
      <c r="Z854" s="43">
        <f t="shared" si="184"/>
        <v>0</v>
      </c>
      <c r="AA854" s="43">
        <f t="shared" si="185"/>
        <v>230820</v>
      </c>
      <c r="AB854" s="43">
        <f t="shared" si="186"/>
        <v>76507</v>
      </c>
      <c r="AC854" s="43">
        <f t="shared" si="196"/>
        <v>2.4487274902360415E-2</v>
      </c>
      <c r="AD854" s="43">
        <f t="shared" si="197"/>
        <v>0.89458291538016477</v>
      </c>
      <c r="AF854" s="43">
        <v>12.032332717322932</v>
      </c>
      <c r="AG854" s="43">
        <v>4.2252420999999998E-2</v>
      </c>
      <c r="AH854" s="43">
        <v>9.9233610000000003E-3</v>
      </c>
      <c r="AI854" s="43">
        <v>0.80777395100000005</v>
      </c>
      <c r="AJ854" s="43">
        <v>2.1715646039999998</v>
      </c>
      <c r="AK854" s="43">
        <v>6.4555432330000002</v>
      </c>
      <c r="AL854" s="43">
        <v>9.9973340000000001E-3</v>
      </c>
      <c r="AM854" s="230">
        <v>7.7146094374833371E-2</v>
      </c>
      <c r="AN854" s="43">
        <v>0.790589176</v>
      </c>
    </row>
    <row r="855" spans="1:40" x14ac:dyDescent="0.25">
      <c r="A855" s="134">
        <v>845</v>
      </c>
      <c r="B855" s="134" t="s">
        <v>217</v>
      </c>
      <c r="C855" s="134" t="s">
        <v>218</v>
      </c>
      <c r="D855" s="134" t="s">
        <v>219</v>
      </c>
      <c r="E855" s="134">
        <v>100</v>
      </c>
      <c r="F855" s="134">
        <v>275</v>
      </c>
      <c r="G855" s="134">
        <v>112</v>
      </c>
      <c r="H855" s="134">
        <v>4073</v>
      </c>
      <c r="I855" s="200">
        <v>0.18573685915599999</v>
      </c>
      <c r="J855" s="134">
        <v>4348</v>
      </c>
      <c r="K855" s="134">
        <v>23409.462288499999</v>
      </c>
      <c r="L855" s="42">
        <v>0.82090690789599996</v>
      </c>
      <c r="M855" s="42">
        <v>0.97603642463499996</v>
      </c>
      <c r="N855" s="134">
        <v>1</v>
      </c>
      <c r="O855" s="43" t="s">
        <v>627</v>
      </c>
      <c r="P855" s="43">
        <f t="shared" si="187"/>
        <v>12.421049733116195</v>
      </c>
      <c r="Q855" s="43">
        <f t="shared" si="188"/>
        <v>3.1509633000000002E-2</v>
      </c>
      <c r="R855" s="43">
        <f t="shared" si="189"/>
        <v>1.0693585E-2</v>
      </c>
      <c r="S855" s="43">
        <f t="shared" si="190"/>
        <v>0.82090690799999999</v>
      </c>
      <c r="T855" s="43">
        <f t="shared" si="191"/>
        <v>2.3192005980000001</v>
      </c>
      <c r="U855" s="43">
        <f t="shared" si="192"/>
        <v>6.8266488809999997</v>
      </c>
      <c r="V855" s="43">
        <f t="shared" si="193"/>
        <v>1.0596608E-2</v>
      </c>
      <c r="W855" s="230">
        <f t="shared" si="194"/>
        <v>6.5703671191648105E-2</v>
      </c>
      <c r="X855" s="43">
        <f t="shared" si="195"/>
        <v>0.82718986100000003</v>
      </c>
      <c r="Y855" s="43">
        <v>80.85378335</v>
      </c>
      <c r="Z855" s="43">
        <f t="shared" si="184"/>
        <v>0</v>
      </c>
      <c r="AA855" s="43">
        <f t="shared" si="185"/>
        <v>230820</v>
      </c>
      <c r="AB855" s="43">
        <f t="shared" si="186"/>
        <v>76507</v>
      </c>
      <c r="AC855" s="43">
        <f t="shared" si="196"/>
        <v>2.4487274902360415E-2</v>
      </c>
      <c r="AD855" s="43">
        <f t="shared" si="197"/>
        <v>0.89458291538016477</v>
      </c>
      <c r="AF855" s="43">
        <v>12.421049733116195</v>
      </c>
      <c r="AG855" s="43">
        <v>3.1509633000000002E-2</v>
      </c>
      <c r="AH855" s="43">
        <v>1.0693585E-2</v>
      </c>
      <c r="AI855" s="43">
        <v>0.82090690799999999</v>
      </c>
      <c r="AJ855" s="43">
        <v>2.3192005980000001</v>
      </c>
      <c r="AK855" s="43">
        <v>6.8266488809999997</v>
      </c>
      <c r="AL855" s="43">
        <v>1.0596608E-2</v>
      </c>
      <c r="AM855" s="230">
        <v>6.5703671191648105E-2</v>
      </c>
      <c r="AN855" s="43">
        <v>0.82718986100000003</v>
      </c>
    </row>
    <row r="856" spans="1:40" x14ac:dyDescent="0.25">
      <c r="A856" s="134">
        <v>846</v>
      </c>
      <c r="B856" s="134" t="s">
        <v>217</v>
      </c>
      <c r="C856" s="134" t="s">
        <v>218</v>
      </c>
      <c r="D856" s="134" t="s">
        <v>219</v>
      </c>
      <c r="E856" s="134">
        <v>1201</v>
      </c>
      <c r="F856" s="134">
        <v>3547</v>
      </c>
      <c r="G856" s="134">
        <v>186</v>
      </c>
      <c r="H856" s="134">
        <v>415</v>
      </c>
      <c r="I856" s="200">
        <v>0.28139651719600001</v>
      </c>
      <c r="J856" s="134">
        <v>3962</v>
      </c>
      <c r="K856" s="134">
        <v>14079.7762513</v>
      </c>
      <c r="L856" s="42">
        <v>0.87089337340399997</v>
      </c>
      <c r="M856" s="42">
        <v>0.25680693069299998</v>
      </c>
      <c r="N856" s="134">
        <v>0</v>
      </c>
      <c r="O856" s="43" t="s">
        <v>666</v>
      </c>
      <c r="P856" s="43">
        <f t="shared" si="187"/>
        <v>13.007038331499249</v>
      </c>
      <c r="Q856" s="43">
        <f t="shared" si="188"/>
        <v>3.1925986000000003E-2</v>
      </c>
      <c r="R856" s="43">
        <f t="shared" si="189"/>
        <v>1.416679E-2</v>
      </c>
      <c r="S856" s="43">
        <f t="shared" si="190"/>
        <v>0.87089337300000003</v>
      </c>
      <c r="T856" s="43">
        <f t="shared" si="191"/>
        <v>3.1945703640000001</v>
      </c>
      <c r="U856" s="43">
        <f t="shared" si="192"/>
        <v>8.9171540090000008</v>
      </c>
      <c r="V856" s="43">
        <f t="shared" si="193"/>
        <v>5.738964E-3</v>
      </c>
      <c r="W856" s="230">
        <f t="shared" si="194"/>
        <v>4.7866625436973599E-2</v>
      </c>
      <c r="X856" s="43">
        <f t="shared" si="195"/>
        <v>0.90898894699999999</v>
      </c>
      <c r="Y856" s="43">
        <v>134.94065470000001</v>
      </c>
      <c r="Z856" s="43">
        <f t="shared" si="184"/>
        <v>0</v>
      </c>
      <c r="AA856" s="43">
        <f t="shared" si="185"/>
        <v>230820</v>
      </c>
      <c r="AB856" s="43">
        <f t="shared" si="186"/>
        <v>76507</v>
      </c>
      <c r="AC856" s="43">
        <f t="shared" si="196"/>
        <v>2.4487274902360415E-2</v>
      </c>
      <c r="AD856" s="43">
        <f t="shared" si="197"/>
        <v>0.89458291538016477</v>
      </c>
      <c r="AF856" s="43">
        <v>13.007038331499249</v>
      </c>
      <c r="AG856" s="43">
        <v>3.1925986000000003E-2</v>
      </c>
      <c r="AH856" s="43">
        <v>1.416679E-2</v>
      </c>
      <c r="AI856" s="43">
        <v>0.87089337300000003</v>
      </c>
      <c r="AJ856" s="43">
        <v>3.1945703640000001</v>
      </c>
      <c r="AK856" s="43">
        <v>8.9171540090000008</v>
      </c>
      <c r="AL856" s="43">
        <v>5.738964E-3</v>
      </c>
      <c r="AM856" s="230">
        <v>4.7866625436973599E-2</v>
      </c>
      <c r="AN856" s="43">
        <v>0.90898894699999999</v>
      </c>
    </row>
    <row r="857" spans="1:40" x14ac:dyDescent="0.25">
      <c r="A857" s="134">
        <v>847</v>
      </c>
      <c r="B857" s="134" t="s">
        <v>217</v>
      </c>
      <c r="C857" s="134" t="s">
        <v>218</v>
      </c>
      <c r="D857" s="134" t="s">
        <v>219</v>
      </c>
      <c r="E857" s="134">
        <v>847</v>
      </c>
      <c r="F857" s="134">
        <v>2502</v>
      </c>
      <c r="G857" s="134">
        <v>171</v>
      </c>
      <c r="H857" s="134">
        <v>483</v>
      </c>
      <c r="I857" s="200">
        <v>0.25816168129299999</v>
      </c>
      <c r="J857" s="134">
        <v>2985</v>
      </c>
      <c r="K857" s="134">
        <v>11562.521537099999</v>
      </c>
      <c r="L857" s="42">
        <v>0.86216495529600001</v>
      </c>
      <c r="M857" s="42">
        <v>0.363157894737</v>
      </c>
      <c r="N857" s="134">
        <v>1</v>
      </c>
      <c r="O857" s="43" t="s">
        <v>666</v>
      </c>
      <c r="P857" s="43">
        <f t="shared" si="187"/>
        <v>13.027496206865347</v>
      </c>
      <c r="Q857" s="43">
        <f t="shared" si="188"/>
        <v>3.2073271E-2</v>
      </c>
      <c r="R857" s="43">
        <f t="shared" si="189"/>
        <v>1.4218125999999999E-2</v>
      </c>
      <c r="S857" s="43">
        <f t="shared" si="190"/>
        <v>0.86216495500000001</v>
      </c>
      <c r="T857" s="43">
        <f t="shared" si="191"/>
        <v>3.1712777330000002</v>
      </c>
      <c r="U857" s="43">
        <f t="shared" si="192"/>
        <v>8.8151599209999993</v>
      </c>
      <c r="V857" s="43">
        <f t="shared" si="193"/>
        <v>6.3451699999999998E-3</v>
      </c>
      <c r="W857" s="230">
        <f t="shared" si="194"/>
        <v>4.6876297948203478E-2</v>
      </c>
      <c r="X857" s="43">
        <f t="shared" si="195"/>
        <v>0.89670728499999997</v>
      </c>
      <c r="Y857" s="43">
        <v>108.29483329999999</v>
      </c>
      <c r="Z857" s="43">
        <f t="shared" si="184"/>
        <v>0</v>
      </c>
      <c r="AA857" s="43">
        <f t="shared" si="185"/>
        <v>230820</v>
      </c>
      <c r="AB857" s="43">
        <f t="shared" si="186"/>
        <v>76507</v>
      </c>
      <c r="AC857" s="43">
        <f t="shared" si="196"/>
        <v>2.4487274902360415E-2</v>
      </c>
      <c r="AD857" s="43">
        <f t="shared" si="197"/>
        <v>0.89458291538016477</v>
      </c>
      <c r="AF857" s="43">
        <v>13.027496206865347</v>
      </c>
      <c r="AG857" s="43">
        <v>3.2073271E-2</v>
      </c>
      <c r="AH857" s="43">
        <v>1.4218125999999999E-2</v>
      </c>
      <c r="AI857" s="43">
        <v>0.86216495500000001</v>
      </c>
      <c r="AJ857" s="43">
        <v>3.1712777330000002</v>
      </c>
      <c r="AK857" s="43">
        <v>8.8151599209999993</v>
      </c>
      <c r="AL857" s="43">
        <v>6.3451699999999998E-3</v>
      </c>
      <c r="AM857" s="230">
        <v>4.6876297948203478E-2</v>
      </c>
      <c r="AN857" s="43">
        <v>0.89670728499999997</v>
      </c>
    </row>
    <row r="858" spans="1:40" x14ac:dyDescent="0.25">
      <c r="A858" s="134">
        <v>848</v>
      </c>
      <c r="B858" s="134" t="s">
        <v>217</v>
      </c>
      <c r="C858" s="134" t="s">
        <v>218</v>
      </c>
      <c r="D858" s="134" t="s">
        <v>219</v>
      </c>
      <c r="E858" s="134">
        <v>276</v>
      </c>
      <c r="F858" s="134">
        <v>816</v>
      </c>
      <c r="G858" s="134">
        <v>75</v>
      </c>
      <c r="H858" s="134">
        <v>6</v>
      </c>
      <c r="I858" s="200">
        <v>0.114064685022</v>
      </c>
      <c r="J858" s="134">
        <v>822</v>
      </c>
      <c r="K858" s="134">
        <v>7206.4372933699997</v>
      </c>
      <c r="L858" s="42">
        <v>0.88005562271399995</v>
      </c>
      <c r="M858" s="42">
        <v>2.1276595744699998E-2</v>
      </c>
      <c r="N858" s="134">
        <v>0</v>
      </c>
      <c r="O858" s="43" t="s">
        <v>666</v>
      </c>
      <c r="P858" s="43">
        <f t="shared" si="187"/>
        <v>13.518871755487758</v>
      </c>
      <c r="Q858" s="43">
        <f t="shared" si="188"/>
        <v>3.7110779000000003E-2</v>
      </c>
      <c r="R858" s="43">
        <f t="shared" si="189"/>
        <v>1.4435042E-2</v>
      </c>
      <c r="S858" s="43">
        <f t="shared" si="190"/>
        <v>0.88005562299999995</v>
      </c>
      <c r="T858" s="43">
        <f t="shared" si="191"/>
        <v>3.7463866920000002</v>
      </c>
      <c r="U858" s="43">
        <f t="shared" si="192"/>
        <v>10.033526439999999</v>
      </c>
      <c r="V858" s="43">
        <f t="shared" si="193"/>
        <v>8.12812E-4</v>
      </c>
      <c r="W858" s="230">
        <f t="shared" si="194"/>
        <v>5.722800891083147E-2</v>
      </c>
      <c r="X858" s="43">
        <f t="shared" si="195"/>
        <v>0.89580950100000001</v>
      </c>
      <c r="Y858" s="43">
        <v>124.0651927</v>
      </c>
      <c r="Z858" s="43">
        <f t="shared" si="184"/>
        <v>0</v>
      </c>
      <c r="AA858" s="43">
        <f t="shared" si="185"/>
        <v>230820</v>
      </c>
      <c r="AB858" s="43">
        <f t="shared" si="186"/>
        <v>76507</v>
      </c>
      <c r="AC858" s="43">
        <f t="shared" si="196"/>
        <v>2.4487274902360415E-2</v>
      </c>
      <c r="AD858" s="43">
        <f t="shared" si="197"/>
        <v>0.89458291538016477</v>
      </c>
      <c r="AF858" s="43">
        <v>13.518871755487758</v>
      </c>
      <c r="AG858" s="43">
        <v>3.7110779000000003E-2</v>
      </c>
      <c r="AH858" s="43">
        <v>1.4435042E-2</v>
      </c>
      <c r="AI858" s="43">
        <v>0.88005562299999995</v>
      </c>
      <c r="AJ858" s="43">
        <v>3.7463866920000002</v>
      </c>
      <c r="AK858" s="43">
        <v>10.033526439999999</v>
      </c>
      <c r="AL858" s="43">
        <v>8.12812E-4</v>
      </c>
      <c r="AM858" s="230">
        <v>5.722800891083147E-2</v>
      </c>
      <c r="AN858" s="43">
        <v>0.89580950100000001</v>
      </c>
    </row>
    <row r="859" spans="1:40" x14ac:dyDescent="0.25">
      <c r="A859" s="134">
        <v>849</v>
      </c>
      <c r="B859" s="134" t="s">
        <v>217</v>
      </c>
      <c r="C859" s="134" t="s">
        <v>218</v>
      </c>
      <c r="D859" s="134" t="s">
        <v>219</v>
      </c>
      <c r="E859" s="134">
        <v>90</v>
      </c>
      <c r="F859" s="134">
        <v>266</v>
      </c>
      <c r="G859" s="134">
        <v>83</v>
      </c>
      <c r="H859" s="134">
        <v>363</v>
      </c>
      <c r="I859" s="200">
        <v>0.125314688975</v>
      </c>
      <c r="J859" s="134">
        <v>629</v>
      </c>
      <c r="K859" s="134">
        <v>5019.3636926899999</v>
      </c>
      <c r="L859" s="42">
        <v>0.86435401378700005</v>
      </c>
      <c r="M859" s="42">
        <v>0.80132450331100002</v>
      </c>
      <c r="N859" s="134">
        <v>0</v>
      </c>
      <c r="O859" s="43" t="s">
        <v>664</v>
      </c>
      <c r="P859" s="43">
        <f t="shared" si="187"/>
        <v>12.368918329498804</v>
      </c>
      <c r="Q859" s="43">
        <f t="shared" si="188"/>
        <v>2.2338124000000001E-2</v>
      </c>
      <c r="R859" s="43">
        <f t="shared" si="189"/>
        <v>1.1704773E-2</v>
      </c>
      <c r="S859" s="43">
        <f t="shared" si="190"/>
        <v>0.864354014</v>
      </c>
      <c r="T859" s="43">
        <f t="shared" si="191"/>
        <v>2.8210890229999999</v>
      </c>
      <c r="U859" s="43">
        <f t="shared" si="192"/>
        <v>8.6219464319999997</v>
      </c>
      <c r="V859" s="43">
        <f t="shared" si="193"/>
        <v>7.1387070000000002E-3</v>
      </c>
      <c r="W859" s="230">
        <f t="shared" si="194"/>
        <v>2.5234498215323312E-2</v>
      </c>
      <c r="X859" s="43">
        <f t="shared" si="195"/>
        <v>0.889516062</v>
      </c>
      <c r="Y859" s="43">
        <v>137.66877489999999</v>
      </c>
      <c r="Z859" s="43">
        <f t="shared" si="184"/>
        <v>0</v>
      </c>
      <c r="AA859" s="43">
        <f t="shared" si="185"/>
        <v>230820</v>
      </c>
      <c r="AB859" s="43">
        <f t="shared" si="186"/>
        <v>76507</v>
      </c>
      <c r="AC859" s="43">
        <f t="shared" si="196"/>
        <v>2.4487274902360415E-2</v>
      </c>
      <c r="AD859" s="43">
        <f t="shared" si="197"/>
        <v>0.89458291538016477</v>
      </c>
      <c r="AF859" s="43">
        <v>12.368918329498804</v>
      </c>
      <c r="AG859" s="43">
        <v>2.2338124000000001E-2</v>
      </c>
      <c r="AH859" s="43">
        <v>1.1704773E-2</v>
      </c>
      <c r="AI859" s="43">
        <v>0.864354014</v>
      </c>
      <c r="AJ859" s="43">
        <v>2.8210890229999999</v>
      </c>
      <c r="AK859" s="43">
        <v>8.6219464319999997</v>
      </c>
      <c r="AL859" s="43">
        <v>7.1387070000000002E-3</v>
      </c>
      <c r="AM859" s="230">
        <v>2.5234498215323312E-2</v>
      </c>
      <c r="AN859" s="43">
        <v>0.889516062</v>
      </c>
    </row>
    <row r="860" spans="1:40" x14ac:dyDescent="0.25">
      <c r="A860" s="134">
        <v>850</v>
      </c>
      <c r="B860" s="134" t="s">
        <v>217</v>
      </c>
      <c r="C860" s="134" t="s">
        <v>218</v>
      </c>
      <c r="D860" s="134" t="s">
        <v>219</v>
      </c>
      <c r="E860" s="134">
        <v>601</v>
      </c>
      <c r="F860" s="134">
        <v>1850</v>
      </c>
      <c r="G860" s="134">
        <v>172</v>
      </c>
      <c r="H860" s="134">
        <v>360</v>
      </c>
      <c r="I860" s="200">
        <v>0.267356404948</v>
      </c>
      <c r="J860" s="134">
        <v>2210</v>
      </c>
      <c r="K860" s="134">
        <v>8266.1195284500009</v>
      </c>
      <c r="L860" s="42">
        <v>0.85998852580499996</v>
      </c>
      <c r="M860" s="42">
        <v>0.374609781478</v>
      </c>
      <c r="N860" s="134">
        <v>0</v>
      </c>
      <c r="O860" s="43" t="s">
        <v>666</v>
      </c>
      <c r="P860" s="43">
        <f t="shared" si="187"/>
        <v>12.747757081143307</v>
      </c>
      <c r="Q860" s="43">
        <f t="shared" si="188"/>
        <v>1.5535581999999999E-2</v>
      </c>
      <c r="R860" s="43">
        <f t="shared" si="189"/>
        <v>3.3229746999999997E-2</v>
      </c>
      <c r="S860" s="43">
        <f t="shared" si="190"/>
        <v>0.85998852599999998</v>
      </c>
      <c r="T860" s="43">
        <f t="shared" si="191"/>
        <v>2.9679346459999998</v>
      </c>
      <c r="U860" s="43">
        <f t="shared" si="192"/>
        <v>8.8296576570000003</v>
      </c>
      <c r="V860" s="43">
        <f t="shared" si="193"/>
        <v>5.4382379999999998E-3</v>
      </c>
      <c r="W860" s="230">
        <f t="shared" si="194"/>
        <v>2.4502139212013954E-2</v>
      </c>
      <c r="X860" s="43">
        <f t="shared" si="195"/>
        <v>0.92523067400000003</v>
      </c>
      <c r="Y860" s="43">
        <v>114.9017387</v>
      </c>
      <c r="Z860" s="43">
        <f t="shared" si="184"/>
        <v>0</v>
      </c>
      <c r="AA860" s="43">
        <f t="shared" si="185"/>
        <v>230820</v>
      </c>
      <c r="AB860" s="43">
        <f t="shared" si="186"/>
        <v>76507</v>
      </c>
      <c r="AC860" s="43">
        <f t="shared" si="196"/>
        <v>2.4487274902360415E-2</v>
      </c>
      <c r="AD860" s="43">
        <f t="shared" si="197"/>
        <v>0.89458291538016477</v>
      </c>
      <c r="AF860" s="43">
        <v>12.747757081143307</v>
      </c>
      <c r="AG860" s="43">
        <v>1.5535581999999999E-2</v>
      </c>
      <c r="AH860" s="43">
        <v>3.3229746999999997E-2</v>
      </c>
      <c r="AI860" s="43">
        <v>0.85998852599999998</v>
      </c>
      <c r="AJ860" s="43">
        <v>2.9679346459999998</v>
      </c>
      <c r="AK860" s="43">
        <v>8.8296576570000003</v>
      </c>
      <c r="AL860" s="43">
        <v>5.4382379999999998E-3</v>
      </c>
      <c r="AM860" s="230">
        <v>2.4502139212013954E-2</v>
      </c>
      <c r="AN860" s="43">
        <v>0.92523067400000003</v>
      </c>
    </row>
    <row r="861" spans="1:40" x14ac:dyDescent="0.25">
      <c r="A861" s="134">
        <v>851</v>
      </c>
      <c r="B861" s="134" t="s">
        <v>217</v>
      </c>
      <c r="C861" s="134" t="s">
        <v>218</v>
      </c>
      <c r="D861" s="134" t="s">
        <v>219</v>
      </c>
      <c r="E861" s="134">
        <v>1122</v>
      </c>
      <c r="F861" s="134">
        <v>3451</v>
      </c>
      <c r="G861" s="134">
        <v>160</v>
      </c>
      <c r="H861" s="134">
        <v>247</v>
      </c>
      <c r="I861" s="200">
        <v>0.24881609382799999</v>
      </c>
      <c r="J861" s="134">
        <v>3698</v>
      </c>
      <c r="K861" s="134">
        <v>14862.3826663</v>
      </c>
      <c r="L861" s="42">
        <v>0.846832880663</v>
      </c>
      <c r="M861" s="42">
        <v>0.18042366691</v>
      </c>
      <c r="N861" s="134">
        <v>0</v>
      </c>
      <c r="O861" s="43" t="s">
        <v>666</v>
      </c>
      <c r="P861" s="43">
        <f t="shared" si="187"/>
        <v>12.885382218605296</v>
      </c>
      <c r="Q861" s="43">
        <f t="shared" si="188"/>
        <v>3.3143463999999997E-2</v>
      </c>
      <c r="R861" s="43">
        <f t="shared" si="189"/>
        <v>2.7124678999999999E-2</v>
      </c>
      <c r="S861" s="43">
        <f t="shared" si="190"/>
        <v>0.84683288099999998</v>
      </c>
      <c r="T861" s="43">
        <f t="shared" si="191"/>
        <v>2.9467482569999999</v>
      </c>
      <c r="U861" s="43">
        <f t="shared" si="192"/>
        <v>8.6711365059999999</v>
      </c>
      <c r="V861" s="43">
        <f t="shared" si="193"/>
        <v>5.295157E-3</v>
      </c>
      <c r="W861" s="230">
        <f t="shared" si="194"/>
        <v>5.6216119081134504E-2</v>
      </c>
      <c r="X861" s="43">
        <f t="shared" si="195"/>
        <v>0.89797837599999997</v>
      </c>
      <c r="Y861" s="43">
        <v>80.446800499999995</v>
      </c>
      <c r="Z861" s="43">
        <f t="shared" si="184"/>
        <v>0</v>
      </c>
      <c r="AA861" s="43">
        <f t="shared" si="185"/>
        <v>230820</v>
      </c>
      <c r="AB861" s="43">
        <f t="shared" si="186"/>
        <v>76507</v>
      </c>
      <c r="AC861" s="43">
        <f t="shared" si="196"/>
        <v>2.4487274902360415E-2</v>
      </c>
      <c r="AD861" s="43">
        <f t="shared" si="197"/>
        <v>0.89458291538016477</v>
      </c>
      <c r="AF861" s="43">
        <v>12.885382218605296</v>
      </c>
      <c r="AG861" s="43">
        <v>3.3143463999999997E-2</v>
      </c>
      <c r="AH861" s="43">
        <v>2.7124678999999999E-2</v>
      </c>
      <c r="AI861" s="43">
        <v>0.84683288099999998</v>
      </c>
      <c r="AJ861" s="43">
        <v>2.9467482569999999</v>
      </c>
      <c r="AK861" s="43">
        <v>8.6711365059999999</v>
      </c>
      <c r="AL861" s="43">
        <v>5.295157E-3</v>
      </c>
      <c r="AM861" s="230">
        <v>5.6216119081134504E-2</v>
      </c>
      <c r="AN861" s="43">
        <v>0.89797837599999997</v>
      </c>
    </row>
    <row r="862" spans="1:40" x14ac:dyDescent="0.25">
      <c r="A862" s="134">
        <v>852</v>
      </c>
      <c r="B862" s="134" t="s">
        <v>217</v>
      </c>
      <c r="C862" s="134" t="s">
        <v>218</v>
      </c>
      <c r="D862" s="134" t="s">
        <v>219</v>
      </c>
      <c r="E862" s="134">
        <v>730</v>
      </c>
      <c r="F862" s="134">
        <v>2246</v>
      </c>
      <c r="G862" s="134">
        <v>157</v>
      </c>
      <c r="H862" s="134">
        <v>181</v>
      </c>
      <c r="I862" s="200">
        <v>0.24377489451000001</v>
      </c>
      <c r="J862" s="134">
        <v>2427</v>
      </c>
      <c r="K862" s="134">
        <v>9955.9062670500007</v>
      </c>
      <c r="L862" s="42">
        <v>0.85036827745400001</v>
      </c>
      <c r="M862" s="42">
        <v>0.198682766191</v>
      </c>
      <c r="N862" s="134">
        <v>0</v>
      </c>
      <c r="O862" s="43" t="s">
        <v>666</v>
      </c>
      <c r="P862" s="43">
        <f t="shared" si="187"/>
        <v>12.745990739008263</v>
      </c>
      <c r="Q862" s="43">
        <f t="shared" si="188"/>
        <v>2.3934259999999999E-2</v>
      </c>
      <c r="R862" s="43">
        <f t="shared" si="189"/>
        <v>3.1647057999999999E-2</v>
      </c>
      <c r="S862" s="43">
        <f t="shared" si="190"/>
        <v>0.85036827699999995</v>
      </c>
      <c r="T862" s="43">
        <f t="shared" si="191"/>
        <v>2.8351850590000001</v>
      </c>
      <c r="U862" s="43">
        <f t="shared" si="192"/>
        <v>8.2379140789999994</v>
      </c>
      <c r="V862" s="43">
        <f t="shared" si="193"/>
        <v>4.5255369999999996E-3</v>
      </c>
      <c r="W862" s="230">
        <f t="shared" si="194"/>
        <v>4.4554988865742405E-2</v>
      </c>
      <c r="X862" s="43">
        <f t="shared" si="195"/>
        <v>0.91270382900000002</v>
      </c>
      <c r="Y862" s="43">
        <v>128.52120959999999</v>
      </c>
      <c r="Z862" s="43">
        <f t="shared" si="184"/>
        <v>0</v>
      </c>
      <c r="AA862" s="43">
        <f t="shared" si="185"/>
        <v>230820</v>
      </c>
      <c r="AB862" s="43">
        <f t="shared" si="186"/>
        <v>76507</v>
      </c>
      <c r="AC862" s="43">
        <f t="shared" si="196"/>
        <v>2.4487274902360415E-2</v>
      </c>
      <c r="AD862" s="43">
        <f t="shared" si="197"/>
        <v>0.89458291538016477</v>
      </c>
      <c r="AF862" s="43">
        <v>12.745990739008263</v>
      </c>
      <c r="AG862" s="43">
        <v>2.3934259999999999E-2</v>
      </c>
      <c r="AH862" s="43">
        <v>3.1647057999999999E-2</v>
      </c>
      <c r="AI862" s="43">
        <v>0.85036827699999995</v>
      </c>
      <c r="AJ862" s="43">
        <v>2.8351850590000001</v>
      </c>
      <c r="AK862" s="43">
        <v>8.2379140789999994</v>
      </c>
      <c r="AL862" s="43">
        <v>4.5255369999999996E-3</v>
      </c>
      <c r="AM862" s="230">
        <v>4.4554988865742405E-2</v>
      </c>
      <c r="AN862" s="43">
        <v>0.91270382900000002</v>
      </c>
    </row>
    <row r="863" spans="1:40" x14ac:dyDescent="0.25">
      <c r="A863" s="134">
        <v>853</v>
      </c>
      <c r="B863" s="134" t="s">
        <v>217</v>
      </c>
      <c r="C863" s="134" t="s">
        <v>218</v>
      </c>
      <c r="D863" s="134" t="s">
        <v>219</v>
      </c>
      <c r="E863" s="134">
        <v>595</v>
      </c>
      <c r="F863" s="134">
        <v>1831</v>
      </c>
      <c r="G863" s="134">
        <v>135</v>
      </c>
      <c r="H863" s="134">
        <v>141</v>
      </c>
      <c r="I863" s="200">
        <v>0.20887917667799999</v>
      </c>
      <c r="J863" s="134">
        <v>1972</v>
      </c>
      <c r="K863" s="134">
        <v>9440.8644813600004</v>
      </c>
      <c r="L863" s="42">
        <v>0.82671285900199998</v>
      </c>
      <c r="M863" s="42">
        <v>0.19157608695700001</v>
      </c>
      <c r="N863" s="134">
        <v>0</v>
      </c>
      <c r="O863" s="43" t="s">
        <v>664</v>
      </c>
      <c r="P863" s="43">
        <f t="shared" si="187"/>
        <v>12.351441462557524</v>
      </c>
      <c r="Q863" s="43">
        <f t="shared" si="188"/>
        <v>2.7380488000000001E-2</v>
      </c>
      <c r="R863" s="43">
        <f t="shared" si="189"/>
        <v>3.6700396000000003E-2</v>
      </c>
      <c r="S863" s="43">
        <f t="shared" si="190"/>
        <v>0.82671285900000002</v>
      </c>
      <c r="T863" s="43">
        <f t="shared" si="191"/>
        <v>2.6972631420000002</v>
      </c>
      <c r="U863" s="43">
        <f t="shared" si="192"/>
        <v>7.8784843279999999</v>
      </c>
      <c r="V863" s="43">
        <f t="shared" si="193"/>
        <v>4.8390860000000003E-3</v>
      </c>
      <c r="W863" s="230">
        <f t="shared" si="194"/>
        <v>4.5164807048379739E-2</v>
      </c>
      <c r="X863" s="43">
        <f t="shared" si="195"/>
        <v>0.89959173699999995</v>
      </c>
      <c r="Y863" s="43">
        <v>100.9394437</v>
      </c>
      <c r="Z863" s="43">
        <f t="shared" si="184"/>
        <v>0</v>
      </c>
      <c r="AA863" s="43">
        <f t="shared" si="185"/>
        <v>230820</v>
      </c>
      <c r="AB863" s="43">
        <f t="shared" si="186"/>
        <v>76507</v>
      </c>
      <c r="AC863" s="43">
        <f t="shared" si="196"/>
        <v>2.4487274902360415E-2</v>
      </c>
      <c r="AD863" s="43">
        <f t="shared" si="197"/>
        <v>0.89458291538016477</v>
      </c>
      <c r="AF863" s="43">
        <v>12.351441462557524</v>
      </c>
      <c r="AG863" s="43">
        <v>2.7380488000000001E-2</v>
      </c>
      <c r="AH863" s="43">
        <v>3.6700396000000003E-2</v>
      </c>
      <c r="AI863" s="43">
        <v>0.82671285900000002</v>
      </c>
      <c r="AJ863" s="43">
        <v>2.6972631420000002</v>
      </c>
      <c r="AK863" s="43">
        <v>7.8784843279999999</v>
      </c>
      <c r="AL863" s="43">
        <v>4.8390860000000003E-3</v>
      </c>
      <c r="AM863" s="230">
        <v>4.5164807048379739E-2</v>
      </c>
      <c r="AN863" s="43">
        <v>0.89959173699999995</v>
      </c>
    </row>
    <row r="864" spans="1:40" x14ac:dyDescent="0.25">
      <c r="A864" s="134">
        <v>854</v>
      </c>
      <c r="B864" s="134" t="s">
        <v>217</v>
      </c>
      <c r="C864" s="134" t="s">
        <v>218</v>
      </c>
      <c r="D864" s="134" t="s">
        <v>219</v>
      </c>
      <c r="E864" s="134">
        <v>1136</v>
      </c>
      <c r="F864" s="134">
        <v>3291</v>
      </c>
      <c r="G864" s="134">
        <v>97</v>
      </c>
      <c r="H864" s="134">
        <v>344</v>
      </c>
      <c r="I864" s="200">
        <v>0.20990021364100001</v>
      </c>
      <c r="J864" s="134">
        <v>3635</v>
      </c>
      <c r="K864" s="134">
        <v>17317.752740399999</v>
      </c>
      <c r="L864" s="42">
        <v>0.86527479680399999</v>
      </c>
      <c r="M864" s="42">
        <v>0.23243243243200001</v>
      </c>
      <c r="N864" s="134">
        <v>0</v>
      </c>
      <c r="O864" s="43" t="s">
        <v>666</v>
      </c>
      <c r="P864" s="43">
        <f t="shared" si="187"/>
        <v>12.784822078925833</v>
      </c>
      <c r="Q864" s="43">
        <f t="shared" si="188"/>
        <v>3.7130866999999998E-2</v>
      </c>
      <c r="R864" s="43">
        <f t="shared" si="189"/>
        <v>1.4409036E-2</v>
      </c>
      <c r="S864" s="43">
        <f t="shared" si="190"/>
        <v>0.86527479699999998</v>
      </c>
      <c r="T864" s="43">
        <f t="shared" si="191"/>
        <v>3.269272854</v>
      </c>
      <c r="U864" s="43">
        <f t="shared" si="192"/>
        <v>8.4746439789999997</v>
      </c>
      <c r="V864" s="43">
        <f t="shared" si="193"/>
        <v>8.3398250000000004E-3</v>
      </c>
      <c r="W864" s="230">
        <f t="shared" si="194"/>
        <v>5.8413142097786738E-2</v>
      </c>
      <c r="X864" s="43">
        <f t="shared" si="195"/>
        <v>0.89812926699999995</v>
      </c>
      <c r="Y864" s="43">
        <v>138.18688420000001</v>
      </c>
      <c r="Z864" s="43">
        <f t="shared" si="184"/>
        <v>0</v>
      </c>
      <c r="AA864" s="43">
        <f t="shared" si="185"/>
        <v>230820</v>
      </c>
      <c r="AB864" s="43">
        <f t="shared" si="186"/>
        <v>76507</v>
      </c>
      <c r="AC864" s="43">
        <f t="shared" si="196"/>
        <v>2.4487274902360415E-2</v>
      </c>
      <c r="AD864" s="43">
        <f t="shared" si="197"/>
        <v>0.89458291538016477</v>
      </c>
      <c r="AF864" s="43">
        <v>12.784822078925833</v>
      </c>
      <c r="AG864" s="43">
        <v>3.7130866999999998E-2</v>
      </c>
      <c r="AH864" s="43">
        <v>1.4409036E-2</v>
      </c>
      <c r="AI864" s="43">
        <v>0.86527479699999998</v>
      </c>
      <c r="AJ864" s="43">
        <v>3.269272854</v>
      </c>
      <c r="AK864" s="43">
        <v>8.4746439789999997</v>
      </c>
      <c r="AL864" s="43">
        <v>8.3398250000000004E-3</v>
      </c>
      <c r="AM864" s="230">
        <v>5.8413142097786738E-2</v>
      </c>
      <c r="AN864" s="43">
        <v>0.89812926699999995</v>
      </c>
    </row>
    <row r="865" spans="1:40" x14ac:dyDescent="0.25">
      <c r="A865" s="134">
        <v>855</v>
      </c>
      <c r="B865" s="134" t="s">
        <v>217</v>
      </c>
      <c r="C865" s="134" t="s">
        <v>218</v>
      </c>
      <c r="D865" s="134" t="s">
        <v>219</v>
      </c>
      <c r="E865" s="134">
        <v>179</v>
      </c>
      <c r="F865" s="134">
        <v>517</v>
      </c>
      <c r="G865" s="134">
        <v>65</v>
      </c>
      <c r="H865" s="134">
        <v>382</v>
      </c>
      <c r="I865" s="200">
        <v>0.13936492402100001</v>
      </c>
      <c r="J865" s="134">
        <v>899</v>
      </c>
      <c r="K865" s="134">
        <v>6450.6905615899996</v>
      </c>
      <c r="L865" s="42">
        <v>0.88997759688699996</v>
      </c>
      <c r="M865" s="42">
        <v>0.68092691622099999</v>
      </c>
      <c r="N865" s="134">
        <v>0</v>
      </c>
      <c r="O865" s="43" t="s">
        <v>666</v>
      </c>
      <c r="P865" s="43">
        <f t="shared" si="187"/>
        <v>12.482372108065853</v>
      </c>
      <c r="Q865" s="43">
        <f t="shared" si="188"/>
        <v>1.9915649000000001E-2</v>
      </c>
      <c r="R865" s="43">
        <f t="shared" si="189"/>
        <v>1.2851892E-2</v>
      </c>
      <c r="S865" s="43">
        <f t="shared" si="190"/>
        <v>0.88997759700000001</v>
      </c>
      <c r="T865" s="43">
        <f t="shared" si="191"/>
        <v>3.1728089189999999</v>
      </c>
      <c r="U865" s="43">
        <f t="shared" si="192"/>
        <v>8.5739761320000003</v>
      </c>
      <c r="V865" s="43">
        <f t="shared" si="193"/>
        <v>7.0887470000000003E-3</v>
      </c>
      <c r="W865" s="230">
        <f t="shared" si="194"/>
        <v>1.986965169918321E-2</v>
      </c>
      <c r="X865" s="43">
        <f t="shared" si="195"/>
        <v>0.92409750700000004</v>
      </c>
      <c r="Y865" s="43">
        <v>97.992382210000002</v>
      </c>
      <c r="Z865" s="43">
        <f t="shared" si="184"/>
        <v>0</v>
      </c>
      <c r="AA865" s="43">
        <f t="shared" si="185"/>
        <v>230820</v>
      </c>
      <c r="AB865" s="43">
        <f t="shared" si="186"/>
        <v>76507</v>
      </c>
      <c r="AC865" s="43">
        <f t="shared" si="196"/>
        <v>2.4487274902360415E-2</v>
      </c>
      <c r="AD865" s="43">
        <f t="shared" si="197"/>
        <v>0.89458291538016477</v>
      </c>
      <c r="AF865" s="43">
        <v>12.482372108065853</v>
      </c>
      <c r="AG865" s="43">
        <v>1.9915649000000001E-2</v>
      </c>
      <c r="AH865" s="43">
        <v>1.2851892E-2</v>
      </c>
      <c r="AI865" s="43">
        <v>0.88997759700000001</v>
      </c>
      <c r="AJ865" s="43">
        <v>3.1728089189999999</v>
      </c>
      <c r="AK865" s="43">
        <v>8.5739761320000003</v>
      </c>
      <c r="AL865" s="43">
        <v>7.0887470000000003E-3</v>
      </c>
      <c r="AM865" s="230">
        <v>1.986965169918321E-2</v>
      </c>
      <c r="AN865" s="43">
        <v>0.92409750700000004</v>
      </c>
    </row>
    <row r="866" spans="1:40" x14ac:dyDescent="0.25">
      <c r="A866" s="134">
        <v>856</v>
      </c>
      <c r="B866" s="134" t="s">
        <v>217</v>
      </c>
      <c r="C866" s="134" t="s">
        <v>218</v>
      </c>
      <c r="D866" s="134" t="s">
        <v>219</v>
      </c>
      <c r="E866" s="134">
        <v>590</v>
      </c>
      <c r="F866" s="134">
        <v>1708</v>
      </c>
      <c r="G866" s="134">
        <v>238</v>
      </c>
      <c r="H866" s="134">
        <v>625</v>
      </c>
      <c r="I866" s="200">
        <v>0.18521290777300001</v>
      </c>
      <c r="J866" s="134">
        <v>2333</v>
      </c>
      <c r="K866" s="134">
        <v>12596.3143069</v>
      </c>
      <c r="L866" s="42">
        <v>0.858062110376</v>
      </c>
      <c r="M866" s="42">
        <v>0.514403292181</v>
      </c>
      <c r="N866" s="134">
        <v>0</v>
      </c>
      <c r="O866" s="43" t="s">
        <v>664</v>
      </c>
      <c r="P866" s="43">
        <f t="shared" si="187"/>
        <v>12.190056499234924</v>
      </c>
      <c r="Q866" s="43">
        <f t="shared" si="188"/>
        <v>2.9401079E-2</v>
      </c>
      <c r="R866" s="43">
        <f t="shared" si="189"/>
        <v>2.5798848999999999E-2</v>
      </c>
      <c r="S866" s="43">
        <f t="shared" si="190"/>
        <v>0.85806210999999999</v>
      </c>
      <c r="T866" s="43">
        <f t="shared" si="191"/>
        <v>2.9582753820000001</v>
      </c>
      <c r="U866" s="43">
        <f t="shared" si="192"/>
        <v>8.4557702629999998</v>
      </c>
      <c r="V866" s="43">
        <f t="shared" si="193"/>
        <v>6.6975910000000001E-3</v>
      </c>
      <c r="W866" s="230">
        <f t="shared" si="194"/>
        <v>3.8915447847146623E-2</v>
      </c>
      <c r="X866" s="43">
        <f t="shared" si="195"/>
        <v>0.90793771000000001</v>
      </c>
      <c r="Y866" s="43">
        <v>131.75052149999999</v>
      </c>
      <c r="Z866" s="43">
        <f t="shared" si="184"/>
        <v>0</v>
      </c>
      <c r="AA866" s="43">
        <f t="shared" si="185"/>
        <v>230820</v>
      </c>
      <c r="AB866" s="43">
        <f t="shared" si="186"/>
        <v>76507</v>
      </c>
      <c r="AC866" s="43">
        <f t="shared" si="196"/>
        <v>2.4487274902360415E-2</v>
      </c>
      <c r="AD866" s="43">
        <f t="shared" si="197"/>
        <v>0.89458291538016477</v>
      </c>
      <c r="AF866" s="43">
        <v>12.190056499234924</v>
      </c>
      <c r="AG866" s="43">
        <v>2.9401079E-2</v>
      </c>
      <c r="AH866" s="43">
        <v>2.5798848999999999E-2</v>
      </c>
      <c r="AI866" s="43">
        <v>0.85806210999999999</v>
      </c>
      <c r="AJ866" s="43">
        <v>2.9582753820000001</v>
      </c>
      <c r="AK866" s="43">
        <v>8.4557702629999998</v>
      </c>
      <c r="AL866" s="43">
        <v>6.6975910000000001E-3</v>
      </c>
      <c r="AM866" s="230">
        <v>3.8915447847146623E-2</v>
      </c>
      <c r="AN866" s="43">
        <v>0.90793771000000001</v>
      </c>
    </row>
    <row r="867" spans="1:40" x14ac:dyDescent="0.25">
      <c r="A867" s="134">
        <v>857</v>
      </c>
      <c r="B867" s="134" t="s">
        <v>217</v>
      </c>
      <c r="C867" s="134" t="s">
        <v>218</v>
      </c>
      <c r="D867" s="134" t="s">
        <v>219</v>
      </c>
      <c r="E867" s="134">
        <v>0</v>
      </c>
      <c r="F867" s="134">
        <v>0</v>
      </c>
      <c r="G867" s="134">
        <v>2772</v>
      </c>
      <c r="H867" s="134">
        <v>2942</v>
      </c>
      <c r="I867" s="200">
        <v>0.566218366621</v>
      </c>
      <c r="J867" s="134">
        <v>2942</v>
      </c>
      <c r="K867" s="134">
        <v>5195.8752549000001</v>
      </c>
      <c r="L867" s="42">
        <v>0.93200385518499995</v>
      </c>
      <c r="M867" s="42">
        <v>1</v>
      </c>
      <c r="N867" s="134">
        <v>0</v>
      </c>
      <c r="O867" s="43" t="s">
        <v>666</v>
      </c>
      <c r="P867" s="43">
        <f t="shared" si="187"/>
        <v>15.10512871507844</v>
      </c>
      <c r="Q867" s="43">
        <f t="shared" si="188"/>
        <v>1.4448318E-2</v>
      </c>
      <c r="R867" s="43">
        <f t="shared" si="189"/>
        <v>7.3308879999999998E-3</v>
      </c>
      <c r="S867" s="43">
        <f t="shared" si="190"/>
        <v>0.93200385500000005</v>
      </c>
      <c r="T867" s="43">
        <f t="shared" si="191"/>
        <v>4.2212753449999996</v>
      </c>
      <c r="U867" s="43">
        <f t="shared" si="192"/>
        <v>10.46673899</v>
      </c>
      <c r="V867" s="43">
        <f t="shared" si="193"/>
        <v>5.4019649999999999E-3</v>
      </c>
      <c r="W867" s="230">
        <f t="shared" si="194"/>
        <v>5.958206975487915E-3</v>
      </c>
      <c r="X867" s="43">
        <f t="shared" si="195"/>
        <v>0.97804983700000003</v>
      </c>
      <c r="Y867" s="43">
        <v>6.7676741890000001</v>
      </c>
      <c r="Z867" s="43">
        <f t="shared" si="184"/>
        <v>0</v>
      </c>
      <c r="AA867" s="43">
        <f t="shared" si="185"/>
        <v>230820</v>
      </c>
      <c r="AB867" s="43">
        <f t="shared" si="186"/>
        <v>76507</v>
      </c>
      <c r="AC867" s="43">
        <f t="shared" si="196"/>
        <v>2.4487274902360415E-2</v>
      </c>
      <c r="AD867" s="43">
        <f t="shared" si="197"/>
        <v>0.89458291538016477</v>
      </c>
      <c r="AF867" s="43">
        <v>15.10512871507844</v>
      </c>
      <c r="AG867" s="43">
        <v>1.4448318E-2</v>
      </c>
      <c r="AH867" s="43">
        <v>7.3308879999999998E-3</v>
      </c>
      <c r="AI867" s="43">
        <v>0.93200385500000005</v>
      </c>
      <c r="AJ867" s="43">
        <v>4.2212753449999996</v>
      </c>
      <c r="AK867" s="43">
        <v>10.46673899</v>
      </c>
      <c r="AL867" s="43">
        <v>5.4019649999999999E-3</v>
      </c>
      <c r="AM867" s="230">
        <v>5.958206975487915E-3</v>
      </c>
      <c r="AN867" s="43">
        <v>0.97804983700000003</v>
      </c>
    </row>
    <row r="868" spans="1:40" x14ac:dyDescent="0.25">
      <c r="A868" s="134">
        <v>858</v>
      </c>
      <c r="B868" s="134" t="s">
        <v>217</v>
      </c>
      <c r="C868" s="134" t="s">
        <v>218</v>
      </c>
      <c r="D868" s="134" t="s">
        <v>219</v>
      </c>
      <c r="E868" s="134">
        <v>2164</v>
      </c>
      <c r="F868" s="134">
        <v>6530</v>
      </c>
      <c r="G868" s="134">
        <v>283</v>
      </c>
      <c r="H868" s="134">
        <v>2</v>
      </c>
      <c r="I868" s="200">
        <v>0.61235817830600003</v>
      </c>
      <c r="J868" s="134">
        <v>6532</v>
      </c>
      <c r="K868" s="134">
        <v>10666.959683700001</v>
      </c>
      <c r="L868" s="42">
        <v>0.91238255236800003</v>
      </c>
      <c r="M868" s="42">
        <v>9.2336103416400001E-4</v>
      </c>
      <c r="N868" s="134">
        <v>0</v>
      </c>
      <c r="O868" s="43" t="s">
        <v>665</v>
      </c>
      <c r="P868" s="43">
        <f t="shared" si="187"/>
        <v>14.787922556096163</v>
      </c>
      <c r="Q868" s="43">
        <f t="shared" si="188"/>
        <v>3.3123135999999997E-2</v>
      </c>
      <c r="R868" s="43">
        <f t="shared" si="189"/>
        <v>9.7681480000000008E-3</v>
      </c>
      <c r="S868" s="43">
        <f t="shared" si="190"/>
        <v>0.91238255199999996</v>
      </c>
      <c r="T868" s="43">
        <f t="shared" si="191"/>
        <v>5.1253931220000002</v>
      </c>
      <c r="U868" s="43">
        <f t="shared" si="192"/>
        <v>12.892249339999999</v>
      </c>
      <c r="V868" s="43">
        <f t="shared" si="193"/>
        <v>4.8723499999999998E-4</v>
      </c>
      <c r="W868" s="230">
        <f t="shared" si="194"/>
        <v>5.2556909782678782E-2</v>
      </c>
      <c r="X868" s="43">
        <f t="shared" si="195"/>
        <v>0.94233428600000002</v>
      </c>
      <c r="Y868" s="43">
        <v>88.680733419999996</v>
      </c>
      <c r="Z868" s="43">
        <f t="shared" si="184"/>
        <v>0</v>
      </c>
      <c r="AA868" s="43">
        <f t="shared" si="185"/>
        <v>230820</v>
      </c>
      <c r="AB868" s="43">
        <f t="shared" si="186"/>
        <v>76507</v>
      </c>
      <c r="AC868" s="43">
        <f t="shared" si="196"/>
        <v>2.4487274902360415E-2</v>
      </c>
      <c r="AD868" s="43">
        <f t="shared" si="197"/>
        <v>0.89458291538016477</v>
      </c>
      <c r="AF868" s="43">
        <v>14.787922556096163</v>
      </c>
      <c r="AG868" s="43">
        <v>3.3123135999999997E-2</v>
      </c>
      <c r="AH868" s="43">
        <v>9.7681480000000008E-3</v>
      </c>
      <c r="AI868" s="43">
        <v>0.91238255199999996</v>
      </c>
      <c r="AJ868" s="43">
        <v>5.1253931220000002</v>
      </c>
      <c r="AK868" s="43">
        <v>12.892249339999999</v>
      </c>
      <c r="AL868" s="43">
        <v>4.8723499999999998E-4</v>
      </c>
      <c r="AM868" s="230">
        <v>5.2556909782678782E-2</v>
      </c>
      <c r="AN868" s="43">
        <v>0.94233428600000002</v>
      </c>
    </row>
    <row r="869" spans="1:40" x14ac:dyDescent="0.25">
      <c r="A869" s="134">
        <v>859</v>
      </c>
      <c r="B869" s="134" t="s">
        <v>217</v>
      </c>
      <c r="C869" s="134" t="s">
        <v>218</v>
      </c>
      <c r="D869" s="134" t="s">
        <v>219</v>
      </c>
      <c r="E869" s="134">
        <v>908</v>
      </c>
      <c r="F869" s="134">
        <v>2740</v>
      </c>
      <c r="G869" s="134">
        <v>147</v>
      </c>
      <c r="H869" s="134">
        <v>287</v>
      </c>
      <c r="I869" s="200">
        <v>0.40947004723899999</v>
      </c>
      <c r="J869" s="134">
        <v>3027</v>
      </c>
      <c r="K869" s="134">
        <v>7392.4821129399998</v>
      </c>
      <c r="L869" s="42">
        <v>0.89378442019500004</v>
      </c>
      <c r="M869" s="42">
        <v>0.24016736401700001</v>
      </c>
      <c r="N869" s="134">
        <v>0</v>
      </c>
      <c r="O869" s="43" t="s">
        <v>666</v>
      </c>
      <c r="P869" s="43">
        <f t="shared" si="187"/>
        <v>14.316529348944028</v>
      </c>
      <c r="Q869" s="43">
        <f t="shared" si="188"/>
        <v>3.5334365E-2</v>
      </c>
      <c r="R869" s="43">
        <f t="shared" si="189"/>
        <v>1.1010598999999999E-2</v>
      </c>
      <c r="S869" s="43">
        <f t="shared" si="190"/>
        <v>0.89378442000000002</v>
      </c>
      <c r="T869" s="43">
        <f t="shared" si="191"/>
        <v>4.4555272629999996</v>
      </c>
      <c r="U869" s="43">
        <f t="shared" si="192"/>
        <v>11.067839859999999</v>
      </c>
      <c r="V869" s="43">
        <f t="shared" si="193"/>
        <v>3.9748090000000002E-3</v>
      </c>
      <c r="W869" s="230">
        <f t="shared" si="194"/>
        <v>4.2775258790315684E-2</v>
      </c>
      <c r="X869" s="43">
        <f t="shared" si="195"/>
        <v>0.93194785400000002</v>
      </c>
      <c r="Y869" s="43">
        <v>48.786992189999999</v>
      </c>
      <c r="Z869" s="43">
        <f t="shared" si="184"/>
        <v>0</v>
      </c>
      <c r="AA869" s="43">
        <f t="shared" si="185"/>
        <v>230820</v>
      </c>
      <c r="AB869" s="43">
        <f t="shared" si="186"/>
        <v>76507</v>
      </c>
      <c r="AC869" s="43">
        <f t="shared" si="196"/>
        <v>2.4487274902360415E-2</v>
      </c>
      <c r="AD869" s="43">
        <f t="shared" si="197"/>
        <v>0.89458291538016477</v>
      </c>
      <c r="AF869" s="43">
        <v>14.316529348944028</v>
      </c>
      <c r="AG869" s="43">
        <v>3.5334365E-2</v>
      </c>
      <c r="AH869" s="43">
        <v>1.1010598999999999E-2</v>
      </c>
      <c r="AI869" s="43">
        <v>0.89378442000000002</v>
      </c>
      <c r="AJ869" s="43">
        <v>4.4555272629999996</v>
      </c>
      <c r="AK869" s="43">
        <v>11.067839859999999</v>
      </c>
      <c r="AL869" s="43">
        <v>3.9748090000000002E-3</v>
      </c>
      <c r="AM869" s="230">
        <v>4.2775258790315684E-2</v>
      </c>
      <c r="AN869" s="43">
        <v>0.93194785400000002</v>
      </c>
    </row>
    <row r="870" spans="1:40" x14ac:dyDescent="0.25">
      <c r="A870" s="134">
        <v>860</v>
      </c>
      <c r="B870" s="134" t="s">
        <v>217</v>
      </c>
      <c r="C870" s="134" t="s">
        <v>218</v>
      </c>
      <c r="D870" s="134" t="s">
        <v>219</v>
      </c>
      <c r="E870" s="134">
        <v>0</v>
      </c>
      <c r="F870" s="134">
        <v>0</v>
      </c>
      <c r="G870" s="134">
        <v>1238</v>
      </c>
      <c r="H870" s="134">
        <v>8</v>
      </c>
      <c r="I870" s="200">
        <v>1.99996327751</v>
      </c>
      <c r="J870" s="134">
        <v>8</v>
      </c>
      <c r="K870" s="134">
        <v>4.0000734463300001</v>
      </c>
      <c r="L870" s="42">
        <v>0.99008894536199998</v>
      </c>
      <c r="M870" s="42">
        <v>1</v>
      </c>
      <c r="N870" s="134">
        <v>0</v>
      </c>
      <c r="O870" s="43" t="s">
        <v>665</v>
      </c>
      <c r="P870" s="43">
        <f t="shared" si="187"/>
        <v>12.936524687727069</v>
      </c>
      <c r="Q870" s="43">
        <f t="shared" si="188"/>
        <v>2.5878991261870498E-2</v>
      </c>
      <c r="R870" s="43">
        <f t="shared" si="189"/>
        <v>1.4107816577464795E-2</v>
      </c>
      <c r="S870" s="43">
        <f t="shared" si="190"/>
        <v>0.990088945</v>
      </c>
      <c r="T870" s="43">
        <f t="shared" si="191"/>
        <v>17</v>
      </c>
      <c r="U870" s="43">
        <f t="shared" si="192"/>
        <v>20.669242879999999</v>
      </c>
      <c r="V870" s="43">
        <f t="shared" si="193"/>
        <v>5.3017566000000006E-3</v>
      </c>
      <c r="W870" s="230">
        <f t="shared" si="194"/>
        <v>3.855010570216353E-2</v>
      </c>
      <c r="X870" s="43">
        <f t="shared" si="195"/>
        <v>0.8170347</v>
      </c>
      <c r="Y870" s="43">
        <v>4.388472771</v>
      </c>
      <c r="Z870" s="43">
        <f t="shared" si="184"/>
        <v>0</v>
      </c>
      <c r="AA870" s="43">
        <f t="shared" si="185"/>
        <v>230820</v>
      </c>
      <c r="AB870" s="43">
        <f t="shared" si="186"/>
        <v>76507</v>
      </c>
      <c r="AC870" s="43">
        <f t="shared" si="196"/>
        <v>2.4487274902360415E-2</v>
      </c>
      <c r="AD870" s="43">
        <f t="shared" si="197"/>
        <v>0.89458291538016477</v>
      </c>
      <c r="AF870" s="43">
        <v>12.936524687727069</v>
      </c>
      <c r="AG870" s="43">
        <v>0</v>
      </c>
      <c r="AH870" s="43">
        <v>0</v>
      </c>
      <c r="AI870" s="43">
        <v>0.990088945</v>
      </c>
      <c r="AJ870" s="43">
        <v>17</v>
      </c>
      <c r="AK870" s="43">
        <v>20.669242879999999</v>
      </c>
      <c r="AL870" s="43">
        <v>0</v>
      </c>
      <c r="AM870" s="230">
        <v>0</v>
      </c>
      <c r="AN870" s="43">
        <v>0.8170347</v>
      </c>
    </row>
    <row r="871" spans="1:40" x14ac:dyDescent="0.25">
      <c r="A871" s="134">
        <v>861</v>
      </c>
      <c r="B871" s="134" t="s">
        <v>217</v>
      </c>
      <c r="C871" s="134" t="s">
        <v>218</v>
      </c>
      <c r="D871" s="134" t="s">
        <v>219</v>
      </c>
      <c r="E871" s="134">
        <v>545</v>
      </c>
      <c r="F871" s="134">
        <v>1508</v>
      </c>
      <c r="G871" s="134">
        <v>154</v>
      </c>
      <c r="H871" s="134">
        <v>339</v>
      </c>
      <c r="I871" s="200">
        <v>0.24030451579199999</v>
      </c>
      <c r="J871" s="134">
        <v>1847</v>
      </c>
      <c r="K871" s="134">
        <v>7686.0811121899997</v>
      </c>
      <c r="L871" s="42">
        <v>0.89229817844500003</v>
      </c>
      <c r="M871" s="42">
        <v>0.38348416289600001</v>
      </c>
      <c r="N871" s="134">
        <v>0</v>
      </c>
      <c r="O871" s="43" t="s">
        <v>666</v>
      </c>
      <c r="P871" s="43">
        <f t="shared" si="187"/>
        <v>12.600402938026528</v>
      </c>
      <c r="Q871" s="43">
        <f t="shared" si="188"/>
        <v>1.6739268000000002E-2</v>
      </c>
      <c r="R871" s="43">
        <f t="shared" si="189"/>
        <v>1.3365345000000001E-2</v>
      </c>
      <c r="S871" s="43">
        <f t="shared" si="190"/>
        <v>0.892298178</v>
      </c>
      <c r="T871" s="43">
        <f t="shared" si="191"/>
        <v>3.1538897069999998</v>
      </c>
      <c r="U871" s="43">
        <f t="shared" si="192"/>
        <v>8.9289052469999994</v>
      </c>
      <c r="V871" s="43">
        <f t="shared" si="193"/>
        <v>5.0694750000000004E-3</v>
      </c>
      <c r="W871" s="230">
        <f t="shared" si="194"/>
        <v>2.4489795918367349E-2</v>
      </c>
      <c r="X871" s="43">
        <f t="shared" si="195"/>
        <v>0.93316326500000002</v>
      </c>
      <c r="Y871" s="43">
        <v>86.708908120000004</v>
      </c>
      <c r="Z871" s="43">
        <f t="shared" si="184"/>
        <v>0</v>
      </c>
      <c r="AA871" s="43">
        <f t="shared" si="185"/>
        <v>230820</v>
      </c>
      <c r="AB871" s="43">
        <f t="shared" si="186"/>
        <v>76507</v>
      </c>
      <c r="AC871" s="43">
        <f t="shared" si="196"/>
        <v>2.4487274902360415E-2</v>
      </c>
      <c r="AD871" s="43">
        <f t="shared" si="197"/>
        <v>0.89458291538016477</v>
      </c>
      <c r="AF871" s="43">
        <v>12.600402938026528</v>
      </c>
      <c r="AG871" s="43">
        <v>1.6739268000000002E-2</v>
      </c>
      <c r="AH871" s="43">
        <v>1.3365345000000001E-2</v>
      </c>
      <c r="AI871" s="43">
        <v>0.892298178</v>
      </c>
      <c r="AJ871" s="43">
        <v>3.1538897069999998</v>
      </c>
      <c r="AK871" s="43">
        <v>8.9289052469999994</v>
      </c>
      <c r="AL871" s="43">
        <v>5.0694750000000004E-3</v>
      </c>
      <c r="AM871" s="230">
        <v>2.4489795918367349E-2</v>
      </c>
      <c r="AN871" s="43">
        <v>0.93316326500000002</v>
      </c>
    </row>
    <row r="872" spans="1:40" x14ac:dyDescent="0.25">
      <c r="A872" s="134">
        <v>862</v>
      </c>
      <c r="B872" s="134" t="s">
        <v>217</v>
      </c>
      <c r="C872" s="134" t="s">
        <v>218</v>
      </c>
      <c r="D872" s="134" t="s">
        <v>219</v>
      </c>
      <c r="E872" s="134">
        <v>544</v>
      </c>
      <c r="F872" s="134">
        <v>1503</v>
      </c>
      <c r="G872" s="134">
        <v>149</v>
      </c>
      <c r="H872" s="134">
        <v>425</v>
      </c>
      <c r="I872" s="200">
        <v>0.231876224869</v>
      </c>
      <c r="J872" s="134">
        <v>1928</v>
      </c>
      <c r="K872" s="134">
        <v>8314.7808754100006</v>
      </c>
      <c r="L872" s="42">
        <v>0.88015255487699995</v>
      </c>
      <c r="M872" s="42">
        <v>0.43859649122799998</v>
      </c>
      <c r="N872" s="134">
        <v>0</v>
      </c>
      <c r="O872" s="43" t="s">
        <v>666</v>
      </c>
      <c r="P872" s="43">
        <f t="shared" si="187"/>
        <v>12.832378159006948</v>
      </c>
      <c r="Q872" s="43">
        <f t="shared" si="188"/>
        <v>2.0703478000000001E-2</v>
      </c>
      <c r="R872" s="43">
        <f t="shared" si="189"/>
        <v>1.3006138E-2</v>
      </c>
      <c r="S872" s="43">
        <f t="shared" si="190"/>
        <v>0.880152555</v>
      </c>
      <c r="T872" s="43">
        <f t="shared" si="191"/>
        <v>2.9737687369999999</v>
      </c>
      <c r="U872" s="43">
        <f t="shared" si="192"/>
        <v>8.5488439550000006</v>
      </c>
      <c r="V872" s="43">
        <f t="shared" si="193"/>
        <v>5.450468E-3</v>
      </c>
      <c r="W872" s="230">
        <f t="shared" si="194"/>
        <v>3.3406743697267725E-2</v>
      </c>
      <c r="X872" s="43">
        <f t="shared" si="195"/>
        <v>0.92161181000000003</v>
      </c>
      <c r="Y872" s="43">
        <v>74.460315170000001</v>
      </c>
      <c r="Z872" s="43">
        <f t="shared" si="184"/>
        <v>0</v>
      </c>
      <c r="AA872" s="43">
        <f t="shared" si="185"/>
        <v>230820</v>
      </c>
      <c r="AB872" s="43">
        <f t="shared" si="186"/>
        <v>76507</v>
      </c>
      <c r="AC872" s="43">
        <f t="shared" si="196"/>
        <v>2.4487274902360415E-2</v>
      </c>
      <c r="AD872" s="43">
        <f t="shared" si="197"/>
        <v>0.89458291538016477</v>
      </c>
      <c r="AF872" s="43">
        <v>12.832378159006948</v>
      </c>
      <c r="AG872" s="43">
        <v>2.0703478000000001E-2</v>
      </c>
      <c r="AH872" s="43">
        <v>1.3006138E-2</v>
      </c>
      <c r="AI872" s="43">
        <v>0.880152555</v>
      </c>
      <c r="AJ872" s="43">
        <v>2.9737687369999999</v>
      </c>
      <c r="AK872" s="43">
        <v>8.5488439550000006</v>
      </c>
      <c r="AL872" s="43">
        <v>5.450468E-3</v>
      </c>
      <c r="AM872" s="230">
        <v>3.3406743697267725E-2</v>
      </c>
      <c r="AN872" s="43">
        <v>0.92161181000000003</v>
      </c>
    </row>
    <row r="873" spans="1:40" x14ac:dyDescent="0.25">
      <c r="A873" s="134">
        <v>863</v>
      </c>
      <c r="B873" s="134" t="s">
        <v>217</v>
      </c>
      <c r="C873" s="134" t="s">
        <v>218</v>
      </c>
      <c r="D873" s="134" t="s">
        <v>219</v>
      </c>
      <c r="E873" s="134">
        <v>945</v>
      </c>
      <c r="F873" s="134">
        <v>2947</v>
      </c>
      <c r="G873" s="134">
        <v>308</v>
      </c>
      <c r="H873" s="134">
        <v>1470</v>
      </c>
      <c r="I873" s="200">
        <v>0.48838560772900003</v>
      </c>
      <c r="J873" s="134">
        <v>4417</v>
      </c>
      <c r="K873" s="134">
        <v>9044.0830567100002</v>
      </c>
      <c r="L873" s="42">
        <v>0.86753606612300005</v>
      </c>
      <c r="M873" s="42">
        <v>0.60869565217400001</v>
      </c>
      <c r="N873" s="134">
        <v>0</v>
      </c>
      <c r="O873" s="43" t="s">
        <v>666</v>
      </c>
      <c r="P873" s="43">
        <f t="shared" si="187"/>
        <v>12.981084044051961</v>
      </c>
      <c r="Q873" s="43">
        <f t="shared" si="188"/>
        <v>1.8471545999999998E-2</v>
      </c>
      <c r="R873" s="43">
        <f t="shared" si="189"/>
        <v>3.5457306000000001E-2</v>
      </c>
      <c r="S873" s="43">
        <f t="shared" si="190"/>
        <v>0.86753606599999999</v>
      </c>
      <c r="T873" s="43">
        <f t="shared" si="191"/>
        <v>3.3478434250000002</v>
      </c>
      <c r="U873" s="43">
        <f t="shared" si="192"/>
        <v>8.6312735909999994</v>
      </c>
      <c r="V873" s="43">
        <f t="shared" si="193"/>
        <v>6.4823609999999999E-3</v>
      </c>
      <c r="W873" s="230">
        <f t="shared" si="194"/>
        <v>3.2099026081924852E-2</v>
      </c>
      <c r="X873" s="43">
        <f t="shared" si="195"/>
        <v>0.93463293300000005</v>
      </c>
      <c r="Y873" s="43">
        <v>78.881271990000002</v>
      </c>
      <c r="Z873" s="43">
        <f t="shared" si="184"/>
        <v>0</v>
      </c>
      <c r="AA873" s="43">
        <f t="shared" si="185"/>
        <v>230820</v>
      </c>
      <c r="AB873" s="43">
        <f t="shared" si="186"/>
        <v>76507</v>
      </c>
      <c r="AC873" s="43">
        <f t="shared" si="196"/>
        <v>2.4487274902360415E-2</v>
      </c>
      <c r="AD873" s="43">
        <f t="shared" si="197"/>
        <v>0.89458291538016477</v>
      </c>
      <c r="AF873" s="43">
        <v>12.981084044051961</v>
      </c>
      <c r="AG873" s="43">
        <v>1.8471545999999998E-2</v>
      </c>
      <c r="AH873" s="43">
        <v>3.5457306000000001E-2</v>
      </c>
      <c r="AI873" s="43">
        <v>0.86753606599999999</v>
      </c>
      <c r="AJ873" s="43">
        <v>3.3478434250000002</v>
      </c>
      <c r="AK873" s="43">
        <v>8.6312735909999994</v>
      </c>
      <c r="AL873" s="43">
        <v>6.4823609999999999E-3</v>
      </c>
      <c r="AM873" s="230">
        <v>3.2099026081924852E-2</v>
      </c>
      <c r="AN873" s="43">
        <v>0.93463293300000005</v>
      </c>
    </row>
    <row r="874" spans="1:40" x14ac:dyDescent="0.25">
      <c r="A874" s="134">
        <v>864</v>
      </c>
      <c r="B874" s="134" t="s">
        <v>217</v>
      </c>
      <c r="C874" s="134" t="s">
        <v>218</v>
      </c>
      <c r="D874" s="134" t="s">
        <v>219</v>
      </c>
      <c r="E874" s="134">
        <v>2184</v>
      </c>
      <c r="F874" s="134">
        <v>7504</v>
      </c>
      <c r="G874" s="134">
        <v>490</v>
      </c>
      <c r="H874" s="134">
        <v>1465</v>
      </c>
      <c r="I874" s="200">
        <v>0.75039121142499998</v>
      </c>
      <c r="J874" s="134">
        <v>8969</v>
      </c>
      <c r="K874" s="134">
        <v>11952.432096</v>
      </c>
      <c r="L874" s="42">
        <v>0.86797950927300005</v>
      </c>
      <c r="M874" s="42">
        <v>0.40147985749499998</v>
      </c>
      <c r="N874" s="134">
        <v>0</v>
      </c>
      <c r="O874" s="43" t="s">
        <v>666</v>
      </c>
      <c r="P874" s="43">
        <f t="shared" si="187"/>
        <v>13.035244505284108</v>
      </c>
      <c r="Q874" s="43">
        <f t="shared" si="188"/>
        <v>2.2126322E-2</v>
      </c>
      <c r="R874" s="43">
        <f t="shared" si="189"/>
        <v>1.4146049000000001E-2</v>
      </c>
      <c r="S874" s="43">
        <f t="shared" si="190"/>
        <v>0.86797950899999998</v>
      </c>
      <c r="T874" s="43">
        <f t="shared" si="191"/>
        <v>2.955972821</v>
      </c>
      <c r="U874" s="43">
        <f t="shared" si="192"/>
        <v>8.9169693629999998</v>
      </c>
      <c r="V874" s="43">
        <f t="shared" si="193"/>
        <v>6.7599280000000001E-3</v>
      </c>
      <c r="W874" s="230">
        <f t="shared" si="194"/>
        <v>3.7445785855214547E-2</v>
      </c>
      <c r="X874" s="43">
        <f t="shared" si="195"/>
        <v>0.90905061099999995</v>
      </c>
      <c r="Y874" s="43">
        <v>105.81895590000001</v>
      </c>
      <c r="Z874" s="43">
        <f t="shared" si="184"/>
        <v>0</v>
      </c>
      <c r="AA874" s="43">
        <f t="shared" si="185"/>
        <v>230820</v>
      </c>
      <c r="AB874" s="43">
        <f t="shared" si="186"/>
        <v>76507</v>
      </c>
      <c r="AC874" s="43">
        <f t="shared" si="196"/>
        <v>2.4487274902360415E-2</v>
      </c>
      <c r="AD874" s="43">
        <f t="shared" si="197"/>
        <v>0.89458291538016477</v>
      </c>
      <c r="AF874" s="43">
        <v>13.035244505284108</v>
      </c>
      <c r="AG874" s="43">
        <v>2.2126322E-2</v>
      </c>
      <c r="AH874" s="43">
        <v>1.4146049000000001E-2</v>
      </c>
      <c r="AI874" s="43">
        <v>0.86797950899999998</v>
      </c>
      <c r="AJ874" s="43">
        <v>2.955972821</v>
      </c>
      <c r="AK874" s="43">
        <v>8.9169693629999998</v>
      </c>
      <c r="AL874" s="43">
        <v>6.7599280000000001E-3</v>
      </c>
      <c r="AM874" s="230">
        <v>3.7445785855214547E-2</v>
      </c>
      <c r="AN874" s="43">
        <v>0.90905061099999995</v>
      </c>
    </row>
    <row r="875" spans="1:40" x14ac:dyDescent="0.25">
      <c r="A875" s="134">
        <v>865</v>
      </c>
      <c r="B875" s="134" t="s">
        <v>217</v>
      </c>
      <c r="C875" s="134" t="s">
        <v>218</v>
      </c>
      <c r="D875" s="134" t="s">
        <v>219</v>
      </c>
      <c r="E875" s="134">
        <v>1502</v>
      </c>
      <c r="F875" s="134">
        <v>3993</v>
      </c>
      <c r="G875" s="134">
        <v>99</v>
      </c>
      <c r="H875" s="134">
        <v>334</v>
      </c>
      <c r="I875" s="200">
        <v>0.163767170894</v>
      </c>
      <c r="J875" s="134">
        <v>4327</v>
      </c>
      <c r="K875" s="134">
        <v>26421.656894899999</v>
      </c>
      <c r="L875" s="42">
        <v>0.83554576468200004</v>
      </c>
      <c r="M875" s="42">
        <v>0.18191721132899999</v>
      </c>
      <c r="N875" s="134">
        <v>0</v>
      </c>
      <c r="O875" s="43" t="s">
        <v>664</v>
      </c>
      <c r="P875" s="43">
        <f t="shared" si="187"/>
        <v>12.084680802209565</v>
      </c>
      <c r="Q875" s="43">
        <f t="shared" si="188"/>
        <v>3.8089562E-2</v>
      </c>
      <c r="R875" s="43">
        <f t="shared" si="189"/>
        <v>1.5528452999999999E-2</v>
      </c>
      <c r="S875" s="43">
        <f t="shared" si="190"/>
        <v>0.835545765</v>
      </c>
      <c r="T875" s="43">
        <f t="shared" si="191"/>
        <v>3.148110661</v>
      </c>
      <c r="U875" s="43">
        <f t="shared" si="192"/>
        <v>8.0803428260000008</v>
      </c>
      <c r="V875" s="43">
        <f t="shared" si="193"/>
        <v>9.7229659999999996E-3</v>
      </c>
      <c r="W875" s="230">
        <f t="shared" si="194"/>
        <v>5.8296220463438846E-2</v>
      </c>
      <c r="X875" s="43">
        <f t="shared" si="195"/>
        <v>0.86969355199999998</v>
      </c>
      <c r="Y875" s="43">
        <v>125.23055720000001</v>
      </c>
      <c r="Z875" s="43">
        <f t="shared" si="184"/>
        <v>0</v>
      </c>
      <c r="AA875" s="43">
        <f t="shared" si="185"/>
        <v>230820</v>
      </c>
      <c r="AB875" s="43">
        <f t="shared" si="186"/>
        <v>76507</v>
      </c>
      <c r="AC875" s="43">
        <f t="shared" si="196"/>
        <v>2.4487274902360415E-2</v>
      </c>
      <c r="AD875" s="43">
        <f t="shared" si="197"/>
        <v>0.89458291538016477</v>
      </c>
      <c r="AF875" s="43">
        <v>12.084680802209565</v>
      </c>
      <c r="AG875" s="43">
        <v>3.8089562E-2</v>
      </c>
      <c r="AH875" s="43">
        <v>1.5528452999999999E-2</v>
      </c>
      <c r="AI875" s="43">
        <v>0.835545765</v>
      </c>
      <c r="AJ875" s="43">
        <v>3.148110661</v>
      </c>
      <c r="AK875" s="43">
        <v>8.0803428260000008</v>
      </c>
      <c r="AL875" s="43">
        <v>9.7229659999999996E-3</v>
      </c>
      <c r="AM875" s="230">
        <v>5.8296220463438846E-2</v>
      </c>
      <c r="AN875" s="43">
        <v>0.86969355199999998</v>
      </c>
    </row>
    <row r="876" spans="1:40" x14ac:dyDescent="0.25">
      <c r="A876" s="134">
        <v>866</v>
      </c>
      <c r="B876" s="134" t="s">
        <v>217</v>
      </c>
      <c r="C876" s="134" t="s">
        <v>218</v>
      </c>
      <c r="D876" s="134" t="s">
        <v>219</v>
      </c>
      <c r="E876" s="134">
        <v>1707</v>
      </c>
      <c r="F876" s="134">
        <v>4537</v>
      </c>
      <c r="G876" s="134">
        <v>150</v>
      </c>
      <c r="H876" s="134">
        <v>2157</v>
      </c>
      <c r="I876" s="200">
        <v>0.247889696494</v>
      </c>
      <c r="J876" s="134">
        <v>6694</v>
      </c>
      <c r="K876" s="134">
        <v>27003.9460884</v>
      </c>
      <c r="L876" s="42">
        <v>0.81241197826900002</v>
      </c>
      <c r="M876" s="42">
        <v>0.55822981366500002</v>
      </c>
      <c r="N876" s="134">
        <v>1</v>
      </c>
      <c r="O876" s="43" t="s">
        <v>664</v>
      </c>
      <c r="P876" s="43">
        <f t="shared" si="187"/>
        <v>12.230389258040221</v>
      </c>
      <c r="Q876" s="43">
        <f t="shared" si="188"/>
        <v>3.4061005999999998E-2</v>
      </c>
      <c r="R876" s="43">
        <f t="shared" si="189"/>
        <v>1.4242985999999999E-2</v>
      </c>
      <c r="S876" s="43">
        <f t="shared" si="190"/>
        <v>0.81241197799999998</v>
      </c>
      <c r="T876" s="43">
        <f t="shared" si="191"/>
        <v>2.7104113179999998</v>
      </c>
      <c r="U876" s="43">
        <f t="shared" si="192"/>
        <v>6.9539683280000002</v>
      </c>
      <c r="V876" s="43">
        <f t="shared" si="193"/>
        <v>1.2445454999999999E-2</v>
      </c>
      <c r="W876" s="230">
        <f t="shared" si="194"/>
        <v>5.9514523874411487E-2</v>
      </c>
      <c r="X876" s="43">
        <f t="shared" si="195"/>
        <v>0.83199418599999997</v>
      </c>
      <c r="Y876" s="43">
        <v>98.250569990000002</v>
      </c>
      <c r="Z876" s="43">
        <f t="shared" si="184"/>
        <v>0</v>
      </c>
      <c r="AA876" s="43">
        <f t="shared" si="185"/>
        <v>230820</v>
      </c>
      <c r="AB876" s="43">
        <f t="shared" si="186"/>
        <v>76507</v>
      </c>
      <c r="AC876" s="43">
        <f t="shared" si="196"/>
        <v>2.4487274902360415E-2</v>
      </c>
      <c r="AD876" s="43">
        <f t="shared" si="197"/>
        <v>0.89458291538016477</v>
      </c>
      <c r="AF876" s="43">
        <v>12.230389258040221</v>
      </c>
      <c r="AG876" s="43">
        <v>3.4061005999999998E-2</v>
      </c>
      <c r="AH876" s="43">
        <v>1.4242985999999999E-2</v>
      </c>
      <c r="AI876" s="43">
        <v>0.81241197799999998</v>
      </c>
      <c r="AJ876" s="43">
        <v>2.7104113179999998</v>
      </c>
      <c r="AK876" s="43">
        <v>6.9539683280000002</v>
      </c>
      <c r="AL876" s="43">
        <v>1.2445454999999999E-2</v>
      </c>
      <c r="AM876" s="230">
        <v>5.9514523874411487E-2</v>
      </c>
      <c r="AN876" s="43">
        <v>0.83199418599999997</v>
      </c>
    </row>
    <row r="877" spans="1:40" x14ac:dyDescent="0.25">
      <c r="A877" s="134">
        <v>867</v>
      </c>
      <c r="B877" s="134" t="s">
        <v>217</v>
      </c>
      <c r="C877" s="134" t="s">
        <v>218</v>
      </c>
      <c r="D877" s="134" t="s">
        <v>219</v>
      </c>
      <c r="E877" s="134">
        <v>1254</v>
      </c>
      <c r="F877" s="134">
        <v>3708</v>
      </c>
      <c r="G877" s="134">
        <v>222</v>
      </c>
      <c r="H877" s="134">
        <v>561</v>
      </c>
      <c r="I877" s="200">
        <v>0.32198250608000001</v>
      </c>
      <c r="J877" s="134">
        <v>4269</v>
      </c>
      <c r="K877" s="134">
        <v>13258.484294600001</v>
      </c>
      <c r="L877" s="42">
        <v>0.85454789645100004</v>
      </c>
      <c r="M877" s="42">
        <v>0.30909090909100001</v>
      </c>
      <c r="N877" s="134">
        <v>0</v>
      </c>
      <c r="O877" s="43" t="s">
        <v>666</v>
      </c>
      <c r="P877" s="43">
        <f t="shared" si="187"/>
        <v>12.228269341086934</v>
      </c>
      <c r="Q877" s="43">
        <f t="shared" si="188"/>
        <v>2.7640675E-2</v>
      </c>
      <c r="R877" s="43">
        <f t="shared" si="189"/>
        <v>1.5561947E-2</v>
      </c>
      <c r="S877" s="43">
        <f t="shared" si="190"/>
        <v>0.85454789600000003</v>
      </c>
      <c r="T877" s="43">
        <f t="shared" si="191"/>
        <v>2.9923295109999999</v>
      </c>
      <c r="U877" s="43">
        <f t="shared" si="192"/>
        <v>8.1734842259999994</v>
      </c>
      <c r="V877" s="43">
        <f t="shared" si="193"/>
        <v>7.2607419999999997E-3</v>
      </c>
      <c r="W877" s="230">
        <f t="shared" si="194"/>
        <v>4.1153723781786146E-2</v>
      </c>
      <c r="X877" s="43">
        <f t="shared" si="195"/>
        <v>0.89605309300000002</v>
      </c>
      <c r="Y877" s="43">
        <v>127.8206307</v>
      </c>
      <c r="Z877" s="43">
        <f t="shared" si="184"/>
        <v>0</v>
      </c>
      <c r="AA877" s="43">
        <f t="shared" si="185"/>
        <v>230820</v>
      </c>
      <c r="AB877" s="43">
        <f t="shared" si="186"/>
        <v>76507</v>
      </c>
      <c r="AC877" s="43">
        <f t="shared" si="196"/>
        <v>2.4487274902360415E-2</v>
      </c>
      <c r="AD877" s="43">
        <f t="shared" si="197"/>
        <v>0.89458291538016477</v>
      </c>
      <c r="AF877" s="43">
        <v>12.228269341086934</v>
      </c>
      <c r="AG877" s="43">
        <v>2.7640675E-2</v>
      </c>
      <c r="AH877" s="43">
        <v>1.5561947E-2</v>
      </c>
      <c r="AI877" s="43">
        <v>0.85454789600000003</v>
      </c>
      <c r="AJ877" s="43">
        <v>2.9923295109999999</v>
      </c>
      <c r="AK877" s="43">
        <v>8.1734842259999994</v>
      </c>
      <c r="AL877" s="43">
        <v>7.2607419999999997E-3</v>
      </c>
      <c r="AM877" s="230">
        <v>4.1153723781786146E-2</v>
      </c>
      <c r="AN877" s="43">
        <v>0.89605309300000002</v>
      </c>
    </row>
    <row r="878" spans="1:40" x14ac:dyDescent="0.25">
      <c r="A878" s="134">
        <v>868</v>
      </c>
      <c r="B878" s="134" t="s">
        <v>217</v>
      </c>
      <c r="C878" s="134" t="s">
        <v>218</v>
      </c>
      <c r="D878" s="134" t="s">
        <v>219</v>
      </c>
      <c r="E878" s="134">
        <v>461</v>
      </c>
      <c r="F878" s="134">
        <v>1295</v>
      </c>
      <c r="G878" s="134">
        <v>124</v>
      </c>
      <c r="H878" s="134">
        <v>174</v>
      </c>
      <c r="I878" s="200">
        <v>2.9854157458000002E-2</v>
      </c>
      <c r="J878" s="134">
        <v>1469</v>
      </c>
      <c r="K878" s="134">
        <v>49205.877006100003</v>
      </c>
      <c r="L878" s="42">
        <v>0.87845969151500003</v>
      </c>
      <c r="M878" s="42">
        <v>0.27401574803099998</v>
      </c>
      <c r="N878" s="134">
        <v>0</v>
      </c>
      <c r="O878" s="43" t="s">
        <v>664</v>
      </c>
      <c r="P878" s="43">
        <f t="shared" si="187"/>
        <v>12.479544361220004</v>
      </c>
      <c r="Q878" s="43">
        <f t="shared" si="188"/>
        <v>2.1317355999999999E-2</v>
      </c>
      <c r="R878" s="43">
        <f t="shared" si="189"/>
        <v>1.3253104E-2</v>
      </c>
      <c r="S878" s="43">
        <f t="shared" si="190"/>
        <v>0.87845969199999996</v>
      </c>
      <c r="T878" s="43">
        <f t="shared" si="191"/>
        <v>3.0057724019999998</v>
      </c>
      <c r="U878" s="43">
        <f t="shared" si="192"/>
        <v>8.2985345870000007</v>
      </c>
      <c r="V878" s="43">
        <f t="shared" si="193"/>
        <v>5.6331710000000002E-3</v>
      </c>
      <c r="W878" s="230">
        <f t="shared" si="194"/>
        <v>2.9405944512605375E-2</v>
      </c>
      <c r="X878" s="43">
        <f t="shared" si="195"/>
        <v>0.92236250200000003</v>
      </c>
      <c r="Y878" s="43">
        <v>157.88268429999999</v>
      </c>
      <c r="Z878" s="43">
        <f t="shared" si="184"/>
        <v>0</v>
      </c>
      <c r="AA878" s="43">
        <f t="shared" si="185"/>
        <v>230820</v>
      </c>
      <c r="AB878" s="43">
        <f t="shared" si="186"/>
        <v>76507</v>
      </c>
      <c r="AC878" s="43">
        <f t="shared" si="196"/>
        <v>2.4487274902360415E-2</v>
      </c>
      <c r="AD878" s="43">
        <f t="shared" si="197"/>
        <v>0.89458291538016477</v>
      </c>
      <c r="AF878" s="43">
        <v>12.479544361220004</v>
      </c>
      <c r="AG878" s="43">
        <v>2.1317355999999999E-2</v>
      </c>
      <c r="AH878" s="43">
        <v>1.3253104E-2</v>
      </c>
      <c r="AI878" s="43">
        <v>0.87845969199999996</v>
      </c>
      <c r="AJ878" s="43">
        <v>3.0057724019999998</v>
      </c>
      <c r="AK878" s="43">
        <v>8.2985345870000007</v>
      </c>
      <c r="AL878" s="43">
        <v>5.6331710000000002E-3</v>
      </c>
      <c r="AM878" s="230">
        <v>2.9405944512605375E-2</v>
      </c>
      <c r="AN878" s="43">
        <v>0.92236250200000003</v>
      </c>
    </row>
    <row r="879" spans="1:40" x14ac:dyDescent="0.25">
      <c r="A879" s="134">
        <v>869</v>
      </c>
      <c r="B879" s="134" t="s">
        <v>217</v>
      </c>
      <c r="C879" s="134" t="s">
        <v>218</v>
      </c>
      <c r="D879" s="134" t="s">
        <v>219</v>
      </c>
      <c r="E879" s="134">
        <v>1388</v>
      </c>
      <c r="F879" s="134">
        <v>3899</v>
      </c>
      <c r="G879" s="134">
        <v>212</v>
      </c>
      <c r="H879" s="134">
        <v>1225</v>
      </c>
      <c r="I879" s="200">
        <v>0.38901217101500002</v>
      </c>
      <c r="J879" s="134">
        <v>5124</v>
      </c>
      <c r="K879" s="134">
        <v>13171.824384400001</v>
      </c>
      <c r="L879" s="42">
        <v>0.86668442347499997</v>
      </c>
      <c r="M879" s="42">
        <v>0.46880979716799998</v>
      </c>
      <c r="N879" s="134">
        <v>0</v>
      </c>
      <c r="O879" s="43" t="s">
        <v>666</v>
      </c>
      <c r="P879" s="43">
        <f t="shared" si="187"/>
        <v>12.686950579489261</v>
      </c>
      <c r="Q879" s="43">
        <f t="shared" si="188"/>
        <v>2.1213044E-2</v>
      </c>
      <c r="R879" s="43">
        <f t="shared" si="189"/>
        <v>1.3693881E-2</v>
      </c>
      <c r="S879" s="43">
        <f t="shared" si="190"/>
        <v>0.86668442300000004</v>
      </c>
      <c r="T879" s="43">
        <f t="shared" si="191"/>
        <v>3.028256002</v>
      </c>
      <c r="U879" s="43">
        <f t="shared" si="192"/>
        <v>8.4877577839999994</v>
      </c>
      <c r="V879" s="43">
        <f t="shared" si="193"/>
        <v>8.491363E-3</v>
      </c>
      <c r="W879" s="230">
        <f t="shared" si="194"/>
        <v>3.1904512219988933E-2</v>
      </c>
      <c r="X879" s="43">
        <f t="shared" si="195"/>
        <v>0.90296469499999998</v>
      </c>
      <c r="Y879" s="43">
        <v>84.856806840000004</v>
      </c>
      <c r="Z879" s="43">
        <f t="shared" si="184"/>
        <v>0</v>
      </c>
      <c r="AA879" s="43">
        <f t="shared" si="185"/>
        <v>230820</v>
      </c>
      <c r="AB879" s="43">
        <f t="shared" si="186"/>
        <v>76507</v>
      </c>
      <c r="AC879" s="43">
        <f t="shared" si="196"/>
        <v>2.4487274902360415E-2</v>
      </c>
      <c r="AD879" s="43">
        <f t="shared" si="197"/>
        <v>0.89458291538016477</v>
      </c>
      <c r="AF879" s="43">
        <v>12.686950579489261</v>
      </c>
      <c r="AG879" s="43">
        <v>2.1213044E-2</v>
      </c>
      <c r="AH879" s="43">
        <v>1.3693881E-2</v>
      </c>
      <c r="AI879" s="43">
        <v>0.86668442300000004</v>
      </c>
      <c r="AJ879" s="43">
        <v>3.028256002</v>
      </c>
      <c r="AK879" s="43">
        <v>8.4877577839999994</v>
      </c>
      <c r="AL879" s="43">
        <v>8.491363E-3</v>
      </c>
      <c r="AM879" s="230">
        <v>3.1904512219988933E-2</v>
      </c>
      <c r="AN879" s="43">
        <v>0.90296469499999998</v>
      </c>
    </row>
    <row r="880" spans="1:40" x14ac:dyDescent="0.25">
      <c r="A880" s="134">
        <v>870</v>
      </c>
      <c r="B880" s="134" t="s">
        <v>217</v>
      </c>
      <c r="C880" s="134" t="s">
        <v>218</v>
      </c>
      <c r="D880" s="134" t="s">
        <v>219</v>
      </c>
      <c r="E880" s="134">
        <v>300</v>
      </c>
      <c r="F880" s="134">
        <v>843</v>
      </c>
      <c r="G880" s="134">
        <v>72</v>
      </c>
      <c r="H880" s="134">
        <v>91</v>
      </c>
      <c r="I880" s="200">
        <v>8.1711745892500007E-2</v>
      </c>
      <c r="J880" s="134">
        <v>934</v>
      </c>
      <c r="K880" s="134">
        <v>11430.4252075</v>
      </c>
      <c r="L880" s="42">
        <v>0.87389726825299996</v>
      </c>
      <c r="M880" s="42">
        <v>0.23273657288999999</v>
      </c>
      <c r="N880" s="134">
        <v>0</v>
      </c>
      <c r="O880" s="43" t="s">
        <v>666</v>
      </c>
      <c r="P880" s="43">
        <f t="shared" si="187"/>
        <v>12.248679569783389</v>
      </c>
      <c r="Q880" s="43">
        <f t="shared" si="188"/>
        <v>1.8895907999999999E-2</v>
      </c>
      <c r="R880" s="43">
        <f t="shared" si="189"/>
        <v>1.2845317E-2</v>
      </c>
      <c r="S880" s="43">
        <f t="shared" si="190"/>
        <v>0.873897268</v>
      </c>
      <c r="T880" s="43">
        <f t="shared" si="191"/>
        <v>2.8833066449999998</v>
      </c>
      <c r="U880" s="43">
        <f t="shared" si="192"/>
        <v>7.7116624439999999</v>
      </c>
      <c r="V880" s="43">
        <f t="shared" si="193"/>
        <v>5.136074E-3</v>
      </c>
      <c r="W880" s="230">
        <f t="shared" si="194"/>
        <v>2.7768897981799968E-2</v>
      </c>
      <c r="X880" s="43">
        <f t="shared" si="195"/>
        <v>0.91405067900000003</v>
      </c>
      <c r="Y880" s="43">
        <v>95.377169809999998</v>
      </c>
      <c r="Z880" s="43">
        <f t="shared" si="184"/>
        <v>0</v>
      </c>
      <c r="AA880" s="43">
        <f t="shared" si="185"/>
        <v>230820</v>
      </c>
      <c r="AB880" s="43">
        <f t="shared" si="186"/>
        <v>76507</v>
      </c>
      <c r="AC880" s="43">
        <f t="shared" si="196"/>
        <v>2.4487274902360415E-2</v>
      </c>
      <c r="AD880" s="43">
        <f t="shared" si="197"/>
        <v>0.89458291538016477</v>
      </c>
      <c r="AF880" s="43">
        <v>12.248679569783389</v>
      </c>
      <c r="AG880" s="43">
        <v>1.8895907999999999E-2</v>
      </c>
      <c r="AH880" s="43">
        <v>1.2845317E-2</v>
      </c>
      <c r="AI880" s="43">
        <v>0.873897268</v>
      </c>
      <c r="AJ880" s="43">
        <v>2.8833066449999998</v>
      </c>
      <c r="AK880" s="43">
        <v>7.7116624439999999</v>
      </c>
      <c r="AL880" s="43">
        <v>5.136074E-3</v>
      </c>
      <c r="AM880" s="230">
        <v>2.7768897981799968E-2</v>
      </c>
      <c r="AN880" s="43">
        <v>0.91405067900000003</v>
      </c>
    </row>
    <row r="881" spans="1:40" x14ac:dyDescent="0.25">
      <c r="A881" s="134">
        <v>871</v>
      </c>
      <c r="B881" s="134" t="s">
        <v>217</v>
      </c>
      <c r="C881" s="134" t="s">
        <v>218</v>
      </c>
      <c r="D881" s="134" t="s">
        <v>219</v>
      </c>
      <c r="E881" s="134">
        <v>864</v>
      </c>
      <c r="F881" s="134">
        <v>2846</v>
      </c>
      <c r="G881" s="134">
        <v>169</v>
      </c>
      <c r="H881" s="134">
        <v>80</v>
      </c>
      <c r="I881" s="200">
        <v>0.25402048498399998</v>
      </c>
      <c r="J881" s="134">
        <v>2926</v>
      </c>
      <c r="K881" s="134">
        <v>11518.756057000001</v>
      </c>
      <c r="L881" s="42">
        <v>0.85918467428099998</v>
      </c>
      <c r="M881" s="42">
        <v>8.47457627119E-2</v>
      </c>
      <c r="N881" s="134">
        <v>0</v>
      </c>
      <c r="O881" s="43" t="s">
        <v>666</v>
      </c>
      <c r="P881" s="43">
        <f t="shared" si="187"/>
        <v>12.046833240428617</v>
      </c>
      <c r="Q881" s="43">
        <f t="shared" si="188"/>
        <v>2.8445043999999999E-2</v>
      </c>
      <c r="R881" s="43">
        <f t="shared" si="189"/>
        <v>1.4798937E-2</v>
      </c>
      <c r="S881" s="43">
        <f t="shared" si="190"/>
        <v>0.85918467399999998</v>
      </c>
      <c r="T881" s="43">
        <f t="shared" si="191"/>
        <v>2.8060080109999999</v>
      </c>
      <c r="U881" s="43">
        <f t="shared" si="192"/>
        <v>7.9021472660000001</v>
      </c>
      <c r="V881" s="43">
        <f t="shared" si="193"/>
        <v>3.860451E-3</v>
      </c>
      <c r="W881" s="230">
        <f t="shared" si="194"/>
        <v>5.3115025510813249E-2</v>
      </c>
      <c r="X881" s="43">
        <f t="shared" si="195"/>
        <v>0.90640198000000005</v>
      </c>
      <c r="Y881" s="43">
        <v>132.40660980000001</v>
      </c>
      <c r="Z881" s="43">
        <f t="shared" si="184"/>
        <v>0</v>
      </c>
      <c r="AA881" s="43">
        <f t="shared" si="185"/>
        <v>230820</v>
      </c>
      <c r="AB881" s="43">
        <f t="shared" si="186"/>
        <v>76507</v>
      </c>
      <c r="AC881" s="43">
        <f t="shared" si="196"/>
        <v>2.4487274902360415E-2</v>
      </c>
      <c r="AD881" s="43">
        <f t="shared" si="197"/>
        <v>0.89458291538016477</v>
      </c>
      <c r="AF881" s="43">
        <v>12.046833240428617</v>
      </c>
      <c r="AG881" s="43">
        <v>2.8445043999999999E-2</v>
      </c>
      <c r="AH881" s="43">
        <v>1.4798937E-2</v>
      </c>
      <c r="AI881" s="43">
        <v>0.85918467399999998</v>
      </c>
      <c r="AJ881" s="43">
        <v>2.8060080109999999</v>
      </c>
      <c r="AK881" s="43">
        <v>7.9021472660000001</v>
      </c>
      <c r="AL881" s="43">
        <v>3.860451E-3</v>
      </c>
      <c r="AM881" s="230">
        <v>5.3115025510813249E-2</v>
      </c>
      <c r="AN881" s="43">
        <v>0.90640198000000005</v>
      </c>
    </row>
    <row r="882" spans="1:40" x14ac:dyDescent="0.25">
      <c r="A882" s="134">
        <v>872</v>
      </c>
      <c r="B882" s="134" t="s">
        <v>217</v>
      </c>
      <c r="C882" s="134" t="s">
        <v>218</v>
      </c>
      <c r="D882" s="134" t="s">
        <v>219</v>
      </c>
      <c r="E882" s="134">
        <v>1065</v>
      </c>
      <c r="F882" s="134">
        <v>3506</v>
      </c>
      <c r="G882" s="134">
        <v>231</v>
      </c>
      <c r="H882" s="134">
        <v>398</v>
      </c>
      <c r="I882" s="200">
        <v>0.34799171069399998</v>
      </c>
      <c r="J882" s="134">
        <v>3904</v>
      </c>
      <c r="K882" s="134">
        <v>11218.658031299999</v>
      </c>
      <c r="L882" s="42">
        <v>0.88385613214400005</v>
      </c>
      <c r="M882" s="42">
        <v>0.272043745728</v>
      </c>
      <c r="N882" s="134">
        <v>0</v>
      </c>
      <c r="O882" s="43" t="s">
        <v>666</v>
      </c>
      <c r="P882" s="43">
        <f t="shared" si="187"/>
        <v>12.767006161500678</v>
      </c>
      <c r="Q882" s="43">
        <f t="shared" si="188"/>
        <v>2.2369626E-2</v>
      </c>
      <c r="R882" s="43">
        <f t="shared" si="189"/>
        <v>1.4664711E-2</v>
      </c>
      <c r="S882" s="43">
        <f t="shared" si="190"/>
        <v>0.88385613200000002</v>
      </c>
      <c r="T882" s="43">
        <f t="shared" si="191"/>
        <v>3.0781498410000001</v>
      </c>
      <c r="U882" s="43">
        <f t="shared" si="192"/>
        <v>8.9731200920000003</v>
      </c>
      <c r="V882" s="43">
        <f t="shared" si="193"/>
        <v>5.5846630000000001E-3</v>
      </c>
      <c r="W882" s="230">
        <f t="shared" si="194"/>
        <v>3.9825924312145974E-2</v>
      </c>
      <c r="X882" s="43">
        <f t="shared" si="195"/>
        <v>0.92728248499999999</v>
      </c>
      <c r="Y882" s="43">
        <v>135.24064849999999</v>
      </c>
      <c r="Z882" s="43">
        <f t="shared" si="184"/>
        <v>0</v>
      </c>
      <c r="AA882" s="43">
        <f t="shared" si="185"/>
        <v>230820</v>
      </c>
      <c r="AB882" s="43">
        <f t="shared" si="186"/>
        <v>76507</v>
      </c>
      <c r="AC882" s="43">
        <f t="shared" si="196"/>
        <v>2.4487274902360415E-2</v>
      </c>
      <c r="AD882" s="43">
        <f t="shared" si="197"/>
        <v>0.89458291538016477</v>
      </c>
      <c r="AF882" s="43">
        <v>12.767006161500678</v>
      </c>
      <c r="AG882" s="43">
        <v>2.2369626E-2</v>
      </c>
      <c r="AH882" s="43">
        <v>1.4664711E-2</v>
      </c>
      <c r="AI882" s="43">
        <v>0.88385613200000002</v>
      </c>
      <c r="AJ882" s="43">
        <v>3.0781498410000001</v>
      </c>
      <c r="AK882" s="43">
        <v>8.9731200920000003</v>
      </c>
      <c r="AL882" s="43">
        <v>5.5846630000000001E-3</v>
      </c>
      <c r="AM882" s="230">
        <v>3.9825924312145974E-2</v>
      </c>
      <c r="AN882" s="43">
        <v>0.92728248499999999</v>
      </c>
    </row>
    <row r="883" spans="1:40" x14ac:dyDescent="0.25">
      <c r="A883" s="134">
        <v>873</v>
      </c>
      <c r="B883" s="134" t="s">
        <v>217</v>
      </c>
      <c r="C883" s="134" t="s">
        <v>218</v>
      </c>
      <c r="D883" s="134" t="s">
        <v>219</v>
      </c>
      <c r="E883" s="134">
        <v>2057</v>
      </c>
      <c r="F883" s="134">
        <v>6471</v>
      </c>
      <c r="G883" s="134">
        <v>550</v>
      </c>
      <c r="H883" s="134">
        <v>423</v>
      </c>
      <c r="I883" s="200">
        <v>0.78073816138600005</v>
      </c>
      <c r="J883" s="134">
        <v>6894</v>
      </c>
      <c r="K883" s="134">
        <v>8830.1050735900008</v>
      </c>
      <c r="L883" s="42">
        <v>0.88567803719100002</v>
      </c>
      <c r="M883" s="42">
        <v>0.170564516129</v>
      </c>
      <c r="N883" s="134">
        <v>0</v>
      </c>
      <c r="O883" s="43" t="s">
        <v>666</v>
      </c>
      <c r="P883" s="43">
        <f t="shared" si="187"/>
        <v>12.933429424396031</v>
      </c>
      <c r="Q883" s="43">
        <f t="shared" si="188"/>
        <v>2.2395066000000002E-2</v>
      </c>
      <c r="R883" s="43">
        <f t="shared" si="189"/>
        <v>1.3261771E-2</v>
      </c>
      <c r="S883" s="43">
        <f t="shared" si="190"/>
        <v>0.88567803700000003</v>
      </c>
      <c r="T883" s="43">
        <f t="shared" si="191"/>
        <v>3.1399516649999999</v>
      </c>
      <c r="U883" s="43">
        <f t="shared" si="192"/>
        <v>9.2854611130000002</v>
      </c>
      <c r="V883" s="43">
        <f t="shared" si="193"/>
        <v>3.8411209999999999E-3</v>
      </c>
      <c r="W883" s="230">
        <f t="shared" si="194"/>
        <v>4.1899576089774904E-2</v>
      </c>
      <c r="X883" s="43">
        <f t="shared" si="195"/>
        <v>0.93218642399999996</v>
      </c>
      <c r="Y883" s="43">
        <v>116.0709944</v>
      </c>
      <c r="Z883" s="43">
        <f t="shared" si="184"/>
        <v>0</v>
      </c>
      <c r="AA883" s="43">
        <f t="shared" si="185"/>
        <v>230820</v>
      </c>
      <c r="AB883" s="43">
        <f t="shared" si="186"/>
        <v>76507</v>
      </c>
      <c r="AC883" s="43">
        <f t="shared" si="196"/>
        <v>2.4487274902360415E-2</v>
      </c>
      <c r="AD883" s="43">
        <f t="shared" si="197"/>
        <v>0.89458291538016477</v>
      </c>
      <c r="AF883" s="43">
        <v>12.933429424396031</v>
      </c>
      <c r="AG883" s="43">
        <v>2.2395066000000002E-2</v>
      </c>
      <c r="AH883" s="43">
        <v>1.3261771E-2</v>
      </c>
      <c r="AI883" s="43">
        <v>0.88567803700000003</v>
      </c>
      <c r="AJ883" s="43">
        <v>3.1399516649999999</v>
      </c>
      <c r="AK883" s="43">
        <v>9.2854611130000002</v>
      </c>
      <c r="AL883" s="43">
        <v>3.8411209999999999E-3</v>
      </c>
      <c r="AM883" s="230">
        <v>4.1899576089774904E-2</v>
      </c>
      <c r="AN883" s="43">
        <v>0.93218642399999996</v>
      </c>
    </row>
    <row r="884" spans="1:40" x14ac:dyDescent="0.25">
      <c r="A884" s="134">
        <v>874</v>
      </c>
      <c r="B884" s="134" t="s">
        <v>217</v>
      </c>
      <c r="C884" s="134" t="s">
        <v>218</v>
      </c>
      <c r="D884" s="134" t="s">
        <v>219</v>
      </c>
      <c r="E884" s="134">
        <v>485</v>
      </c>
      <c r="F884" s="134">
        <v>1587</v>
      </c>
      <c r="G884" s="134">
        <v>85</v>
      </c>
      <c r="H884" s="134">
        <v>56</v>
      </c>
      <c r="I884" s="200">
        <v>0.136742870598</v>
      </c>
      <c r="J884" s="134">
        <v>1643</v>
      </c>
      <c r="K884" s="134">
        <v>12015.251638399999</v>
      </c>
      <c r="L884" s="42">
        <v>0.88516744754599996</v>
      </c>
      <c r="M884" s="42">
        <v>0.10351201478700001</v>
      </c>
      <c r="N884" s="134">
        <v>0</v>
      </c>
      <c r="O884" s="43" t="s">
        <v>666</v>
      </c>
      <c r="P884" s="43">
        <f t="shared" si="187"/>
        <v>12.928933594518112</v>
      </c>
      <c r="Q884" s="43">
        <f t="shared" si="188"/>
        <v>2.0971198999999999E-2</v>
      </c>
      <c r="R884" s="43">
        <f t="shared" si="189"/>
        <v>1.4637592E-2</v>
      </c>
      <c r="S884" s="43">
        <f t="shared" si="190"/>
        <v>0.88516744800000002</v>
      </c>
      <c r="T884" s="43">
        <f t="shared" si="191"/>
        <v>3.2275788730000001</v>
      </c>
      <c r="U884" s="43">
        <f t="shared" si="192"/>
        <v>9.1106238650000009</v>
      </c>
      <c r="V884" s="43">
        <f t="shared" si="193"/>
        <v>3.6127360000000001E-3</v>
      </c>
      <c r="W884" s="230">
        <f t="shared" si="194"/>
        <v>3.1323611147870738E-2</v>
      </c>
      <c r="X884" s="43">
        <f t="shared" si="195"/>
        <v>0.92617050000000001</v>
      </c>
      <c r="Y884" s="43">
        <v>153.86303789999999</v>
      </c>
      <c r="Z884" s="43">
        <f t="shared" si="184"/>
        <v>0</v>
      </c>
      <c r="AA884" s="43">
        <f t="shared" si="185"/>
        <v>230820</v>
      </c>
      <c r="AB884" s="43">
        <f t="shared" si="186"/>
        <v>76507</v>
      </c>
      <c r="AC884" s="43">
        <f t="shared" si="196"/>
        <v>2.4487274902360415E-2</v>
      </c>
      <c r="AD884" s="43">
        <f t="shared" si="197"/>
        <v>0.89458291538016477</v>
      </c>
      <c r="AF884" s="43">
        <v>12.928933594518112</v>
      </c>
      <c r="AG884" s="43">
        <v>2.0971198999999999E-2</v>
      </c>
      <c r="AH884" s="43">
        <v>1.4637592E-2</v>
      </c>
      <c r="AI884" s="43">
        <v>0.88516744800000002</v>
      </c>
      <c r="AJ884" s="43">
        <v>3.2275788730000001</v>
      </c>
      <c r="AK884" s="43">
        <v>9.1106238650000009</v>
      </c>
      <c r="AL884" s="43">
        <v>3.6127360000000001E-3</v>
      </c>
      <c r="AM884" s="230">
        <v>3.1323611147870738E-2</v>
      </c>
      <c r="AN884" s="43">
        <v>0.92617050000000001</v>
      </c>
    </row>
    <row r="885" spans="1:40" x14ac:dyDescent="0.25">
      <c r="A885" s="134">
        <v>875</v>
      </c>
      <c r="B885" s="134" t="s">
        <v>217</v>
      </c>
      <c r="C885" s="134" t="s">
        <v>218</v>
      </c>
      <c r="D885" s="134" t="s">
        <v>219</v>
      </c>
      <c r="E885" s="134">
        <v>1704</v>
      </c>
      <c r="F885" s="134">
        <v>5574</v>
      </c>
      <c r="G885" s="134">
        <v>305</v>
      </c>
      <c r="H885" s="134">
        <v>488</v>
      </c>
      <c r="I885" s="200">
        <v>0.48738744847600002</v>
      </c>
      <c r="J885" s="134">
        <v>6062</v>
      </c>
      <c r="K885" s="134">
        <v>12437.743357900001</v>
      </c>
      <c r="L885" s="42">
        <v>0.83996437665900003</v>
      </c>
      <c r="M885" s="42">
        <v>0.22262773722599999</v>
      </c>
      <c r="N885" s="134">
        <v>0</v>
      </c>
      <c r="O885" s="43" t="s">
        <v>666</v>
      </c>
      <c r="P885" s="43">
        <f t="shared" si="187"/>
        <v>13.002763672604171</v>
      </c>
      <c r="Q885" s="43">
        <f t="shared" si="188"/>
        <v>2.3042394000000001E-2</v>
      </c>
      <c r="R885" s="43">
        <f t="shared" si="189"/>
        <v>3.9980488000000002E-2</v>
      </c>
      <c r="S885" s="43">
        <f t="shared" si="190"/>
        <v>0.83996437700000004</v>
      </c>
      <c r="T885" s="43">
        <f t="shared" si="191"/>
        <v>2.9326433569999999</v>
      </c>
      <c r="U885" s="43">
        <f t="shared" si="192"/>
        <v>9.0765197719999993</v>
      </c>
      <c r="V885" s="43">
        <f t="shared" si="193"/>
        <v>5.4841680000000002E-3</v>
      </c>
      <c r="W885" s="230">
        <f t="shared" si="194"/>
        <v>3.1267096326541503E-2</v>
      </c>
      <c r="X885" s="43">
        <f t="shared" si="195"/>
        <v>0.92495296400000004</v>
      </c>
      <c r="Y885" s="43">
        <v>163.53934459999999</v>
      </c>
      <c r="Z885" s="43">
        <f t="shared" si="184"/>
        <v>0</v>
      </c>
      <c r="AA885" s="43">
        <f t="shared" si="185"/>
        <v>230820</v>
      </c>
      <c r="AB885" s="43">
        <f t="shared" si="186"/>
        <v>76507</v>
      </c>
      <c r="AC885" s="43">
        <f t="shared" si="196"/>
        <v>2.4487274902360415E-2</v>
      </c>
      <c r="AD885" s="43">
        <f t="shared" si="197"/>
        <v>0.89458291538016477</v>
      </c>
      <c r="AF885" s="43">
        <v>13.002763672604171</v>
      </c>
      <c r="AG885" s="43">
        <v>2.3042394000000001E-2</v>
      </c>
      <c r="AH885" s="43">
        <v>3.9980488000000002E-2</v>
      </c>
      <c r="AI885" s="43">
        <v>0.83996437700000004</v>
      </c>
      <c r="AJ885" s="43">
        <v>2.9326433569999999</v>
      </c>
      <c r="AK885" s="43">
        <v>9.0765197719999993</v>
      </c>
      <c r="AL885" s="43">
        <v>5.4841680000000002E-3</v>
      </c>
      <c r="AM885" s="230">
        <v>3.1267096326541503E-2</v>
      </c>
      <c r="AN885" s="43">
        <v>0.92495296400000004</v>
      </c>
    </row>
    <row r="886" spans="1:40" x14ac:dyDescent="0.25">
      <c r="A886" s="134">
        <v>876</v>
      </c>
      <c r="B886" s="134" t="s">
        <v>217</v>
      </c>
      <c r="C886" s="134" t="s">
        <v>218</v>
      </c>
      <c r="D886" s="134" t="s">
        <v>219</v>
      </c>
      <c r="E886" s="134">
        <v>805</v>
      </c>
      <c r="F886" s="134">
        <v>2974</v>
      </c>
      <c r="G886" s="134">
        <v>189</v>
      </c>
      <c r="H886" s="134">
        <v>185</v>
      </c>
      <c r="I886" s="200">
        <v>0.29736732623399997</v>
      </c>
      <c r="J886" s="134">
        <v>3159</v>
      </c>
      <c r="K886" s="134">
        <v>10623.224952099999</v>
      </c>
      <c r="L886" s="42">
        <v>0.88248398091900004</v>
      </c>
      <c r="M886" s="42">
        <v>0.18686868686899999</v>
      </c>
      <c r="N886" s="134">
        <v>0</v>
      </c>
      <c r="O886" s="43" t="s">
        <v>666</v>
      </c>
      <c r="P886" s="43">
        <f t="shared" si="187"/>
        <v>12.505813142673356</v>
      </c>
      <c r="Q886" s="43">
        <f t="shared" si="188"/>
        <v>2.2410680999999998E-2</v>
      </c>
      <c r="R886" s="43">
        <f t="shared" si="189"/>
        <v>1.4301639999999999E-2</v>
      </c>
      <c r="S886" s="43">
        <f t="shared" si="190"/>
        <v>0.88248398100000003</v>
      </c>
      <c r="T886" s="43">
        <f t="shared" si="191"/>
        <v>3.0026968360000001</v>
      </c>
      <c r="U886" s="43">
        <f t="shared" si="192"/>
        <v>8.9825126189999995</v>
      </c>
      <c r="V886" s="43">
        <f t="shared" si="193"/>
        <v>4.8686670000000001E-3</v>
      </c>
      <c r="W886" s="230">
        <f t="shared" si="194"/>
        <v>3.5035573547805739E-2</v>
      </c>
      <c r="X886" s="43">
        <f t="shared" si="195"/>
        <v>0.92612268499999995</v>
      </c>
      <c r="Y886" s="43">
        <v>104.87356680000001</v>
      </c>
      <c r="Z886" s="43">
        <f t="shared" si="184"/>
        <v>0</v>
      </c>
      <c r="AA886" s="43">
        <f t="shared" si="185"/>
        <v>230820</v>
      </c>
      <c r="AB886" s="43">
        <f t="shared" si="186"/>
        <v>76507</v>
      </c>
      <c r="AC886" s="43">
        <f t="shared" si="196"/>
        <v>2.4487274902360415E-2</v>
      </c>
      <c r="AD886" s="43">
        <f t="shared" si="197"/>
        <v>0.89458291538016477</v>
      </c>
      <c r="AF886" s="43">
        <v>12.505813142673356</v>
      </c>
      <c r="AG886" s="43">
        <v>2.2410680999999998E-2</v>
      </c>
      <c r="AH886" s="43">
        <v>1.4301639999999999E-2</v>
      </c>
      <c r="AI886" s="43">
        <v>0.88248398100000003</v>
      </c>
      <c r="AJ886" s="43">
        <v>3.0026968360000001</v>
      </c>
      <c r="AK886" s="43">
        <v>8.9825126189999995</v>
      </c>
      <c r="AL886" s="43">
        <v>4.8686670000000001E-3</v>
      </c>
      <c r="AM886" s="230">
        <v>3.5035573547805739E-2</v>
      </c>
      <c r="AN886" s="43">
        <v>0.92612268499999995</v>
      </c>
    </row>
    <row r="887" spans="1:40" x14ac:dyDescent="0.25">
      <c r="A887" s="134">
        <v>877</v>
      </c>
      <c r="B887" s="134" t="s">
        <v>217</v>
      </c>
      <c r="C887" s="134" t="s">
        <v>218</v>
      </c>
      <c r="D887" s="134" t="s">
        <v>219</v>
      </c>
      <c r="E887" s="134">
        <v>954</v>
      </c>
      <c r="F887" s="134">
        <v>3132</v>
      </c>
      <c r="G887" s="134">
        <v>322</v>
      </c>
      <c r="H887" s="134">
        <v>1328</v>
      </c>
      <c r="I887" s="200">
        <v>0.68123497289699997</v>
      </c>
      <c r="J887" s="134">
        <v>4460</v>
      </c>
      <c r="K887" s="134">
        <v>6546.9334039599999</v>
      </c>
      <c r="L887" s="42">
        <v>0.88147917818599997</v>
      </c>
      <c r="M887" s="42">
        <v>0.58194566169999995</v>
      </c>
      <c r="N887" s="134">
        <v>0</v>
      </c>
      <c r="O887" s="43" t="s">
        <v>666</v>
      </c>
      <c r="P887" s="43">
        <f t="shared" si="187"/>
        <v>13.41719535182366</v>
      </c>
      <c r="Q887" s="43">
        <f t="shared" si="188"/>
        <v>1.9372956E-2</v>
      </c>
      <c r="R887" s="43">
        <f t="shared" si="189"/>
        <v>1.9473378E-2</v>
      </c>
      <c r="S887" s="43">
        <f t="shared" si="190"/>
        <v>0.88147917799999997</v>
      </c>
      <c r="T887" s="43">
        <f t="shared" si="191"/>
        <v>3.1421918660000001</v>
      </c>
      <c r="U887" s="43">
        <f t="shared" si="192"/>
        <v>9.4454463050000008</v>
      </c>
      <c r="V887" s="43">
        <f t="shared" si="193"/>
        <v>5.450992E-3</v>
      </c>
      <c r="W887" s="230">
        <f t="shared" si="194"/>
        <v>2.6128299346441897E-2</v>
      </c>
      <c r="X887" s="43">
        <f t="shared" si="195"/>
        <v>0.93905734299999999</v>
      </c>
      <c r="Y887" s="43">
        <v>84.781799719999995</v>
      </c>
      <c r="Z887" s="43">
        <f t="shared" si="184"/>
        <v>0</v>
      </c>
      <c r="AA887" s="43">
        <f t="shared" si="185"/>
        <v>230820</v>
      </c>
      <c r="AB887" s="43">
        <f t="shared" si="186"/>
        <v>76507</v>
      </c>
      <c r="AC887" s="43">
        <f t="shared" si="196"/>
        <v>2.4487274902360415E-2</v>
      </c>
      <c r="AD887" s="43">
        <f t="shared" si="197"/>
        <v>0.89458291538016477</v>
      </c>
      <c r="AF887" s="43">
        <v>13.41719535182366</v>
      </c>
      <c r="AG887" s="43">
        <v>1.9372956E-2</v>
      </c>
      <c r="AH887" s="43">
        <v>1.9473378E-2</v>
      </c>
      <c r="AI887" s="43">
        <v>0.88147917799999997</v>
      </c>
      <c r="AJ887" s="43">
        <v>3.1421918660000001</v>
      </c>
      <c r="AK887" s="43">
        <v>9.4454463050000008</v>
      </c>
      <c r="AL887" s="43">
        <v>5.450992E-3</v>
      </c>
      <c r="AM887" s="230">
        <v>2.6128299346441897E-2</v>
      </c>
      <c r="AN887" s="43">
        <v>0.93905734299999999</v>
      </c>
    </row>
    <row r="888" spans="1:40" x14ac:dyDescent="0.25">
      <c r="A888" s="134">
        <v>878</v>
      </c>
      <c r="B888" s="134" t="s">
        <v>217</v>
      </c>
      <c r="C888" s="134" t="s">
        <v>218</v>
      </c>
      <c r="D888" s="134" t="s">
        <v>219</v>
      </c>
      <c r="E888" s="134">
        <v>593</v>
      </c>
      <c r="F888" s="134">
        <v>1948</v>
      </c>
      <c r="G888" s="134">
        <v>221</v>
      </c>
      <c r="H888" s="134">
        <v>0</v>
      </c>
      <c r="I888" s="200">
        <v>0.38842761591699998</v>
      </c>
      <c r="J888" s="134">
        <v>1948</v>
      </c>
      <c r="K888" s="134">
        <v>5015.0914100199998</v>
      </c>
      <c r="L888" s="42">
        <v>0.87723594024999996</v>
      </c>
      <c r="M888" s="42">
        <v>0</v>
      </c>
      <c r="N888" s="134">
        <v>0</v>
      </c>
      <c r="O888" s="43" t="s">
        <v>666</v>
      </c>
      <c r="P888" s="43">
        <f t="shared" si="187"/>
        <v>13.338855239394022</v>
      </c>
      <c r="Q888" s="43">
        <f t="shared" si="188"/>
        <v>1.7661347000000001E-2</v>
      </c>
      <c r="R888" s="43">
        <f t="shared" si="189"/>
        <v>3.2746260999999999E-2</v>
      </c>
      <c r="S888" s="43">
        <f t="shared" si="190"/>
        <v>0.87723594000000005</v>
      </c>
      <c r="T888" s="43">
        <f t="shared" si="191"/>
        <v>2.9122078180000002</v>
      </c>
      <c r="U888" s="43">
        <f t="shared" si="192"/>
        <v>9.6576988870000005</v>
      </c>
      <c r="V888" s="43">
        <f t="shared" si="193"/>
        <v>2.6656620000000001E-3</v>
      </c>
      <c r="W888" s="230">
        <f t="shared" si="194"/>
        <v>3.3788310165801375E-2</v>
      </c>
      <c r="X888" s="43">
        <f t="shared" si="195"/>
        <v>0.942374253</v>
      </c>
      <c r="Y888" s="43">
        <v>90.311856849999998</v>
      </c>
      <c r="Z888" s="43">
        <f t="shared" si="184"/>
        <v>0</v>
      </c>
      <c r="AA888" s="43">
        <f t="shared" si="185"/>
        <v>230820</v>
      </c>
      <c r="AB888" s="43">
        <f t="shared" si="186"/>
        <v>76507</v>
      </c>
      <c r="AC888" s="43">
        <f t="shared" si="196"/>
        <v>2.4487274902360415E-2</v>
      </c>
      <c r="AD888" s="43">
        <f t="shared" si="197"/>
        <v>0.89458291538016477</v>
      </c>
      <c r="AF888" s="43">
        <v>13.338855239394022</v>
      </c>
      <c r="AG888" s="43">
        <v>1.7661347000000001E-2</v>
      </c>
      <c r="AH888" s="43">
        <v>3.2746260999999999E-2</v>
      </c>
      <c r="AI888" s="43">
        <v>0.87723594000000005</v>
      </c>
      <c r="AJ888" s="43">
        <v>2.9122078180000002</v>
      </c>
      <c r="AK888" s="43">
        <v>9.6576988870000005</v>
      </c>
      <c r="AL888" s="43">
        <v>2.6656620000000001E-3</v>
      </c>
      <c r="AM888" s="230">
        <v>3.3788310165801375E-2</v>
      </c>
      <c r="AN888" s="43">
        <v>0.942374253</v>
      </c>
    </row>
    <row r="889" spans="1:40" x14ac:dyDescent="0.25">
      <c r="A889" s="134">
        <v>879</v>
      </c>
      <c r="B889" s="134" t="s">
        <v>217</v>
      </c>
      <c r="C889" s="134" t="s">
        <v>218</v>
      </c>
      <c r="D889" s="134" t="s">
        <v>219</v>
      </c>
      <c r="E889" s="134">
        <v>119</v>
      </c>
      <c r="F889" s="134">
        <v>391</v>
      </c>
      <c r="G889" s="134">
        <v>210</v>
      </c>
      <c r="H889" s="134">
        <v>530</v>
      </c>
      <c r="I889" s="200">
        <v>6.0721391355299997E-2</v>
      </c>
      <c r="J889" s="134">
        <v>921</v>
      </c>
      <c r="K889" s="134">
        <v>15167.6366342</v>
      </c>
      <c r="L889" s="42">
        <v>0.87073602543999995</v>
      </c>
      <c r="M889" s="42">
        <v>0.81664098613299996</v>
      </c>
      <c r="N889" s="134">
        <v>0</v>
      </c>
      <c r="O889" s="43" t="s">
        <v>664</v>
      </c>
      <c r="P889" s="43">
        <f t="shared" si="187"/>
        <v>13.707220379928097</v>
      </c>
      <c r="Q889" s="43">
        <f t="shared" si="188"/>
        <v>1.3092164E-2</v>
      </c>
      <c r="R889" s="43">
        <f t="shared" si="189"/>
        <v>4.2710224999999997E-2</v>
      </c>
      <c r="S889" s="43">
        <f t="shared" si="190"/>
        <v>0.87073602500000002</v>
      </c>
      <c r="T889" s="43">
        <f t="shared" si="191"/>
        <v>2.876741269</v>
      </c>
      <c r="U889" s="43">
        <f t="shared" si="192"/>
        <v>8.6677149359999994</v>
      </c>
      <c r="V889" s="43">
        <f t="shared" si="193"/>
        <v>6.2792280000000004E-3</v>
      </c>
      <c r="W889" s="230">
        <f t="shared" si="194"/>
        <v>1.0295670538542766E-2</v>
      </c>
      <c r="X889" s="43">
        <f t="shared" si="195"/>
        <v>0.944938905</v>
      </c>
      <c r="Y889" s="43">
        <v>36.132994369999999</v>
      </c>
      <c r="Z889" s="43">
        <f t="shared" si="184"/>
        <v>0</v>
      </c>
      <c r="AA889" s="43">
        <f t="shared" si="185"/>
        <v>230820</v>
      </c>
      <c r="AB889" s="43">
        <f t="shared" si="186"/>
        <v>76507</v>
      </c>
      <c r="AC889" s="43">
        <f t="shared" si="196"/>
        <v>2.4487274902360415E-2</v>
      </c>
      <c r="AD889" s="43">
        <f t="shared" si="197"/>
        <v>0.89458291538016477</v>
      </c>
      <c r="AF889" s="43">
        <v>13.707220379928097</v>
      </c>
      <c r="AG889" s="43">
        <v>1.3092164E-2</v>
      </c>
      <c r="AH889" s="43">
        <v>4.2710224999999997E-2</v>
      </c>
      <c r="AI889" s="43">
        <v>0.87073602500000002</v>
      </c>
      <c r="AJ889" s="43">
        <v>2.876741269</v>
      </c>
      <c r="AK889" s="43">
        <v>8.6677149359999994</v>
      </c>
      <c r="AL889" s="43">
        <v>6.2792280000000004E-3</v>
      </c>
      <c r="AM889" s="230">
        <v>1.0295670538542766E-2</v>
      </c>
      <c r="AN889" s="43">
        <v>0.944938905</v>
      </c>
    </row>
    <row r="890" spans="1:40" x14ac:dyDescent="0.25">
      <c r="A890" s="134">
        <v>880</v>
      </c>
      <c r="B890" s="134" t="s">
        <v>217</v>
      </c>
      <c r="C890" s="134" t="s">
        <v>218</v>
      </c>
      <c r="D890" s="134" t="s">
        <v>219</v>
      </c>
      <c r="E890" s="134">
        <v>870</v>
      </c>
      <c r="F890" s="134">
        <v>2847</v>
      </c>
      <c r="G890" s="134">
        <v>182</v>
      </c>
      <c r="H890" s="134">
        <v>450</v>
      </c>
      <c r="I890" s="200">
        <v>0.28577530255</v>
      </c>
      <c r="J890" s="134">
        <v>3297</v>
      </c>
      <c r="K890" s="134">
        <v>11537.0361629</v>
      </c>
      <c r="L890" s="42">
        <v>0.88727307952500001</v>
      </c>
      <c r="M890" s="42">
        <v>0.34090909090900001</v>
      </c>
      <c r="N890" s="134">
        <v>0</v>
      </c>
      <c r="O890" s="43" t="s">
        <v>666</v>
      </c>
      <c r="P890" s="43">
        <f t="shared" si="187"/>
        <v>14.2582808628446</v>
      </c>
      <c r="Q890" s="43">
        <f t="shared" si="188"/>
        <v>2.0019645999999999E-2</v>
      </c>
      <c r="R890" s="43">
        <f t="shared" si="189"/>
        <v>1.3211607E-2</v>
      </c>
      <c r="S890" s="43">
        <f t="shared" si="190"/>
        <v>0.88727308000000005</v>
      </c>
      <c r="T890" s="43">
        <f t="shared" si="191"/>
        <v>3.7757334020000002</v>
      </c>
      <c r="U890" s="43">
        <f t="shared" si="192"/>
        <v>10.39256863</v>
      </c>
      <c r="V890" s="43">
        <f t="shared" si="193"/>
        <v>4.0840240000000003E-3</v>
      </c>
      <c r="W890" s="230">
        <f t="shared" si="194"/>
        <v>2.8655117583061347E-2</v>
      </c>
      <c r="X890" s="43">
        <f t="shared" si="195"/>
        <v>0.93402516199999996</v>
      </c>
      <c r="Y890" s="43">
        <v>130.91346820000001</v>
      </c>
      <c r="Z890" s="43">
        <f t="shared" si="184"/>
        <v>0</v>
      </c>
      <c r="AA890" s="43">
        <f t="shared" si="185"/>
        <v>230820</v>
      </c>
      <c r="AB890" s="43">
        <f t="shared" si="186"/>
        <v>76507</v>
      </c>
      <c r="AC890" s="43">
        <f t="shared" si="196"/>
        <v>2.4487274902360415E-2</v>
      </c>
      <c r="AD890" s="43">
        <f t="shared" si="197"/>
        <v>0.89458291538016477</v>
      </c>
      <c r="AF890" s="43">
        <v>14.2582808628446</v>
      </c>
      <c r="AG890" s="43">
        <v>2.0019645999999999E-2</v>
      </c>
      <c r="AH890" s="43">
        <v>1.3211607E-2</v>
      </c>
      <c r="AI890" s="43">
        <v>0.88727308000000005</v>
      </c>
      <c r="AJ890" s="43">
        <v>3.7757334020000002</v>
      </c>
      <c r="AK890" s="43">
        <v>10.39256863</v>
      </c>
      <c r="AL890" s="43">
        <v>4.0840240000000003E-3</v>
      </c>
      <c r="AM890" s="230">
        <v>2.8655117583061347E-2</v>
      </c>
      <c r="AN890" s="43">
        <v>0.93402516199999996</v>
      </c>
    </row>
    <row r="891" spans="1:40" x14ac:dyDescent="0.25">
      <c r="A891" s="134">
        <v>881</v>
      </c>
      <c r="B891" s="134" t="s">
        <v>217</v>
      </c>
      <c r="C891" s="134" t="s">
        <v>218</v>
      </c>
      <c r="D891" s="134" t="s">
        <v>219</v>
      </c>
      <c r="E891" s="134">
        <v>417</v>
      </c>
      <c r="F891" s="134">
        <v>1363</v>
      </c>
      <c r="G891" s="134">
        <v>377</v>
      </c>
      <c r="H891" s="134">
        <v>58</v>
      </c>
      <c r="I891" s="200">
        <v>0.59169249167799998</v>
      </c>
      <c r="J891" s="134">
        <v>1421</v>
      </c>
      <c r="K891" s="134">
        <v>2401.5853166799998</v>
      </c>
      <c r="L891" s="42">
        <v>0.90940968341799999</v>
      </c>
      <c r="M891" s="42">
        <v>0.12210526315799999</v>
      </c>
      <c r="N891" s="134">
        <v>0</v>
      </c>
      <c r="O891" s="43" t="s">
        <v>665</v>
      </c>
      <c r="P891" s="43">
        <f t="shared" si="187"/>
        <v>13.895666263407307</v>
      </c>
      <c r="Q891" s="43">
        <f t="shared" si="188"/>
        <v>1.6844858000000001E-2</v>
      </c>
      <c r="R891" s="43">
        <f t="shared" si="189"/>
        <v>1.3763647E-2</v>
      </c>
      <c r="S891" s="43">
        <f t="shared" si="190"/>
        <v>0.90940968300000002</v>
      </c>
      <c r="T891" s="43">
        <f t="shared" si="191"/>
        <v>3.7783792649999999</v>
      </c>
      <c r="U891" s="43">
        <f t="shared" si="192"/>
        <v>10.325045859999999</v>
      </c>
      <c r="V891" s="43">
        <f t="shared" si="193"/>
        <v>1.4183760000000001E-3</v>
      </c>
      <c r="W891" s="230">
        <f t="shared" si="194"/>
        <v>3.2548000836095436E-2</v>
      </c>
      <c r="X891" s="43">
        <f t="shared" si="195"/>
        <v>0.944548956</v>
      </c>
      <c r="Y891" s="43">
        <v>51.153468320000002</v>
      </c>
      <c r="Z891" s="43">
        <f t="shared" si="184"/>
        <v>0</v>
      </c>
      <c r="AA891" s="43">
        <f t="shared" si="185"/>
        <v>230820</v>
      </c>
      <c r="AB891" s="43">
        <f t="shared" si="186"/>
        <v>76507</v>
      </c>
      <c r="AC891" s="43">
        <f t="shared" si="196"/>
        <v>2.4487274902360415E-2</v>
      </c>
      <c r="AD891" s="43">
        <f t="shared" si="197"/>
        <v>0.89458291538016477</v>
      </c>
      <c r="AF891" s="43">
        <v>13.895666263407307</v>
      </c>
      <c r="AG891" s="43">
        <v>1.6844858000000001E-2</v>
      </c>
      <c r="AH891" s="43">
        <v>1.3763647E-2</v>
      </c>
      <c r="AI891" s="43">
        <v>0.90940968300000002</v>
      </c>
      <c r="AJ891" s="43">
        <v>3.7783792649999999</v>
      </c>
      <c r="AK891" s="43">
        <v>10.325045859999999</v>
      </c>
      <c r="AL891" s="43">
        <v>1.4183760000000001E-3</v>
      </c>
      <c r="AM891" s="230">
        <v>3.2548000836095436E-2</v>
      </c>
      <c r="AN891" s="43">
        <v>0.944548956</v>
      </c>
    </row>
    <row r="892" spans="1:40" x14ac:dyDescent="0.25">
      <c r="A892" s="134">
        <v>882</v>
      </c>
      <c r="B892" s="134" t="s">
        <v>217</v>
      </c>
      <c r="C892" s="134" t="s">
        <v>218</v>
      </c>
      <c r="D892" s="134" t="s">
        <v>219</v>
      </c>
      <c r="E892" s="134">
        <v>336</v>
      </c>
      <c r="F892" s="134">
        <v>1099</v>
      </c>
      <c r="G892" s="134">
        <v>255</v>
      </c>
      <c r="H892" s="134">
        <v>275</v>
      </c>
      <c r="I892" s="200">
        <v>0.35899272319800002</v>
      </c>
      <c r="J892" s="134">
        <v>1374</v>
      </c>
      <c r="K892" s="134">
        <v>3827.3756296800002</v>
      </c>
      <c r="L892" s="42">
        <v>0.90302685967399998</v>
      </c>
      <c r="M892" s="42">
        <v>0.45008183306100003</v>
      </c>
      <c r="N892" s="134">
        <v>0</v>
      </c>
      <c r="O892" s="43" t="s">
        <v>666</v>
      </c>
      <c r="P892" s="43">
        <f t="shared" si="187"/>
        <v>14.23901147079277</v>
      </c>
      <c r="Q892" s="43">
        <f t="shared" si="188"/>
        <v>1.5768325E-2</v>
      </c>
      <c r="R892" s="43">
        <f t="shared" si="189"/>
        <v>1.2705235E-2</v>
      </c>
      <c r="S892" s="43">
        <f t="shared" si="190"/>
        <v>0.90302685999999999</v>
      </c>
      <c r="T892" s="43">
        <f t="shared" si="191"/>
        <v>3.576350696</v>
      </c>
      <c r="U892" s="43">
        <f t="shared" si="192"/>
        <v>10.06408864</v>
      </c>
      <c r="V892" s="43">
        <f t="shared" si="193"/>
        <v>3.3409809999999998E-3</v>
      </c>
      <c r="W892" s="230">
        <f t="shared" si="194"/>
        <v>2.3467375115726767E-2</v>
      </c>
      <c r="X892" s="43">
        <f t="shared" si="195"/>
        <v>0.94459874700000002</v>
      </c>
      <c r="Y892" s="43">
        <v>29.729265600000002</v>
      </c>
      <c r="Z892" s="43">
        <f t="shared" si="184"/>
        <v>0</v>
      </c>
      <c r="AA892" s="43">
        <f t="shared" si="185"/>
        <v>230820</v>
      </c>
      <c r="AB892" s="43">
        <f t="shared" si="186"/>
        <v>76507</v>
      </c>
      <c r="AC892" s="43">
        <f t="shared" si="196"/>
        <v>2.4487274902360415E-2</v>
      </c>
      <c r="AD892" s="43">
        <f t="shared" si="197"/>
        <v>0.89458291538016477</v>
      </c>
      <c r="AF892" s="43">
        <v>14.23901147079277</v>
      </c>
      <c r="AG892" s="43">
        <v>1.5768325E-2</v>
      </c>
      <c r="AH892" s="43">
        <v>1.2705235E-2</v>
      </c>
      <c r="AI892" s="43">
        <v>0.90302685999999999</v>
      </c>
      <c r="AJ892" s="43">
        <v>3.576350696</v>
      </c>
      <c r="AK892" s="43">
        <v>10.06408864</v>
      </c>
      <c r="AL892" s="43">
        <v>3.3409809999999998E-3</v>
      </c>
      <c r="AM892" s="230">
        <v>2.3467375115726767E-2</v>
      </c>
      <c r="AN892" s="43">
        <v>0.94459874700000002</v>
      </c>
    </row>
    <row r="893" spans="1:40" x14ac:dyDescent="0.25">
      <c r="A893" s="134">
        <v>883</v>
      </c>
      <c r="B893" s="134" t="s">
        <v>217</v>
      </c>
      <c r="C893" s="134" t="s">
        <v>218</v>
      </c>
      <c r="D893" s="134" t="s">
        <v>219</v>
      </c>
      <c r="E893" s="134">
        <v>547</v>
      </c>
      <c r="F893" s="134">
        <v>1789</v>
      </c>
      <c r="G893" s="134">
        <v>208</v>
      </c>
      <c r="H893" s="134">
        <v>105</v>
      </c>
      <c r="I893" s="200">
        <v>0.32578199265000002</v>
      </c>
      <c r="J893" s="134">
        <v>1894</v>
      </c>
      <c r="K893" s="134">
        <v>5813.7037734699998</v>
      </c>
      <c r="L893" s="42">
        <v>0.89848978580100003</v>
      </c>
      <c r="M893" s="42">
        <v>0.161042944785</v>
      </c>
      <c r="N893" s="134">
        <v>0</v>
      </c>
      <c r="O893" s="43" t="s">
        <v>665</v>
      </c>
      <c r="P893" s="43">
        <f t="shared" si="187"/>
        <v>14.137012995991213</v>
      </c>
      <c r="Q893" s="43">
        <f t="shared" si="188"/>
        <v>2.0794162000000001E-2</v>
      </c>
      <c r="R893" s="43">
        <f t="shared" si="189"/>
        <v>1.3113109E-2</v>
      </c>
      <c r="S893" s="43">
        <f t="shared" si="190"/>
        <v>0.89848978599999996</v>
      </c>
      <c r="T893" s="43">
        <f t="shared" si="191"/>
        <v>3.8841983849999999</v>
      </c>
      <c r="U893" s="43">
        <f t="shared" si="192"/>
        <v>10.12439401</v>
      </c>
      <c r="V893" s="43">
        <f t="shared" si="193"/>
        <v>2.2879039999999999E-3</v>
      </c>
      <c r="W893" s="230">
        <f t="shared" si="194"/>
        <v>4.1039956212370006E-2</v>
      </c>
      <c r="X893" s="43">
        <f t="shared" si="195"/>
        <v>0.93516146700000002</v>
      </c>
      <c r="Y893" s="43">
        <v>75.982391899999996</v>
      </c>
      <c r="Z893" s="43">
        <f t="shared" si="184"/>
        <v>0</v>
      </c>
      <c r="AA893" s="43">
        <f t="shared" si="185"/>
        <v>230820</v>
      </c>
      <c r="AB893" s="43">
        <f t="shared" si="186"/>
        <v>76507</v>
      </c>
      <c r="AC893" s="43">
        <f t="shared" si="196"/>
        <v>2.4487274902360415E-2</v>
      </c>
      <c r="AD893" s="43">
        <f t="shared" si="197"/>
        <v>0.89458291538016477</v>
      </c>
      <c r="AF893" s="43">
        <v>14.137012995991213</v>
      </c>
      <c r="AG893" s="43">
        <v>2.0794162000000001E-2</v>
      </c>
      <c r="AH893" s="43">
        <v>1.3113109E-2</v>
      </c>
      <c r="AI893" s="43">
        <v>0.89848978599999996</v>
      </c>
      <c r="AJ893" s="43">
        <v>3.8841983849999999</v>
      </c>
      <c r="AK893" s="43">
        <v>10.12439401</v>
      </c>
      <c r="AL893" s="43">
        <v>2.2879039999999999E-3</v>
      </c>
      <c r="AM893" s="230">
        <v>4.1039956212370006E-2</v>
      </c>
      <c r="AN893" s="43">
        <v>0.93516146700000002</v>
      </c>
    </row>
    <row r="894" spans="1:40" x14ac:dyDescent="0.25">
      <c r="A894" s="134">
        <v>884</v>
      </c>
      <c r="B894" s="134" t="s">
        <v>217</v>
      </c>
      <c r="C894" s="134" t="s">
        <v>218</v>
      </c>
      <c r="D894" s="134" t="s">
        <v>219</v>
      </c>
      <c r="E894" s="134">
        <v>928</v>
      </c>
      <c r="F894" s="134">
        <v>3035</v>
      </c>
      <c r="G894" s="134">
        <v>254</v>
      </c>
      <c r="H894" s="134">
        <v>649</v>
      </c>
      <c r="I894" s="200">
        <v>0.39811357469199998</v>
      </c>
      <c r="J894" s="134">
        <v>3684</v>
      </c>
      <c r="K894" s="134">
        <v>9253.64075529</v>
      </c>
      <c r="L894" s="42">
        <v>0.88444190416599999</v>
      </c>
      <c r="M894" s="42">
        <v>0.41154090044399999</v>
      </c>
      <c r="N894" s="134">
        <v>0</v>
      </c>
      <c r="O894" s="43" t="s">
        <v>666</v>
      </c>
      <c r="P894" s="43">
        <f t="shared" si="187"/>
        <v>14.653439881322491</v>
      </c>
      <c r="Q894" s="43">
        <f t="shared" si="188"/>
        <v>1.7305945E-2</v>
      </c>
      <c r="R894" s="43">
        <f t="shared" si="189"/>
        <v>1.2400482000000001E-2</v>
      </c>
      <c r="S894" s="43">
        <f t="shared" si="190"/>
        <v>0.884441904</v>
      </c>
      <c r="T894" s="43">
        <f t="shared" si="191"/>
        <v>3.6632619800000001</v>
      </c>
      <c r="U894" s="43">
        <f t="shared" si="192"/>
        <v>9.9725552149999999</v>
      </c>
      <c r="V894" s="43">
        <f t="shared" si="193"/>
        <v>4.1495739999999996E-3</v>
      </c>
      <c r="W894" s="230">
        <f t="shared" si="194"/>
        <v>2.9155717715560425E-2</v>
      </c>
      <c r="X894" s="43">
        <f t="shared" si="195"/>
        <v>0.92779836299999996</v>
      </c>
      <c r="Y894" s="43">
        <v>97.921636469999996</v>
      </c>
      <c r="Z894" s="43">
        <f t="shared" si="184"/>
        <v>0</v>
      </c>
      <c r="AA894" s="43">
        <f t="shared" si="185"/>
        <v>230820</v>
      </c>
      <c r="AB894" s="43">
        <f t="shared" si="186"/>
        <v>76507</v>
      </c>
      <c r="AC894" s="43">
        <f t="shared" si="196"/>
        <v>2.4487274902360415E-2</v>
      </c>
      <c r="AD894" s="43">
        <f t="shared" si="197"/>
        <v>0.89458291538016477</v>
      </c>
      <c r="AF894" s="43">
        <v>14.653439881322491</v>
      </c>
      <c r="AG894" s="43">
        <v>1.7305945E-2</v>
      </c>
      <c r="AH894" s="43">
        <v>1.2400482000000001E-2</v>
      </c>
      <c r="AI894" s="43">
        <v>0.884441904</v>
      </c>
      <c r="AJ894" s="43">
        <v>3.6632619800000001</v>
      </c>
      <c r="AK894" s="43">
        <v>9.9725552149999999</v>
      </c>
      <c r="AL894" s="43">
        <v>4.1495739999999996E-3</v>
      </c>
      <c r="AM894" s="230">
        <v>2.9155717715560425E-2</v>
      </c>
      <c r="AN894" s="43">
        <v>0.92779836299999996</v>
      </c>
    </row>
    <row r="895" spans="1:40" x14ac:dyDescent="0.25">
      <c r="A895" s="134">
        <v>885</v>
      </c>
      <c r="B895" s="134" t="s">
        <v>217</v>
      </c>
      <c r="C895" s="134" t="s">
        <v>218</v>
      </c>
      <c r="D895" s="134" t="s">
        <v>219</v>
      </c>
      <c r="E895" s="134">
        <v>7</v>
      </c>
      <c r="F895" s="134">
        <v>25</v>
      </c>
      <c r="G895" s="134">
        <v>178</v>
      </c>
      <c r="H895" s="134">
        <v>1337</v>
      </c>
      <c r="I895" s="200">
        <v>0.28106473916699998</v>
      </c>
      <c r="J895" s="134">
        <v>1362</v>
      </c>
      <c r="K895" s="134">
        <v>4845.8586588899998</v>
      </c>
      <c r="L895" s="42">
        <v>0.89513051041900005</v>
      </c>
      <c r="M895" s="42">
        <v>0.99479166666700003</v>
      </c>
      <c r="N895" s="134">
        <v>0</v>
      </c>
      <c r="O895" s="43" t="s">
        <v>666</v>
      </c>
      <c r="P895" s="43">
        <f t="shared" si="187"/>
        <v>17.210308020469817</v>
      </c>
      <c r="Q895" s="43">
        <f t="shared" si="188"/>
        <v>8.3385197999999994E-2</v>
      </c>
      <c r="R895" s="43">
        <f t="shared" si="189"/>
        <v>3.061865E-3</v>
      </c>
      <c r="S895" s="43">
        <f t="shared" si="190"/>
        <v>0.89513050999999999</v>
      </c>
      <c r="T895" s="43">
        <f t="shared" si="191"/>
        <v>4.5104166670000003</v>
      </c>
      <c r="U895" s="43">
        <f t="shared" si="192"/>
        <v>9.3335632099999994</v>
      </c>
      <c r="V895" s="43">
        <f t="shared" si="193"/>
        <v>4.3223339999999997E-3</v>
      </c>
      <c r="W895" s="230">
        <f t="shared" si="194"/>
        <v>1.1788184929736214E-2</v>
      </c>
      <c r="X895" s="43">
        <f t="shared" si="195"/>
        <v>0.97027102499999995</v>
      </c>
      <c r="Y895" s="43">
        <v>5.2286307880000003</v>
      </c>
      <c r="Z895" s="43">
        <f t="shared" si="184"/>
        <v>0</v>
      </c>
      <c r="AA895" s="43">
        <f t="shared" si="185"/>
        <v>230820</v>
      </c>
      <c r="AB895" s="43">
        <f t="shared" si="186"/>
        <v>76507</v>
      </c>
      <c r="AC895" s="43">
        <f t="shared" si="196"/>
        <v>2.4487274902360415E-2</v>
      </c>
      <c r="AD895" s="43">
        <f t="shared" si="197"/>
        <v>0.89458291538016477</v>
      </c>
      <c r="AF895" s="43">
        <v>17.210308020469817</v>
      </c>
      <c r="AG895" s="43">
        <v>8.3385197999999994E-2</v>
      </c>
      <c r="AH895" s="43">
        <v>3.061865E-3</v>
      </c>
      <c r="AI895" s="43">
        <v>0.89513050999999999</v>
      </c>
      <c r="AJ895" s="43">
        <v>4.5104166670000003</v>
      </c>
      <c r="AK895" s="43">
        <v>9.3335632099999994</v>
      </c>
      <c r="AL895" s="43">
        <v>4.3223339999999997E-3</v>
      </c>
      <c r="AM895" s="230">
        <v>1.1788184929736214E-2</v>
      </c>
      <c r="AN895" s="43">
        <v>0.97027102499999995</v>
      </c>
    </row>
    <row r="896" spans="1:40" x14ac:dyDescent="0.25">
      <c r="A896" s="134">
        <v>886</v>
      </c>
      <c r="B896" s="134" t="s">
        <v>217</v>
      </c>
      <c r="C896" s="134" t="s">
        <v>218</v>
      </c>
      <c r="D896" s="134" t="s">
        <v>219</v>
      </c>
      <c r="E896" s="134">
        <v>135</v>
      </c>
      <c r="F896" s="134">
        <v>471</v>
      </c>
      <c r="G896" s="134">
        <v>1886</v>
      </c>
      <c r="H896" s="134">
        <v>76</v>
      </c>
      <c r="I896" s="200">
        <v>2.9797183877100002</v>
      </c>
      <c r="J896" s="134">
        <v>547</v>
      </c>
      <c r="K896" s="134">
        <v>183.57439490100001</v>
      </c>
      <c r="L896" s="42">
        <v>0.93725759657999996</v>
      </c>
      <c r="M896" s="42">
        <v>0.36018957346000002</v>
      </c>
      <c r="N896" s="134">
        <v>0</v>
      </c>
      <c r="O896" s="43" t="s">
        <v>665</v>
      </c>
      <c r="P896" s="43">
        <f t="shared" si="187"/>
        <v>16.313972989143167</v>
      </c>
      <c r="Q896" s="43">
        <f t="shared" si="188"/>
        <v>1.8247060999999998E-2</v>
      </c>
      <c r="R896" s="43">
        <f t="shared" si="189"/>
        <v>1.0658116E-2</v>
      </c>
      <c r="S896" s="43">
        <f t="shared" si="190"/>
        <v>0.937257597</v>
      </c>
      <c r="T896" s="43">
        <f t="shared" si="191"/>
        <v>5.3690773070000004</v>
      </c>
      <c r="U896" s="43">
        <f t="shared" si="192"/>
        <v>12.82458293</v>
      </c>
      <c r="V896" s="43">
        <f t="shared" si="193"/>
        <v>8.8625399999999995E-4</v>
      </c>
      <c r="W896" s="230">
        <f t="shared" si="194"/>
        <v>3.1263370209644883E-2</v>
      </c>
      <c r="X896" s="43">
        <f t="shared" si="195"/>
        <v>0.94346311400000005</v>
      </c>
      <c r="Y896" s="43">
        <v>4.4578853540000001</v>
      </c>
      <c r="Z896" s="43">
        <f t="shared" si="184"/>
        <v>0</v>
      </c>
      <c r="AA896" s="43">
        <f t="shared" si="185"/>
        <v>230820</v>
      </c>
      <c r="AB896" s="43">
        <f t="shared" si="186"/>
        <v>76507</v>
      </c>
      <c r="AC896" s="43">
        <f t="shared" si="196"/>
        <v>2.4487274902360415E-2</v>
      </c>
      <c r="AD896" s="43">
        <f t="shared" si="197"/>
        <v>0.89458291538016477</v>
      </c>
      <c r="AF896" s="43">
        <v>16.313972989143167</v>
      </c>
      <c r="AG896" s="43">
        <v>1.8247060999999998E-2</v>
      </c>
      <c r="AH896" s="43">
        <v>1.0658116E-2</v>
      </c>
      <c r="AI896" s="43">
        <v>0.937257597</v>
      </c>
      <c r="AJ896" s="43">
        <v>5.3690773070000004</v>
      </c>
      <c r="AK896" s="43">
        <v>12.82458293</v>
      </c>
      <c r="AL896" s="43">
        <v>8.8625399999999995E-4</v>
      </c>
      <c r="AM896" s="230">
        <v>3.1263370209644883E-2</v>
      </c>
      <c r="AN896" s="43">
        <v>0.94346311400000005</v>
      </c>
    </row>
    <row r="897" spans="1:40" x14ac:dyDescent="0.25">
      <c r="A897" s="134">
        <v>887</v>
      </c>
      <c r="B897" s="134" t="s">
        <v>217</v>
      </c>
      <c r="C897" s="134" t="s">
        <v>218</v>
      </c>
      <c r="D897" s="134" t="s">
        <v>219</v>
      </c>
      <c r="E897" s="134">
        <v>1062</v>
      </c>
      <c r="F897" s="134">
        <v>3698</v>
      </c>
      <c r="G897" s="134">
        <v>1628</v>
      </c>
      <c r="H897" s="134">
        <v>42</v>
      </c>
      <c r="I897" s="200">
        <v>2.5708600549099998</v>
      </c>
      <c r="J897" s="134">
        <v>3740</v>
      </c>
      <c r="K897" s="134">
        <v>1454.7660783199999</v>
      </c>
      <c r="L897" s="42">
        <v>0.92604008445399999</v>
      </c>
      <c r="M897" s="42">
        <v>3.8043478260900002E-2</v>
      </c>
      <c r="N897" s="134">
        <v>0</v>
      </c>
      <c r="O897" s="43" t="s">
        <v>665</v>
      </c>
      <c r="P897" s="43">
        <f t="shared" si="187"/>
        <v>14.312151014943614</v>
      </c>
      <c r="Q897" s="43">
        <f t="shared" si="188"/>
        <v>2.4065811999999999E-2</v>
      </c>
      <c r="R897" s="43">
        <f t="shared" si="189"/>
        <v>1.2608879999999999E-2</v>
      </c>
      <c r="S897" s="43">
        <f t="shared" si="190"/>
        <v>0.92604008400000004</v>
      </c>
      <c r="T897" s="43">
        <f t="shared" si="191"/>
        <v>5.2684943999999998</v>
      </c>
      <c r="U897" s="43">
        <f t="shared" si="192"/>
        <v>12.098939570000001</v>
      </c>
      <c r="V897" s="43">
        <f t="shared" si="193"/>
        <v>6.13417E-4</v>
      </c>
      <c r="W897" s="230">
        <f t="shared" si="194"/>
        <v>3.8566597635462815E-2</v>
      </c>
      <c r="X897" s="43">
        <f t="shared" si="195"/>
        <v>0.95346423000000002</v>
      </c>
      <c r="Y897" s="43">
        <v>21.393670749999998</v>
      </c>
      <c r="Z897" s="43">
        <f t="shared" si="184"/>
        <v>0</v>
      </c>
      <c r="AA897" s="43">
        <f t="shared" si="185"/>
        <v>230820</v>
      </c>
      <c r="AB897" s="43">
        <f t="shared" si="186"/>
        <v>76507</v>
      </c>
      <c r="AC897" s="43">
        <f t="shared" si="196"/>
        <v>2.4487274902360415E-2</v>
      </c>
      <c r="AD897" s="43">
        <f t="shared" si="197"/>
        <v>0.89458291538016477</v>
      </c>
      <c r="AF897" s="43">
        <v>14.312151014943614</v>
      </c>
      <c r="AG897" s="43">
        <v>2.4065811999999999E-2</v>
      </c>
      <c r="AH897" s="43">
        <v>1.2608879999999999E-2</v>
      </c>
      <c r="AI897" s="43">
        <v>0.92604008400000004</v>
      </c>
      <c r="AJ897" s="43">
        <v>5.2684943999999998</v>
      </c>
      <c r="AK897" s="43">
        <v>12.098939570000001</v>
      </c>
      <c r="AL897" s="43">
        <v>6.13417E-4</v>
      </c>
      <c r="AM897" s="230">
        <v>3.8566597635462815E-2</v>
      </c>
      <c r="AN897" s="43">
        <v>0.95346423000000002</v>
      </c>
    </row>
    <row r="898" spans="1:40" x14ac:dyDescent="0.25">
      <c r="A898" s="134">
        <v>888</v>
      </c>
      <c r="B898" s="134" t="s">
        <v>217</v>
      </c>
      <c r="C898" s="134" t="s">
        <v>218</v>
      </c>
      <c r="D898" s="134" t="s">
        <v>219</v>
      </c>
      <c r="E898" s="134">
        <v>300</v>
      </c>
      <c r="F898" s="134">
        <v>986</v>
      </c>
      <c r="G898" s="134">
        <v>89</v>
      </c>
      <c r="H898" s="134">
        <v>116</v>
      </c>
      <c r="I898" s="200">
        <v>0.142739255131</v>
      </c>
      <c r="J898" s="134">
        <v>1102</v>
      </c>
      <c r="K898" s="134">
        <v>7720.3709588600004</v>
      </c>
      <c r="L898" s="42">
        <v>0.90487631792400003</v>
      </c>
      <c r="M898" s="42">
        <v>0.27884615384599998</v>
      </c>
      <c r="N898" s="134">
        <v>0</v>
      </c>
      <c r="O898" s="43" t="s">
        <v>666</v>
      </c>
      <c r="P898" s="43">
        <f t="shared" si="187"/>
        <v>14.551721614513276</v>
      </c>
      <c r="Q898" s="43">
        <f t="shared" si="188"/>
        <v>2.2288117999999999E-2</v>
      </c>
      <c r="R898" s="43">
        <f t="shared" si="189"/>
        <v>1.2195864000000001E-2</v>
      </c>
      <c r="S898" s="43">
        <f t="shared" si="190"/>
        <v>0.90487631800000001</v>
      </c>
      <c r="T898" s="43">
        <f t="shared" si="191"/>
        <v>4.2700911350000004</v>
      </c>
      <c r="U898" s="43">
        <f t="shared" si="192"/>
        <v>10.348647290000001</v>
      </c>
      <c r="V898" s="43">
        <f t="shared" si="193"/>
        <v>2.5967659999999999E-3</v>
      </c>
      <c r="W898" s="230">
        <f t="shared" si="194"/>
        <v>3.5783112853176549E-2</v>
      </c>
      <c r="X898" s="43">
        <f t="shared" si="195"/>
        <v>0.92859709300000004</v>
      </c>
      <c r="Y898" s="43">
        <v>128.41410250000001</v>
      </c>
      <c r="Z898" s="43">
        <f t="shared" si="184"/>
        <v>0</v>
      </c>
      <c r="AA898" s="43">
        <f t="shared" si="185"/>
        <v>230820</v>
      </c>
      <c r="AB898" s="43">
        <f t="shared" si="186"/>
        <v>76507</v>
      </c>
      <c r="AC898" s="43">
        <f t="shared" si="196"/>
        <v>2.4487274902360415E-2</v>
      </c>
      <c r="AD898" s="43">
        <f t="shared" si="197"/>
        <v>0.89458291538016477</v>
      </c>
      <c r="AF898" s="43">
        <v>14.551721614513276</v>
      </c>
      <c r="AG898" s="43">
        <v>2.2288117999999999E-2</v>
      </c>
      <c r="AH898" s="43">
        <v>1.2195864000000001E-2</v>
      </c>
      <c r="AI898" s="43">
        <v>0.90487631800000001</v>
      </c>
      <c r="AJ898" s="43">
        <v>4.2700911350000004</v>
      </c>
      <c r="AK898" s="43">
        <v>10.348647290000001</v>
      </c>
      <c r="AL898" s="43">
        <v>2.5967659999999999E-3</v>
      </c>
      <c r="AM898" s="230">
        <v>3.5783112853176549E-2</v>
      </c>
      <c r="AN898" s="43">
        <v>0.92859709300000004</v>
      </c>
    </row>
    <row r="899" spans="1:40" x14ac:dyDescent="0.25">
      <c r="A899" s="134">
        <v>889</v>
      </c>
      <c r="B899" s="134" t="s">
        <v>217</v>
      </c>
      <c r="C899" s="134" t="s">
        <v>218</v>
      </c>
      <c r="D899" s="134" t="s">
        <v>219</v>
      </c>
      <c r="E899" s="134">
        <v>346</v>
      </c>
      <c r="F899" s="134">
        <v>1139</v>
      </c>
      <c r="G899" s="134">
        <v>157</v>
      </c>
      <c r="H899" s="134">
        <v>128</v>
      </c>
      <c r="I899" s="200">
        <v>0.25129501783899999</v>
      </c>
      <c r="J899" s="134">
        <v>1267</v>
      </c>
      <c r="K899" s="134">
        <v>5041.8826879099997</v>
      </c>
      <c r="L899" s="42">
        <v>0.91445401670899995</v>
      </c>
      <c r="M899" s="42">
        <v>0.27004219409300001</v>
      </c>
      <c r="N899" s="134">
        <v>1</v>
      </c>
      <c r="O899" s="43" t="s">
        <v>666</v>
      </c>
      <c r="P899" s="43">
        <f t="shared" si="187"/>
        <v>14.616853371448187</v>
      </c>
      <c r="Q899" s="43">
        <f t="shared" si="188"/>
        <v>2.1883963999999999E-2</v>
      </c>
      <c r="R899" s="43">
        <f t="shared" si="189"/>
        <v>1.2385571E-2</v>
      </c>
      <c r="S899" s="43">
        <f t="shared" si="190"/>
        <v>0.91445401699999995</v>
      </c>
      <c r="T899" s="43">
        <f t="shared" si="191"/>
        <v>4.6053323319999997</v>
      </c>
      <c r="U899" s="43">
        <f t="shared" si="192"/>
        <v>10.952074420000001</v>
      </c>
      <c r="V899" s="43">
        <f t="shared" si="193"/>
        <v>2.3318589999999999E-3</v>
      </c>
      <c r="W899" s="230">
        <f t="shared" si="194"/>
        <v>3.3211322941251287E-2</v>
      </c>
      <c r="X899" s="43">
        <f t="shared" si="195"/>
        <v>0.93774643499999999</v>
      </c>
      <c r="Y899" s="43">
        <v>89.755716320000005</v>
      </c>
      <c r="Z899" s="43">
        <f t="shared" si="184"/>
        <v>0</v>
      </c>
      <c r="AA899" s="43">
        <f t="shared" si="185"/>
        <v>230820</v>
      </c>
      <c r="AB899" s="43">
        <f t="shared" si="186"/>
        <v>76507</v>
      </c>
      <c r="AC899" s="43">
        <f t="shared" si="196"/>
        <v>2.4487274902360415E-2</v>
      </c>
      <c r="AD899" s="43">
        <f t="shared" si="197"/>
        <v>0.89458291538016477</v>
      </c>
      <c r="AF899" s="43">
        <v>14.616853371448187</v>
      </c>
      <c r="AG899" s="43">
        <v>2.1883963999999999E-2</v>
      </c>
      <c r="AH899" s="43">
        <v>1.2385571E-2</v>
      </c>
      <c r="AI899" s="43">
        <v>0.91445401699999995</v>
      </c>
      <c r="AJ899" s="43">
        <v>4.6053323319999997</v>
      </c>
      <c r="AK899" s="43">
        <v>10.952074420000001</v>
      </c>
      <c r="AL899" s="43">
        <v>2.3318589999999999E-3</v>
      </c>
      <c r="AM899" s="230">
        <v>3.3211322941251287E-2</v>
      </c>
      <c r="AN899" s="43">
        <v>0.93774643499999999</v>
      </c>
    </row>
    <row r="900" spans="1:40" x14ac:dyDescent="0.25">
      <c r="A900" s="134">
        <v>890</v>
      </c>
      <c r="B900" s="134" t="s">
        <v>217</v>
      </c>
      <c r="C900" s="134" t="s">
        <v>218</v>
      </c>
      <c r="D900" s="134" t="s">
        <v>219</v>
      </c>
      <c r="E900" s="134">
        <v>413</v>
      </c>
      <c r="F900" s="134">
        <v>1359</v>
      </c>
      <c r="G900" s="134">
        <v>192</v>
      </c>
      <c r="H900" s="134">
        <v>102</v>
      </c>
      <c r="I900" s="200">
        <v>0.30818233840999998</v>
      </c>
      <c r="J900" s="134">
        <v>1461</v>
      </c>
      <c r="K900" s="134">
        <v>4740.6999620400002</v>
      </c>
      <c r="L900" s="42">
        <v>0.90794070785199998</v>
      </c>
      <c r="M900" s="42">
        <v>0.19805825242700001</v>
      </c>
      <c r="N900" s="134">
        <v>0</v>
      </c>
      <c r="O900" s="43" t="s">
        <v>666</v>
      </c>
      <c r="P900" s="43">
        <f t="shared" si="187"/>
        <v>14.259975630251851</v>
      </c>
      <c r="Q900" s="43">
        <f t="shared" si="188"/>
        <v>2.2728110999999999E-2</v>
      </c>
      <c r="R900" s="43">
        <f t="shared" si="189"/>
        <v>1.2627638E-2</v>
      </c>
      <c r="S900" s="43">
        <f t="shared" si="190"/>
        <v>0.90794070800000004</v>
      </c>
      <c r="T900" s="43">
        <f t="shared" si="191"/>
        <v>4.1884528059999999</v>
      </c>
      <c r="U900" s="43">
        <f t="shared" si="192"/>
        <v>10.52042477</v>
      </c>
      <c r="V900" s="43">
        <f t="shared" si="193"/>
        <v>1.9610119999999998E-3</v>
      </c>
      <c r="W900" s="230">
        <f t="shared" si="194"/>
        <v>3.8871902052611887E-2</v>
      </c>
      <c r="X900" s="43">
        <f t="shared" si="195"/>
        <v>0.93487376</v>
      </c>
      <c r="Y900" s="43">
        <v>43.248868209999998</v>
      </c>
      <c r="Z900" s="43">
        <f t="shared" si="184"/>
        <v>0</v>
      </c>
      <c r="AA900" s="43">
        <f t="shared" si="185"/>
        <v>230820</v>
      </c>
      <c r="AB900" s="43">
        <f t="shared" si="186"/>
        <v>76507</v>
      </c>
      <c r="AC900" s="43">
        <f t="shared" si="196"/>
        <v>2.4487274902360415E-2</v>
      </c>
      <c r="AD900" s="43">
        <f t="shared" si="197"/>
        <v>0.89458291538016477</v>
      </c>
      <c r="AF900" s="43">
        <v>14.259975630251851</v>
      </c>
      <c r="AG900" s="43">
        <v>2.2728110999999999E-2</v>
      </c>
      <c r="AH900" s="43">
        <v>1.2627638E-2</v>
      </c>
      <c r="AI900" s="43">
        <v>0.90794070800000004</v>
      </c>
      <c r="AJ900" s="43">
        <v>4.1884528059999999</v>
      </c>
      <c r="AK900" s="43">
        <v>10.52042477</v>
      </c>
      <c r="AL900" s="43">
        <v>1.9610119999999998E-3</v>
      </c>
      <c r="AM900" s="230">
        <v>3.8871902052611887E-2</v>
      </c>
      <c r="AN900" s="43">
        <v>0.93487376</v>
      </c>
    </row>
    <row r="901" spans="1:40" x14ac:dyDescent="0.25">
      <c r="A901" s="134">
        <v>891</v>
      </c>
      <c r="B901" s="134" t="s">
        <v>217</v>
      </c>
      <c r="C901" s="134" t="s">
        <v>218</v>
      </c>
      <c r="D901" s="134" t="s">
        <v>219</v>
      </c>
      <c r="E901" s="134">
        <v>376</v>
      </c>
      <c r="F901" s="134">
        <v>1239</v>
      </c>
      <c r="G901" s="134">
        <v>132</v>
      </c>
      <c r="H901" s="134">
        <v>128</v>
      </c>
      <c r="I901" s="200">
        <v>0.21238669434900001</v>
      </c>
      <c r="J901" s="134">
        <v>1367</v>
      </c>
      <c r="K901" s="134">
        <v>6436.3730703199999</v>
      </c>
      <c r="L901" s="42">
        <v>0.89570458563400002</v>
      </c>
      <c r="M901" s="42">
        <v>0.25396825396799999</v>
      </c>
      <c r="N901" s="134">
        <v>1</v>
      </c>
      <c r="O901" s="43" t="s">
        <v>666</v>
      </c>
      <c r="P901" s="43">
        <f t="shared" si="187"/>
        <v>13.799990080953501</v>
      </c>
      <c r="Q901" s="43">
        <f t="shared" si="188"/>
        <v>1.9224149999999999E-2</v>
      </c>
      <c r="R901" s="43">
        <f t="shared" si="189"/>
        <v>1.2570991E-2</v>
      </c>
      <c r="S901" s="43">
        <f t="shared" si="190"/>
        <v>0.89570458600000002</v>
      </c>
      <c r="T901" s="43">
        <f t="shared" si="191"/>
        <v>3.4316803980000001</v>
      </c>
      <c r="U901" s="43">
        <f t="shared" si="192"/>
        <v>9.3951047110000001</v>
      </c>
      <c r="V901" s="43">
        <f t="shared" si="193"/>
        <v>2.6851700000000002E-3</v>
      </c>
      <c r="W901" s="230">
        <f t="shared" si="194"/>
        <v>3.0547136704418568E-2</v>
      </c>
      <c r="X901" s="43">
        <f t="shared" si="195"/>
        <v>0.93782900000000002</v>
      </c>
      <c r="Y901" s="43">
        <v>141.39832749999999</v>
      </c>
      <c r="Z901" s="43">
        <f t="shared" si="184"/>
        <v>0</v>
      </c>
      <c r="AA901" s="43">
        <f t="shared" si="185"/>
        <v>230820</v>
      </c>
      <c r="AB901" s="43">
        <f t="shared" si="186"/>
        <v>76507</v>
      </c>
      <c r="AC901" s="43">
        <f t="shared" si="196"/>
        <v>2.4487274902360415E-2</v>
      </c>
      <c r="AD901" s="43">
        <f t="shared" si="197"/>
        <v>0.89458291538016477</v>
      </c>
      <c r="AF901" s="43">
        <v>13.799990080953501</v>
      </c>
      <c r="AG901" s="43">
        <v>1.9224149999999999E-2</v>
      </c>
      <c r="AH901" s="43">
        <v>1.2570991E-2</v>
      </c>
      <c r="AI901" s="43">
        <v>0.89570458600000002</v>
      </c>
      <c r="AJ901" s="43">
        <v>3.4316803980000001</v>
      </c>
      <c r="AK901" s="43">
        <v>9.3951047110000001</v>
      </c>
      <c r="AL901" s="43">
        <v>2.6851700000000002E-3</v>
      </c>
      <c r="AM901" s="230">
        <v>3.0547136704418568E-2</v>
      </c>
      <c r="AN901" s="43">
        <v>0.93782900000000002</v>
      </c>
    </row>
    <row r="902" spans="1:40" x14ac:dyDescent="0.25">
      <c r="A902" s="134">
        <v>892</v>
      </c>
      <c r="B902" s="134" t="s">
        <v>217</v>
      </c>
      <c r="C902" s="134" t="s">
        <v>218</v>
      </c>
      <c r="D902" s="134" t="s">
        <v>219</v>
      </c>
      <c r="E902" s="134">
        <v>0</v>
      </c>
      <c r="F902" s="134">
        <v>0</v>
      </c>
      <c r="G902" s="134">
        <v>152</v>
      </c>
      <c r="H902" s="134">
        <v>2072</v>
      </c>
      <c r="I902" s="200">
        <v>0.35201264327100001</v>
      </c>
      <c r="J902" s="134">
        <v>2072</v>
      </c>
      <c r="K902" s="134">
        <v>5886.1522152799998</v>
      </c>
      <c r="L902" s="42">
        <v>0.92696950424299995</v>
      </c>
      <c r="M902" s="42">
        <v>1</v>
      </c>
      <c r="N902" s="134">
        <v>0</v>
      </c>
      <c r="O902" s="43" t="s">
        <v>666</v>
      </c>
      <c r="P902" s="43">
        <f t="shared" si="187"/>
        <v>15.699212346158328</v>
      </c>
      <c r="Q902" s="43">
        <f t="shared" si="188"/>
        <v>3.3515138999999999E-2</v>
      </c>
      <c r="R902" s="43">
        <f t="shared" si="189"/>
        <v>7.310759E-3</v>
      </c>
      <c r="S902" s="43">
        <f t="shared" si="190"/>
        <v>0.926969504</v>
      </c>
      <c r="T902" s="43">
        <f t="shared" si="191"/>
        <v>4.716352477</v>
      </c>
      <c r="U902" s="43">
        <f t="shared" si="192"/>
        <v>9.3078592439999994</v>
      </c>
      <c r="V902" s="43">
        <f t="shared" si="193"/>
        <v>6.2869140000000002E-3</v>
      </c>
      <c r="W902" s="230">
        <f t="shared" si="194"/>
        <v>3.6616396121986555E-2</v>
      </c>
      <c r="X902" s="43">
        <f t="shared" si="195"/>
        <v>0.93966605999999997</v>
      </c>
      <c r="Y902" s="43">
        <v>6.7585073879999999</v>
      </c>
      <c r="Z902" s="43">
        <f t="shared" si="184"/>
        <v>0</v>
      </c>
      <c r="AA902" s="43">
        <f t="shared" si="185"/>
        <v>230820</v>
      </c>
      <c r="AB902" s="43">
        <f t="shared" si="186"/>
        <v>76507</v>
      </c>
      <c r="AC902" s="43">
        <f t="shared" si="196"/>
        <v>2.4487274902360415E-2</v>
      </c>
      <c r="AD902" s="43">
        <f t="shared" si="197"/>
        <v>0.89458291538016477</v>
      </c>
      <c r="AF902" s="43">
        <v>15.699212346158328</v>
      </c>
      <c r="AG902" s="43">
        <v>3.3515138999999999E-2</v>
      </c>
      <c r="AH902" s="43">
        <v>7.310759E-3</v>
      </c>
      <c r="AI902" s="43">
        <v>0.926969504</v>
      </c>
      <c r="AJ902" s="43">
        <v>4.716352477</v>
      </c>
      <c r="AK902" s="43">
        <v>9.3078592439999994</v>
      </c>
      <c r="AL902" s="43">
        <v>6.2869140000000002E-3</v>
      </c>
      <c r="AM902" s="230">
        <v>3.6616396121986555E-2</v>
      </c>
      <c r="AN902" s="43">
        <v>0.93966605999999997</v>
      </c>
    </row>
    <row r="903" spans="1:40" x14ac:dyDescent="0.25">
      <c r="A903" s="134">
        <v>893</v>
      </c>
      <c r="B903" s="134" t="s">
        <v>217</v>
      </c>
      <c r="C903" s="134" t="s">
        <v>218</v>
      </c>
      <c r="D903" s="134" t="s">
        <v>219</v>
      </c>
      <c r="E903" s="134">
        <v>0</v>
      </c>
      <c r="F903" s="134">
        <v>0</v>
      </c>
      <c r="G903" s="134">
        <v>147</v>
      </c>
      <c r="H903" s="134">
        <v>1528</v>
      </c>
      <c r="I903" s="200">
        <v>0.34137073835300003</v>
      </c>
      <c r="J903" s="134">
        <v>1528</v>
      </c>
      <c r="K903" s="134">
        <v>4476.0719895599996</v>
      </c>
      <c r="L903" s="42">
        <v>0.90610628337700005</v>
      </c>
      <c r="M903" s="42">
        <v>1</v>
      </c>
      <c r="N903" s="134">
        <v>0</v>
      </c>
      <c r="O903" s="43" t="s">
        <v>666</v>
      </c>
      <c r="P903" s="43">
        <f t="shared" si="187"/>
        <v>15.816313975107436</v>
      </c>
      <c r="Q903" s="43">
        <f t="shared" si="188"/>
        <v>2.1958183999999999E-2</v>
      </c>
      <c r="R903" s="43">
        <f t="shared" si="189"/>
        <v>8.6109849999999998E-3</v>
      </c>
      <c r="S903" s="43">
        <f t="shared" si="190"/>
        <v>0.90610628299999996</v>
      </c>
      <c r="T903" s="43">
        <f t="shared" si="191"/>
        <v>3.68975784</v>
      </c>
      <c r="U903" s="43">
        <f t="shared" si="192"/>
        <v>8.6564401419999992</v>
      </c>
      <c r="V903" s="43">
        <f t="shared" si="193"/>
        <v>6.2168900000000001E-3</v>
      </c>
      <c r="W903" s="230">
        <f t="shared" si="194"/>
        <v>2.8568663973487503E-2</v>
      </c>
      <c r="X903" s="43">
        <f t="shared" si="195"/>
        <v>0.93079174600000003</v>
      </c>
      <c r="Y903" s="43">
        <v>6.750600124</v>
      </c>
      <c r="Z903" s="43">
        <f t="shared" si="184"/>
        <v>0</v>
      </c>
      <c r="AA903" s="43">
        <f t="shared" si="185"/>
        <v>230820</v>
      </c>
      <c r="AB903" s="43">
        <f t="shared" si="186"/>
        <v>76507</v>
      </c>
      <c r="AC903" s="43">
        <f t="shared" si="196"/>
        <v>2.4487274902360415E-2</v>
      </c>
      <c r="AD903" s="43">
        <f t="shared" si="197"/>
        <v>0.89458291538016477</v>
      </c>
      <c r="AF903" s="43">
        <v>15.816313975107436</v>
      </c>
      <c r="AG903" s="43">
        <v>2.1958183999999999E-2</v>
      </c>
      <c r="AH903" s="43">
        <v>8.6109849999999998E-3</v>
      </c>
      <c r="AI903" s="43">
        <v>0.90610628299999996</v>
      </c>
      <c r="AJ903" s="43">
        <v>3.68975784</v>
      </c>
      <c r="AK903" s="43">
        <v>8.6564401419999992</v>
      </c>
      <c r="AL903" s="43">
        <v>6.2168900000000001E-3</v>
      </c>
      <c r="AM903" s="230">
        <v>2.8568663973487503E-2</v>
      </c>
      <c r="AN903" s="43">
        <v>0.93079174600000003</v>
      </c>
    </row>
    <row r="904" spans="1:40" x14ac:dyDescent="0.25">
      <c r="A904" s="134">
        <v>894</v>
      </c>
      <c r="B904" s="134" t="s">
        <v>217</v>
      </c>
      <c r="C904" s="134" t="s">
        <v>218</v>
      </c>
      <c r="D904" s="134" t="s">
        <v>219</v>
      </c>
      <c r="E904" s="134">
        <v>310</v>
      </c>
      <c r="F904" s="134">
        <v>933</v>
      </c>
      <c r="G904" s="134">
        <v>158</v>
      </c>
      <c r="H904" s="134">
        <v>214</v>
      </c>
      <c r="I904" s="200">
        <v>0.102757657537</v>
      </c>
      <c r="J904" s="134">
        <v>1147</v>
      </c>
      <c r="K904" s="134">
        <v>11162.1851597</v>
      </c>
      <c r="L904" s="42">
        <v>0.87758233351899995</v>
      </c>
      <c r="M904" s="42">
        <v>0.40839694656499997</v>
      </c>
      <c r="N904" s="134">
        <v>1</v>
      </c>
      <c r="O904" s="43" t="s">
        <v>666</v>
      </c>
      <c r="P904" s="43">
        <f t="shared" si="187"/>
        <v>14.207326082913751</v>
      </c>
      <c r="Q904" s="43">
        <f t="shared" si="188"/>
        <v>2.7864362E-2</v>
      </c>
      <c r="R904" s="43">
        <f t="shared" si="189"/>
        <v>1.2059316E-2</v>
      </c>
      <c r="S904" s="43">
        <f t="shared" si="190"/>
        <v>0.87758233399999996</v>
      </c>
      <c r="T904" s="43">
        <f t="shared" si="191"/>
        <v>3.6535519129999998</v>
      </c>
      <c r="U904" s="43">
        <f t="shared" si="192"/>
        <v>8.9785034960000001</v>
      </c>
      <c r="V904" s="43">
        <f t="shared" si="193"/>
        <v>6.5062360000000003E-3</v>
      </c>
      <c r="W904" s="230">
        <f t="shared" si="194"/>
        <v>5.0866934802447021E-2</v>
      </c>
      <c r="X904" s="43">
        <f t="shared" si="195"/>
        <v>0.88961368200000002</v>
      </c>
      <c r="Y904" s="43">
        <v>7.373140598</v>
      </c>
      <c r="Z904" s="43">
        <f t="shared" si="184"/>
        <v>0</v>
      </c>
      <c r="AA904" s="43">
        <f t="shared" si="185"/>
        <v>230820</v>
      </c>
      <c r="AB904" s="43">
        <f t="shared" si="186"/>
        <v>76507</v>
      </c>
      <c r="AC904" s="43">
        <f t="shared" si="196"/>
        <v>2.4487274902360415E-2</v>
      </c>
      <c r="AD904" s="43">
        <f t="shared" si="197"/>
        <v>0.89458291538016477</v>
      </c>
      <c r="AF904" s="43">
        <v>14.207326082913751</v>
      </c>
      <c r="AG904" s="43">
        <v>2.7864362E-2</v>
      </c>
      <c r="AH904" s="43">
        <v>1.2059316E-2</v>
      </c>
      <c r="AI904" s="43">
        <v>0.87758233399999996</v>
      </c>
      <c r="AJ904" s="43">
        <v>3.6535519129999998</v>
      </c>
      <c r="AK904" s="43">
        <v>8.9785034960000001</v>
      </c>
      <c r="AL904" s="43">
        <v>6.5062360000000003E-3</v>
      </c>
      <c r="AM904" s="230">
        <v>5.0866934802447021E-2</v>
      </c>
      <c r="AN904" s="43">
        <v>0.88961368200000002</v>
      </c>
    </row>
    <row r="905" spans="1:40" x14ac:dyDescent="0.25">
      <c r="A905" s="134">
        <v>895</v>
      </c>
      <c r="B905" s="134" t="s">
        <v>217</v>
      </c>
      <c r="C905" s="134" t="s">
        <v>218</v>
      </c>
      <c r="D905" s="134" t="s">
        <v>219</v>
      </c>
      <c r="E905" s="134">
        <v>0</v>
      </c>
      <c r="F905" s="134">
        <v>0</v>
      </c>
      <c r="G905" s="134">
        <v>93</v>
      </c>
      <c r="H905" s="134">
        <v>1232</v>
      </c>
      <c r="I905" s="200">
        <v>0.119877261212</v>
      </c>
      <c r="J905" s="134">
        <v>1232</v>
      </c>
      <c r="K905" s="134">
        <v>10277.1784035</v>
      </c>
      <c r="L905" s="42">
        <v>0.90343602549299995</v>
      </c>
      <c r="M905" s="42">
        <v>1</v>
      </c>
      <c r="N905" s="134">
        <v>1</v>
      </c>
      <c r="O905" s="43" t="s">
        <v>666</v>
      </c>
      <c r="P905" s="43">
        <f t="shared" si="187"/>
        <v>15.976590286185166</v>
      </c>
      <c r="Q905" s="43">
        <f t="shared" si="188"/>
        <v>2.3595781999999999E-2</v>
      </c>
      <c r="R905" s="43">
        <f t="shared" si="189"/>
        <v>8.56524E-3</v>
      </c>
      <c r="S905" s="43">
        <f t="shared" si="190"/>
        <v>0.90343602499999998</v>
      </c>
      <c r="T905" s="43">
        <f t="shared" si="191"/>
        <v>3.576376936</v>
      </c>
      <c r="U905" s="43">
        <f t="shared" si="192"/>
        <v>8.5852009050000007</v>
      </c>
      <c r="V905" s="43">
        <f t="shared" si="193"/>
        <v>6.0296480000000003E-3</v>
      </c>
      <c r="W905" s="230">
        <f t="shared" si="194"/>
        <v>3.4928222190980525E-2</v>
      </c>
      <c r="X905" s="43">
        <f t="shared" si="195"/>
        <v>0.93287720399999996</v>
      </c>
      <c r="Y905" s="43">
        <v>6.7531831269999998</v>
      </c>
      <c r="Z905" s="43">
        <f t="shared" si="184"/>
        <v>0</v>
      </c>
      <c r="AA905" s="43">
        <f t="shared" si="185"/>
        <v>230820</v>
      </c>
      <c r="AB905" s="43">
        <f t="shared" si="186"/>
        <v>76507</v>
      </c>
      <c r="AC905" s="43">
        <f t="shared" si="196"/>
        <v>2.4487274902360415E-2</v>
      </c>
      <c r="AD905" s="43">
        <f t="shared" si="197"/>
        <v>0.89458291538016477</v>
      </c>
      <c r="AF905" s="43">
        <v>15.976590286185166</v>
      </c>
      <c r="AG905" s="43">
        <v>2.3595781999999999E-2</v>
      </c>
      <c r="AH905" s="43">
        <v>8.56524E-3</v>
      </c>
      <c r="AI905" s="43">
        <v>0.90343602499999998</v>
      </c>
      <c r="AJ905" s="43">
        <v>3.576376936</v>
      </c>
      <c r="AK905" s="43">
        <v>8.5852009050000007</v>
      </c>
      <c r="AL905" s="43">
        <v>6.0296480000000003E-3</v>
      </c>
      <c r="AM905" s="230">
        <v>3.4928222190980525E-2</v>
      </c>
      <c r="AN905" s="43">
        <v>0.93287720399999996</v>
      </c>
    </row>
    <row r="906" spans="1:40" x14ac:dyDescent="0.25">
      <c r="A906" s="134">
        <v>896</v>
      </c>
      <c r="B906" s="134" t="s">
        <v>217</v>
      </c>
      <c r="C906" s="134" t="s">
        <v>218</v>
      </c>
      <c r="D906" s="134" t="s">
        <v>219</v>
      </c>
      <c r="E906" s="134">
        <v>250</v>
      </c>
      <c r="F906" s="134">
        <v>752</v>
      </c>
      <c r="G906" s="134">
        <v>100</v>
      </c>
      <c r="H906" s="134">
        <v>1215</v>
      </c>
      <c r="I906" s="200">
        <v>0.23113592973800001</v>
      </c>
      <c r="J906" s="134">
        <v>1967</v>
      </c>
      <c r="K906" s="134">
        <v>8510.1438025200005</v>
      </c>
      <c r="L906" s="42">
        <v>0.87206914017500003</v>
      </c>
      <c r="M906" s="42">
        <v>0.82935153583599996</v>
      </c>
      <c r="N906" s="134">
        <v>1</v>
      </c>
      <c r="O906" s="43" t="s">
        <v>666</v>
      </c>
      <c r="P906" s="43">
        <f t="shared" si="187"/>
        <v>14.958705274617298</v>
      </c>
      <c r="Q906" s="43">
        <f t="shared" si="188"/>
        <v>4.0851569999999997E-2</v>
      </c>
      <c r="R906" s="43">
        <f t="shared" si="189"/>
        <v>1.2028540000000001E-2</v>
      </c>
      <c r="S906" s="43">
        <f t="shared" si="190"/>
        <v>0.87206914000000002</v>
      </c>
      <c r="T906" s="43">
        <f t="shared" si="191"/>
        <v>3.7529940119999998</v>
      </c>
      <c r="U906" s="43">
        <f t="shared" si="192"/>
        <v>9.1310265170000005</v>
      </c>
      <c r="V906" s="43">
        <f t="shared" si="193"/>
        <v>8.552802E-3</v>
      </c>
      <c r="W906" s="230">
        <f t="shared" si="194"/>
        <v>5.8915337073140284E-2</v>
      </c>
      <c r="X906" s="43">
        <f t="shared" si="195"/>
        <v>0.88786822099999996</v>
      </c>
      <c r="Y906" s="43">
        <v>6.9033180439999997</v>
      </c>
      <c r="Z906" s="43">
        <f t="shared" si="184"/>
        <v>0</v>
      </c>
      <c r="AA906" s="43">
        <f t="shared" si="185"/>
        <v>230820</v>
      </c>
      <c r="AB906" s="43">
        <f t="shared" si="186"/>
        <v>76507</v>
      </c>
      <c r="AC906" s="43">
        <f t="shared" si="196"/>
        <v>2.4487274902360415E-2</v>
      </c>
      <c r="AD906" s="43">
        <f t="shared" si="197"/>
        <v>0.89458291538016477</v>
      </c>
      <c r="AF906" s="43">
        <v>14.958705274617298</v>
      </c>
      <c r="AG906" s="43">
        <v>4.0851569999999997E-2</v>
      </c>
      <c r="AH906" s="43">
        <v>1.2028540000000001E-2</v>
      </c>
      <c r="AI906" s="43">
        <v>0.87206914000000002</v>
      </c>
      <c r="AJ906" s="43">
        <v>3.7529940119999998</v>
      </c>
      <c r="AK906" s="43">
        <v>9.1310265170000005</v>
      </c>
      <c r="AL906" s="43">
        <v>8.552802E-3</v>
      </c>
      <c r="AM906" s="230">
        <v>5.8915337073140284E-2</v>
      </c>
      <c r="AN906" s="43">
        <v>0.88786822099999996</v>
      </c>
    </row>
    <row r="907" spans="1:40" x14ac:dyDescent="0.25">
      <c r="A907" s="134">
        <v>897</v>
      </c>
      <c r="B907" s="134" t="s">
        <v>217</v>
      </c>
      <c r="C907" s="134" t="s">
        <v>218</v>
      </c>
      <c r="D907" s="134" t="s">
        <v>219</v>
      </c>
      <c r="E907" s="134">
        <v>1</v>
      </c>
      <c r="F907" s="134">
        <v>3</v>
      </c>
      <c r="G907" s="134">
        <v>94</v>
      </c>
      <c r="H907" s="134">
        <v>1538</v>
      </c>
      <c r="I907" s="200">
        <v>7.4949136271600006E-2</v>
      </c>
      <c r="J907" s="134">
        <v>1541</v>
      </c>
      <c r="K907" s="134">
        <v>20560.6105241</v>
      </c>
      <c r="L907" s="42">
        <v>0.88963849510199999</v>
      </c>
      <c r="M907" s="42">
        <v>0.99935022742000001</v>
      </c>
      <c r="N907" s="134">
        <v>1</v>
      </c>
      <c r="O907" s="43" t="s">
        <v>664</v>
      </c>
      <c r="P907" s="43">
        <f t="shared" si="187"/>
        <v>16.090934105226808</v>
      </c>
      <c r="Q907" s="43">
        <f t="shared" si="188"/>
        <v>2.7151043E-2</v>
      </c>
      <c r="R907" s="43">
        <f t="shared" si="189"/>
        <v>8.5914049999999999E-3</v>
      </c>
      <c r="S907" s="43">
        <f t="shared" si="190"/>
        <v>0.88963849500000003</v>
      </c>
      <c r="T907" s="43">
        <f t="shared" si="191"/>
        <v>3.5128914789999999</v>
      </c>
      <c r="U907" s="43">
        <f t="shared" si="192"/>
        <v>8.7512628899999996</v>
      </c>
      <c r="V907" s="43">
        <f t="shared" si="193"/>
        <v>5.8497810000000001E-3</v>
      </c>
      <c r="W907" s="230">
        <f t="shared" si="194"/>
        <v>4.9935627413971978E-2</v>
      </c>
      <c r="X907" s="43">
        <f t="shared" si="195"/>
        <v>0.91809057199999999</v>
      </c>
      <c r="Y907" s="43">
        <v>6.7497810999999999</v>
      </c>
      <c r="Z907" s="43">
        <f t="shared" ref="Z907:Z970" si="198">IF(B907="Berkeley",1,0)</f>
        <v>0</v>
      </c>
      <c r="AA907" s="43">
        <f t="shared" ref="AA907:AA970" si="199">SUMIFS(F:F,B:B,B907)</f>
        <v>230820</v>
      </c>
      <c r="AB907" s="43">
        <f t="shared" ref="AB907:AB970" si="200">SUMIFS(E:E,B:B,B907)</f>
        <v>76507</v>
      </c>
      <c r="AC907" s="43">
        <f t="shared" si="196"/>
        <v>2.4487274902360415E-2</v>
      </c>
      <c r="AD907" s="43">
        <f t="shared" si="197"/>
        <v>0.89458291538016477</v>
      </c>
      <c r="AF907" s="43">
        <v>16.090934105226808</v>
      </c>
      <c r="AG907" s="43">
        <v>2.7151043E-2</v>
      </c>
      <c r="AH907" s="43">
        <v>8.5914049999999999E-3</v>
      </c>
      <c r="AI907" s="43">
        <v>0.88963849500000003</v>
      </c>
      <c r="AJ907" s="43">
        <v>3.5128914789999999</v>
      </c>
      <c r="AK907" s="43">
        <v>8.7512628899999996</v>
      </c>
      <c r="AL907" s="43">
        <v>5.8497810000000001E-3</v>
      </c>
      <c r="AM907" s="230">
        <v>4.9935627413971978E-2</v>
      </c>
      <c r="AN907" s="43">
        <v>0.91809057199999999</v>
      </c>
    </row>
    <row r="908" spans="1:40" x14ac:dyDescent="0.25">
      <c r="A908" s="134">
        <v>898</v>
      </c>
      <c r="B908" s="134" t="s">
        <v>217</v>
      </c>
      <c r="C908" s="134" t="s">
        <v>218</v>
      </c>
      <c r="D908" s="134" t="s">
        <v>219</v>
      </c>
      <c r="E908" s="134">
        <v>2</v>
      </c>
      <c r="F908" s="134">
        <v>6</v>
      </c>
      <c r="G908" s="134">
        <v>326</v>
      </c>
      <c r="H908" s="134">
        <v>3225</v>
      </c>
      <c r="I908" s="200">
        <v>8.3864212859500006E-2</v>
      </c>
      <c r="J908" s="134">
        <v>3231</v>
      </c>
      <c r="K908" s="134">
        <v>38526.564428799997</v>
      </c>
      <c r="L908" s="42">
        <v>0.88991342309300003</v>
      </c>
      <c r="M908" s="42">
        <v>0.99938022931500003</v>
      </c>
      <c r="N908" s="134">
        <v>1</v>
      </c>
      <c r="O908" s="43" t="s">
        <v>664</v>
      </c>
      <c r="P908" s="43">
        <f t="shared" ref="P908:P971" si="201">IF(OR(IFERROR(AF908=0,TRUE),ISERROR(AF908)),AVERAGEIFS(AF:AF,$B:$B,$B908,AF:AF,"&gt;0"),AF908)</f>
        <v>15.936869216578588</v>
      </c>
      <c r="Q908" s="43">
        <f t="shared" ref="Q908:Q971" si="202">IF(OR(IFERROR(AG908=0,TRUE),ISERROR(AG908)),AVERAGEIFS(AG:AG,$B:$B,$B908,AG:AG,"&gt;0"),AG908)</f>
        <v>4.0568918000000002E-2</v>
      </c>
      <c r="R908" s="43">
        <f t="shared" ref="R908:R971" si="203">IF(OR(IFERROR(AH908=0,TRUE),ISERROR(AH908)),AVERAGEIFS(AH:AH,$B:$B,$B908,AH:AH,"&gt;0"),AH908)</f>
        <v>8.2207570000000004E-3</v>
      </c>
      <c r="S908" s="43">
        <f t="shared" ref="S908:S971" si="204">IF(OR(IFERROR(AI908=0,TRUE),ISERROR(AI908)),AVERAGEIFS(AI:AI,$B:$B,$B908,AI:AI,"&gt;0"),AI908)</f>
        <v>0.88991342299999998</v>
      </c>
      <c r="T908" s="43">
        <f t="shared" ref="T908:T971" si="205">IF(OR(IFERROR(AJ908=0,TRUE),ISERROR(AJ908)),AVERAGEIFS(AJ:AJ,$B:$B,$B908,AJ:AJ,"&gt;0"),AJ908)</f>
        <v>3.8427917620000001</v>
      </c>
      <c r="U908" s="43">
        <f t="shared" ref="U908:U971" si="206">IF(OR(IFERROR(AK908=0,TRUE),ISERROR(AK908)),AVERAGEIFS(AK:AK,$B:$B,$B908,AK:AK,"&gt;0"),AK908)</f>
        <v>9.2836177909999993</v>
      </c>
      <c r="V908" s="43">
        <f t="shared" ref="V908:V971" si="207">IF(OR(IFERROR(AL908=0,TRUE),ISERROR(AL908)),AVERAGEIFS(AL:AL,$B:$B,$B908,AL:AL,"&gt;0"),AL908)</f>
        <v>6.1632129999999999E-3</v>
      </c>
      <c r="W908" s="230">
        <f t="shared" ref="W908:W971" si="208">IF(OR(IFERROR(AM908=0,TRUE),ISERROR(AM908)),AVERAGEIFS(AM:AM,$B:$B,$B908,AM:AM,"&gt;0"),AM908)</f>
        <v>6.3805024595521204E-2</v>
      </c>
      <c r="X908" s="43">
        <f t="shared" ref="X908:X971" si="209">IF(OR(IFERROR(AN908=0,TRUE),ISERROR(AN908)),AVERAGEIFS(AN:AN,$B:$B,$B908,AN:AN,"&gt;0"),AN908)</f>
        <v>0.91503365400000003</v>
      </c>
      <c r="Y908" s="43">
        <v>6.7497810999999999</v>
      </c>
      <c r="Z908" s="43">
        <f t="shared" si="198"/>
        <v>0</v>
      </c>
      <c r="AA908" s="43">
        <f t="shared" si="199"/>
        <v>230820</v>
      </c>
      <c r="AB908" s="43">
        <f t="shared" si="200"/>
        <v>76507</v>
      </c>
      <c r="AC908" s="43">
        <f t="shared" ref="AC908:AC971" si="210">AVERAGEIFS(Q:Q,B:B,B908,N:N,0,Q:Q,"&gt;0")</f>
        <v>2.4487274902360415E-2</v>
      </c>
      <c r="AD908" s="43">
        <f t="shared" ref="AD908:AD971" si="211">AVERAGEIFS(S:S,B:B,B908,N:N,0,S:S,"&gt;0")</f>
        <v>0.89458291538016477</v>
      </c>
      <c r="AF908" s="43">
        <v>15.936869216578588</v>
      </c>
      <c r="AG908" s="43">
        <v>4.0568918000000002E-2</v>
      </c>
      <c r="AH908" s="43">
        <v>8.2207570000000004E-3</v>
      </c>
      <c r="AI908" s="43">
        <v>0.88991342299999998</v>
      </c>
      <c r="AJ908" s="43">
        <v>3.8427917620000001</v>
      </c>
      <c r="AK908" s="43">
        <v>9.2836177909999993</v>
      </c>
      <c r="AL908" s="43">
        <v>6.1632129999999999E-3</v>
      </c>
      <c r="AM908" s="230">
        <v>6.3805024595521204E-2</v>
      </c>
      <c r="AN908" s="43">
        <v>0.91503365400000003</v>
      </c>
    </row>
    <row r="909" spans="1:40" x14ac:dyDescent="0.25">
      <c r="A909" s="134">
        <v>899</v>
      </c>
      <c r="B909" s="134" t="s">
        <v>217</v>
      </c>
      <c r="C909" s="134" t="s">
        <v>218</v>
      </c>
      <c r="D909" s="134" t="s">
        <v>219</v>
      </c>
      <c r="E909" s="134">
        <v>0</v>
      </c>
      <c r="F909" s="134">
        <v>0</v>
      </c>
      <c r="G909" s="134">
        <v>6188</v>
      </c>
      <c r="H909" s="134">
        <v>24</v>
      </c>
      <c r="I909" s="200">
        <v>11.483794319799999</v>
      </c>
      <c r="J909" s="134">
        <v>24</v>
      </c>
      <c r="K909" s="134">
        <v>2.0899015892900001</v>
      </c>
      <c r="L909" s="42">
        <v>0.92461308037900003</v>
      </c>
      <c r="M909" s="42">
        <v>1</v>
      </c>
      <c r="N909" s="134">
        <v>0</v>
      </c>
      <c r="O909" s="43" t="s">
        <v>665</v>
      </c>
      <c r="P909" s="43">
        <f t="shared" si="201"/>
        <v>17.440867862567938</v>
      </c>
      <c r="Q909" s="43">
        <f t="shared" si="202"/>
        <v>2.5878991261870498E-2</v>
      </c>
      <c r="R909" s="43">
        <f t="shared" si="203"/>
        <v>1.4977530000000001E-3</v>
      </c>
      <c r="S909" s="43">
        <f t="shared" si="204"/>
        <v>0.92461307999999998</v>
      </c>
      <c r="T909" s="43">
        <f t="shared" si="205"/>
        <v>16.875</v>
      </c>
      <c r="U909" s="43">
        <f t="shared" si="206"/>
        <v>11.009913790000001</v>
      </c>
      <c r="V909" s="43">
        <f t="shared" si="207"/>
        <v>5.3017566000000006E-3</v>
      </c>
      <c r="W909" s="230">
        <f t="shared" si="208"/>
        <v>3.855010570216353E-2</v>
      </c>
      <c r="X909" s="43">
        <f t="shared" si="209"/>
        <v>0.87183673500000003</v>
      </c>
      <c r="Y909" s="43">
        <v>6.6713192599999998</v>
      </c>
      <c r="Z909" s="43">
        <f t="shared" si="198"/>
        <v>0</v>
      </c>
      <c r="AA909" s="43">
        <f t="shared" si="199"/>
        <v>230820</v>
      </c>
      <c r="AB909" s="43">
        <f t="shared" si="200"/>
        <v>76507</v>
      </c>
      <c r="AC909" s="43">
        <f t="shared" si="210"/>
        <v>2.4487274902360415E-2</v>
      </c>
      <c r="AD909" s="43">
        <f t="shared" si="211"/>
        <v>0.89458291538016477</v>
      </c>
      <c r="AF909" s="43">
        <v>17.440867862567938</v>
      </c>
      <c r="AG909" s="43">
        <v>0</v>
      </c>
      <c r="AH909" s="43">
        <v>1.4977530000000001E-3</v>
      </c>
      <c r="AI909" s="43">
        <v>0.92461307999999998</v>
      </c>
      <c r="AJ909" s="43">
        <v>16.875</v>
      </c>
      <c r="AK909" s="43">
        <v>11.009913790000001</v>
      </c>
      <c r="AL909" s="43">
        <v>0</v>
      </c>
      <c r="AM909" s="230">
        <v>0</v>
      </c>
      <c r="AN909" s="43">
        <v>0.87183673500000003</v>
      </c>
    </row>
    <row r="910" spans="1:40" x14ac:dyDescent="0.25">
      <c r="A910" s="134">
        <v>900</v>
      </c>
      <c r="B910" s="134" t="s">
        <v>217</v>
      </c>
      <c r="C910" s="134" t="s">
        <v>218</v>
      </c>
      <c r="D910" s="134" t="s">
        <v>219</v>
      </c>
      <c r="E910" s="134">
        <v>18</v>
      </c>
      <c r="F910" s="134">
        <v>47</v>
      </c>
      <c r="G910" s="134">
        <v>1236</v>
      </c>
      <c r="H910" s="134">
        <v>1358</v>
      </c>
      <c r="I910" s="200">
        <v>0.36336808813100002</v>
      </c>
      <c r="J910" s="134">
        <v>1405</v>
      </c>
      <c r="K910" s="134">
        <v>3866.6026156200001</v>
      </c>
      <c r="L910" s="42">
        <v>0.95966386052700003</v>
      </c>
      <c r="M910" s="42">
        <v>0.98691860465100001</v>
      </c>
      <c r="N910" s="134">
        <v>0</v>
      </c>
      <c r="O910" s="43" t="s">
        <v>666</v>
      </c>
      <c r="P910" s="43">
        <f t="shared" si="201"/>
        <v>17.622553835031891</v>
      </c>
      <c r="Q910" s="43">
        <f t="shared" si="202"/>
        <v>9.8548400000000007E-5</v>
      </c>
      <c r="R910" s="43">
        <f t="shared" si="203"/>
        <v>7.3552909999999999E-3</v>
      </c>
      <c r="S910" s="43">
        <f t="shared" si="204"/>
        <v>0.95966386100000001</v>
      </c>
      <c r="T910" s="43">
        <f t="shared" si="205"/>
        <v>4.9822186300000002</v>
      </c>
      <c r="U910" s="43">
        <f t="shared" si="206"/>
        <v>11.403965120000001</v>
      </c>
      <c r="V910" s="43">
        <f t="shared" si="207"/>
        <v>5.155031E-3</v>
      </c>
      <c r="W910" s="230">
        <f t="shared" si="208"/>
        <v>2.7531471319801776E-4</v>
      </c>
      <c r="X910" s="43">
        <f t="shared" si="209"/>
        <v>0.98618679600000003</v>
      </c>
      <c r="Y910" s="43">
        <v>6.750403833</v>
      </c>
      <c r="Z910" s="43">
        <f t="shared" si="198"/>
        <v>0</v>
      </c>
      <c r="AA910" s="43">
        <f t="shared" si="199"/>
        <v>230820</v>
      </c>
      <c r="AB910" s="43">
        <f t="shared" si="200"/>
        <v>76507</v>
      </c>
      <c r="AC910" s="43">
        <f t="shared" si="210"/>
        <v>2.4487274902360415E-2</v>
      </c>
      <c r="AD910" s="43">
        <f t="shared" si="211"/>
        <v>0.89458291538016477</v>
      </c>
      <c r="AF910" s="43">
        <v>17.622553835031891</v>
      </c>
      <c r="AG910" s="201">
        <v>9.8548400000000007E-5</v>
      </c>
      <c r="AH910" s="43">
        <v>7.3552909999999999E-3</v>
      </c>
      <c r="AI910" s="43">
        <v>0.95966386100000001</v>
      </c>
      <c r="AJ910" s="43">
        <v>4.9822186300000002</v>
      </c>
      <c r="AK910" s="43">
        <v>11.403965120000001</v>
      </c>
      <c r="AL910" s="43">
        <v>5.155031E-3</v>
      </c>
      <c r="AM910" s="230">
        <v>2.7531471319801776E-4</v>
      </c>
      <c r="AN910" s="43">
        <v>0.98618679600000003</v>
      </c>
    </row>
    <row r="911" spans="1:40" x14ac:dyDescent="0.25">
      <c r="A911" s="134">
        <v>901</v>
      </c>
      <c r="B911" s="134" t="s">
        <v>217</v>
      </c>
      <c r="C911" s="134" t="s">
        <v>218</v>
      </c>
      <c r="D911" s="134" t="s">
        <v>219</v>
      </c>
      <c r="E911" s="134">
        <v>0</v>
      </c>
      <c r="F911" s="134">
        <v>0</v>
      </c>
      <c r="G911" s="134">
        <v>250</v>
      </c>
      <c r="H911" s="134">
        <v>978</v>
      </c>
      <c r="I911" s="200">
        <v>0.20709179471700001</v>
      </c>
      <c r="J911" s="134">
        <v>978</v>
      </c>
      <c r="K911" s="134">
        <v>4722.5434563299996</v>
      </c>
      <c r="L911" s="42">
        <v>0.95644613843799997</v>
      </c>
      <c r="M911" s="42">
        <v>1</v>
      </c>
      <c r="N911" s="134">
        <v>0</v>
      </c>
      <c r="O911" s="43" t="s">
        <v>666</v>
      </c>
      <c r="P911" s="43">
        <f t="shared" si="201"/>
        <v>17.553883505401551</v>
      </c>
      <c r="Q911" s="43">
        <f t="shared" si="202"/>
        <v>5.3764190000000003E-3</v>
      </c>
      <c r="R911" s="43">
        <f t="shared" si="203"/>
        <v>6.6770529999999996E-3</v>
      </c>
      <c r="S911" s="43">
        <f t="shared" si="204"/>
        <v>0.956446138</v>
      </c>
      <c r="T911" s="43">
        <f t="shared" si="205"/>
        <v>5.091889117</v>
      </c>
      <c r="U911" s="43">
        <f t="shared" si="206"/>
        <v>11.513533369999999</v>
      </c>
      <c r="V911" s="43">
        <f t="shared" si="207"/>
        <v>4.6670139999999997E-3</v>
      </c>
      <c r="W911" s="230">
        <f t="shared" si="208"/>
        <v>3.4415028455352797E-3</v>
      </c>
      <c r="X911" s="43">
        <f t="shared" si="209"/>
        <v>0.97725250600000002</v>
      </c>
      <c r="Y911" s="43">
        <v>6.7497810999999999</v>
      </c>
      <c r="Z911" s="43">
        <f t="shared" si="198"/>
        <v>0</v>
      </c>
      <c r="AA911" s="43">
        <f t="shared" si="199"/>
        <v>230820</v>
      </c>
      <c r="AB911" s="43">
        <f t="shared" si="200"/>
        <v>76507</v>
      </c>
      <c r="AC911" s="43">
        <f t="shared" si="210"/>
        <v>2.4487274902360415E-2</v>
      </c>
      <c r="AD911" s="43">
        <f t="shared" si="211"/>
        <v>0.89458291538016477</v>
      </c>
      <c r="AF911" s="43">
        <v>17.553883505401551</v>
      </c>
      <c r="AG911" s="43">
        <v>5.3764190000000003E-3</v>
      </c>
      <c r="AH911" s="43">
        <v>6.6770529999999996E-3</v>
      </c>
      <c r="AI911" s="43">
        <v>0.956446138</v>
      </c>
      <c r="AJ911" s="43">
        <v>5.091889117</v>
      </c>
      <c r="AK911" s="43">
        <v>11.513533369999999</v>
      </c>
      <c r="AL911" s="43">
        <v>4.6670139999999997E-3</v>
      </c>
      <c r="AM911" s="230">
        <v>3.4415028455352797E-3</v>
      </c>
      <c r="AN911" s="43">
        <v>0.97725250600000002</v>
      </c>
    </row>
    <row r="912" spans="1:40" x14ac:dyDescent="0.25">
      <c r="A912" s="134">
        <v>902</v>
      </c>
      <c r="B912" s="134" t="s">
        <v>217</v>
      </c>
      <c r="C912" s="134" t="s">
        <v>218</v>
      </c>
      <c r="D912" s="134" t="s">
        <v>219</v>
      </c>
      <c r="E912" s="134">
        <v>0</v>
      </c>
      <c r="F912" s="134">
        <v>0</v>
      </c>
      <c r="G912" s="134">
        <v>1558</v>
      </c>
      <c r="H912" s="134">
        <v>122</v>
      </c>
      <c r="I912" s="200">
        <v>2.3408404175899999</v>
      </c>
      <c r="J912" s="134">
        <v>122</v>
      </c>
      <c r="K912" s="134">
        <v>52.118033798200003</v>
      </c>
      <c r="L912" s="42">
        <v>0.96294463829999999</v>
      </c>
      <c r="M912" s="42">
        <v>1</v>
      </c>
      <c r="N912" s="134">
        <v>0</v>
      </c>
      <c r="O912" s="43" t="s">
        <v>665</v>
      </c>
      <c r="P912" s="43">
        <f t="shared" si="201"/>
        <v>17.437821406843671</v>
      </c>
      <c r="Q912" s="43">
        <f t="shared" si="202"/>
        <v>1.8488619999999999E-3</v>
      </c>
      <c r="R912" s="43">
        <f t="shared" si="203"/>
        <v>6.457997E-3</v>
      </c>
      <c r="S912" s="43">
        <f t="shared" si="204"/>
        <v>0.96294463799999996</v>
      </c>
      <c r="T912" s="43">
        <f t="shared" si="205"/>
        <v>5.6139630389999997</v>
      </c>
      <c r="U912" s="43">
        <f t="shared" si="206"/>
        <v>10.498135700000001</v>
      </c>
      <c r="V912" s="43">
        <f t="shared" si="207"/>
        <v>2.7145810000000002E-3</v>
      </c>
      <c r="W912" s="230">
        <f t="shared" si="208"/>
        <v>3.855010570216353E-2</v>
      </c>
      <c r="X912" s="43">
        <f t="shared" si="209"/>
        <v>0.93329886200000001</v>
      </c>
      <c r="Y912" s="43">
        <v>6.7533621479999999</v>
      </c>
      <c r="Z912" s="43">
        <f t="shared" si="198"/>
        <v>0</v>
      </c>
      <c r="AA912" s="43">
        <f t="shared" si="199"/>
        <v>230820</v>
      </c>
      <c r="AB912" s="43">
        <f t="shared" si="200"/>
        <v>76507</v>
      </c>
      <c r="AC912" s="43">
        <f t="shared" si="210"/>
        <v>2.4487274902360415E-2</v>
      </c>
      <c r="AD912" s="43">
        <f t="shared" si="211"/>
        <v>0.89458291538016477</v>
      </c>
      <c r="AF912" s="43">
        <v>17.437821406843671</v>
      </c>
      <c r="AG912" s="43">
        <v>1.8488619999999999E-3</v>
      </c>
      <c r="AH912" s="43">
        <v>6.457997E-3</v>
      </c>
      <c r="AI912" s="43">
        <v>0.96294463799999996</v>
      </c>
      <c r="AJ912" s="43">
        <v>5.6139630389999997</v>
      </c>
      <c r="AK912" s="43">
        <v>10.498135700000001</v>
      </c>
      <c r="AL912" s="43">
        <v>2.7145810000000002E-3</v>
      </c>
      <c r="AM912" s="230">
        <v>0</v>
      </c>
      <c r="AN912" s="43">
        <v>0.93329886200000001</v>
      </c>
    </row>
    <row r="913" spans="1:40" x14ac:dyDescent="0.25">
      <c r="A913" s="134">
        <v>903</v>
      </c>
      <c r="B913" s="134" t="s">
        <v>217</v>
      </c>
      <c r="C913" s="134" t="s">
        <v>218</v>
      </c>
      <c r="D913" s="134" t="s">
        <v>219</v>
      </c>
      <c r="E913" s="134">
        <v>0</v>
      </c>
      <c r="F913" s="134">
        <v>0</v>
      </c>
      <c r="G913" s="134">
        <v>159</v>
      </c>
      <c r="H913" s="134">
        <v>1560</v>
      </c>
      <c r="I913" s="200">
        <v>0.35736333542499998</v>
      </c>
      <c r="J913" s="134">
        <v>1560</v>
      </c>
      <c r="K913" s="134">
        <v>4365.3051260700004</v>
      </c>
      <c r="L913" s="42">
        <v>0.954621475971</v>
      </c>
      <c r="M913" s="42">
        <v>1</v>
      </c>
      <c r="N913" s="134">
        <v>0</v>
      </c>
      <c r="O913" s="43" t="s">
        <v>666</v>
      </c>
      <c r="P913" s="43">
        <f t="shared" si="201"/>
        <v>18.063410059328426</v>
      </c>
      <c r="Q913" s="43">
        <f t="shared" si="202"/>
        <v>7.0016009999999997E-3</v>
      </c>
      <c r="R913" s="43">
        <f t="shared" si="203"/>
        <v>6.4740830000000003E-3</v>
      </c>
      <c r="S913" s="43">
        <f t="shared" si="204"/>
        <v>0.95462147600000002</v>
      </c>
      <c r="T913" s="43">
        <f t="shared" si="205"/>
        <v>5.4123569790000001</v>
      </c>
      <c r="U913" s="43">
        <f t="shared" si="206"/>
        <v>11.786029490000001</v>
      </c>
      <c r="V913" s="43">
        <f t="shared" si="207"/>
        <v>4.6254879999999996E-3</v>
      </c>
      <c r="W913" s="230">
        <f t="shared" si="208"/>
        <v>5.9790028718045294E-3</v>
      </c>
      <c r="X913" s="43">
        <f t="shared" si="209"/>
        <v>0.977637588</v>
      </c>
      <c r="Y913" s="43">
        <v>6.7497810999999999</v>
      </c>
      <c r="Z913" s="43">
        <f t="shared" si="198"/>
        <v>0</v>
      </c>
      <c r="AA913" s="43">
        <f t="shared" si="199"/>
        <v>230820</v>
      </c>
      <c r="AB913" s="43">
        <f t="shared" si="200"/>
        <v>76507</v>
      </c>
      <c r="AC913" s="43">
        <f t="shared" si="210"/>
        <v>2.4487274902360415E-2</v>
      </c>
      <c r="AD913" s="43">
        <f t="shared" si="211"/>
        <v>0.89458291538016477</v>
      </c>
      <c r="AF913" s="43">
        <v>18.063410059328426</v>
      </c>
      <c r="AG913" s="43">
        <v>7.0016009999999997E-3</v>
      </c>
      <c r="AH913" s="43">
        <v>6.4740830000000003E-3</v>
      </c>
      <c r="AI913" s="43">
        <v>0.95462147600000002</v>
      </c>
      <c r="AJ913" s="43">
        <v>5.4123569790000001</v>
      </c>
      <c r="AK913" s="43">
        <v>11.786029490000001</v>
      </c>
      <c r="AL913" s="43">
        <v>4.6254879999999996E-3</v>
      </c>
      <c r="AM913" s="230">
        <v>5.9790028718045294E-3</v>
      </c>
      <c r="AN913" s="43">
        <v>0.977637588</v>
      </c>
    </row>
    <row r="914" spans="1:40" x14ac:dyDescent="0.25">
      <c r="A914" s="134">
        <v>904</v>
      </c>
      <c r="B914" s="134" t="s">
        <v>217</v>
      </c>
      <c r="C914" s="134" t="s">
        <v>218</v>
      </c>
      <c r="D914" s="134" t="s">
        <v>219</v>
      </c>
      <c r="E914" s="134">
        <v>0</v>
      </c>
      <c r="F914" s="134">
        <v>0</v>
      </c>
      <c r="G914" s="134">
        <v>204</v>
      </c>
      <c r="H914" s="134">
        <v>3116</v>
      </c>
      <c r="I914" s="200">
        <v>0.43009139617100001</v>
      </c>
      <c r="J914" s="134">
        <v>3116</v>
      </c>
      <c r="K914" s="134">
        <v>7244.97171471</v>
      </c>
      <c r="L914" s="42">
        <v>0.96089554612299999</v>
      </c>
      <c r="M914" s="42">
        <v>1</v>
      </c>
      <c r="N914" s="134">
        <v>0</v>
      </c>
      <c r="O914" s="43" t="s">
        <v>666</v>
      </c>
      <c r="P914" s="43">
        <f t="shared" si="201"/>
        <v>18.04290340746968</v>
      </c>
      <c r="Q914" s="43">
        <f t="shared" si="202"/>
        <v>4.4098399999999999E-3</v>
      </c>
      <c r="R914" s="43">
        <f t="shared" si="203"/>
        <v>6.838004E-3</v>
      </c>
      <c r="S914" s="43">
        <f t="shared" si="204"/>
        <v>0.96089554600000004</v>
      </c>
      <c r="T914" s="43">
        <f t="shared" si="205"/>
        <v>5.5181777380000003</v>
      </c>
      <c r="U914" s="43">
        <f t="shared" si="206"/>
        <v>11.73358775</v>
      </c>
      <c r="V914" s="43">
        <f t="shared" si="207"/>
        <v>5.21691E-3</v>
      </c>
      <c r="W914" s="230">
        <f t="shared" si="208"/>
        <v>4.0494039572323949E-3</v>
      </c>
      <c r="X914" s="43">
        <f t="shared" si="209"/>
        <v>0.98417721499999999</v>
      </c>
      <c r="Y914" s="43">
        <v>6.7497810999999999</v>
      </c>
      <c r="Z914" s="43">
        <f t="shared" si="198"/>
        <v>0</v>
      </c>
      <c r="AA914" s="43">
        <f t="shared" si="199"/>
        <v>230820</v>
      </c>
      <c r="AB914" s="43">
        <f t="shared" si="200"/>
        <v>76507</v>
      </c>
      <c r="AC914" s="43">
        <f t="shared" si="210"/>
        <v>2.4487274902360415E-2</v>
      </c>
      <c r="AD914" s="43">
        <f t="shared" si="211"/>
        <v>0.89458291538016477</v>
      </c>
      <c r="AF914" s="43">
        <v>18.04290340746968</v>
      </c>
      <c r="AG914" s="43">
        <v>4.4098399999999999E-3</v>
      </c>
      <c r="AH914" s="43">
        <v>6.838004E-3</v>
      </c>
      <c r="AI914" s="43">
        <v>0.96089554600000004</v>
      </c>
      <c r="AJ914" s="43">
        <v>5.5181777380000003</v>
      </c>
      <c r="AK914" s="43">
        <v>11.73358775</v>
      </c>
      <c r="AL914" s="43">
        <v>5.21691E-3</v>
      </c>
      <c r="AM914" s="230">
        <v>4.0494039572323949E-3</v>
      </c>
      <c r="AN914" s="43">
        <v>0.98417721499999999</v>
      </c>
    </row>
    <row r="915" spans="1:40" x14ac:dyDescent="0.25">
      <c r="A915" s="134">
        <v>905</v>
      </c>
      <c r="B915" s="134" t="s">
        <v>217</v>
      </c>
      <c r="C915" s="134" t="s">
        <v>218</v>
      </c>
      <c r="D915" s="134" t="s">
        <v>219</v>
      </c>
      <c r="E915" s="134">
        <v>36</v>
      </c>
      <c r="F915" s="134">
        <v>94</v>
      </c>
      <c r="G915" s="134">
        <v>374</v>
      </c>
      <c r="H915" s="134">
        <v>1766</v>
      </c>
      <c r="I915" s="200">
        <v>0.63046584365299996</v>
      </c>
      <c r="J915" s="134">
        <v>1860</v>
      </c>
      <c r="K915" s="134">
        <v>2950.1994734899999</v>
      </c>
      <c r="L915" s="42">
        <v>0.97366678551399999</v>
      </c>
      <c r="M915" s="42">
        <v>0.98002219755800002</v>
      </c>
      <c r="N915" s="134">
        <v>0</v>
      </c>
      <c r="O915" s="43" t="s">
        <v>666</v>
      </c>
      <c r="P915" s="43">
        <f t="shared" si="201"/>
        <v>15.499178636225881</v>
      </c>
      <c r="Q915" s="43">
        <f t="shared" si="202"/>
        <v>7.9585400000000003E-4</v>
      </c>
      <c r="R915" s="43">
        <f t="shared" si="203"/>
        <v>7.0162480000000001E-3</v>
      </c>
      <c r="S915" s="43">
        <f t="shared" si="204"/>
        <v>0.97366678600000001</v>
      </c>
      <c r="T915" s="43">
        <f t="shared" si="205"/>
        <v>4.900537634</v>
      </c>
      <c r="U915" s="43">
        <f t="shared" si="206"/>
        <v>9.7541406950000002</v>
      </c>
      <c r="V915" s="43">
        <f t="shared" si="207"/>
        <v>6.0336219999999998E-3</v>
      </c>
      <c r="W915" s="230">
        <f t="shared" si="208"/>
        <v>8.2137099869501805E-4</v>
      </c>
      <c r="X915" s="43">
        <f t="shared" si="209"/>
        <v>0.98275888499999997</v>
      </c>
      <c r="Y915" s="43">
        <v>6.7505835579999998</v>
      </c>
      <c r="Z915" s="43">
        <f t="shared" si="198"/>
        <v>0</v>
      </c>
      <c r="AA915" s="43">
        <f t="shared" si="199"/>
        <v>230820</v>
      </c>
      <c r="AB915" s="43">
        <f t="shared" si="200"/>
        <v>76507</v>
      </c>
      <c r="AC915" s="43">
        <f t="shared" si="210"/>
        <v>2.4487274902360415E-2</v>
      </c>
      <c r="AD915" s="43">
        <f t="shared" si="211"/>
        <v>0.89458291538016477</v>
      </c>
      <c r="AF915" s="43">
        <v>15.499178636225881</v>
      </c>
      <c r="AG915" s="43">
        <v>7.9585400000000003E-4</v>
      </c>
      <c r="AH915" s="43">
        <v>7.0162480000000001E-3</v>
      </c>
      <c r="AI915" s="43">
        <v>0.97366678600000001</v>
      </c>
      <c r="AJ915" s="43">
        <v>4.900537634</v>
      </c>
      <c r="AK915" s="43">
        <v>9.7541406950000002</v>
      </c>
      <c r="AL915" s="43">
        <v>6.0336219999999998E-3</v>
      </c>
      <c r="AM915" s="230">
        <v>8.2137099869501805E-4</v>
      </c>
      <c r="AN915" s="43">
        <v>0.98275888499999997</v>
      </c>
    </row>
    <row r="916" spans="1:40" x14ac:dyDescent="0.25">
      <c r="A916" s="134">
        <v>906</v>
      </c>
      <c r="B916" s="134" t="s">
        <v>217</v>
      </c>
      <c r="C916" s="134" t="s">
        <v>218</v>
      </c>
      <c r="D916" s="134" t="s">
        <v>219</v>
      </c>
      <c r="E916" s="134">
        <v>0</v>
      </c>
      <c r="F916" s="134">
        <v>0</v>
      </c>
      <c r="G916" s="134">
        <v>214</v>
      </c>
      <c r="H916" s="134">
        <v>2735</v>
      </c>
      <c r="I916" s="200">
        <v>0.36053075847999999</v>
      </c>
      <c r="J916" s="134">
        <v>2735</v>
      </c>
      <c r="K916" s="134">
        <v>7586.0379057099999</v>
      </c>
      <c r="L916" s="42">
        <v>0.93033317558200002</v>
      </c>
      <c r="M916" s="42">
        <v>1</v>
      </c>
      <c r="N916" s="134">
        <v>0</v>
      </c>
      <c r="O916" s="43" t="s">
        <v>666</v>
      </c>
      <c r="P916" s="43">
        <f t="shared" si="201"/>
        <v>14.498403803955279</v>
      </c>
      <c r="Q916" s="43">
        <f t="shared" si="202"/>
        <v>1.4327342999999999E-2</v>
      </c>
      <c r="R916" s="43">
        <f t="shared" si="203"/>
        <v>8.7900310000000002E-3</v>
      </c>
      <c r="S916" s="43">
        <f t="shared" si="204"/>
        <v>0.93033317599999998</v>
      </c>
      <c r="T916" s="43">
        <f t="shared" si="205"/>
        <v>3.5575741019999998</v>
      </c>
      <c r="U916" s="43">
        <f t="shared" si="206"/>
        <v>8.7839325749999997</v>
      </c>
      <c r="V916" s="43">
        <f t="shared" si="207"/>
        <v>7.0713929999999996E-3</v>
      </c>
      <c r="W916" s="230">
        <f t="shared" si="208"/>
        <v>2.0058951613467851E-2</v>
      </c>
      <c r="X916" s="43">
        <f t="shared" si="209"/>
        <v>0.95411296000000001</v>
      </c>
      <c r="Y916" s="43">
        <v>10.253402100000001</v>
      </c>
      <c r="Z916" s="43">
        <f t="shared" si="198"/>
        <v>0</v>
      </c>
      <c r="AA916" s="43">
        <f t="shared" si="199"/>
        <v>230820</v>
      </c>
      <c r="AB916" s="43">
        <f t="shared" si="200"/>
        <v>76507</v>
      </c>
      <c r="AC916" s="43">
        <f t="shared" si="210"/>
        <v>2.4487274902360415E-2</v>
      </c>
      <c r="AD916" s="43">
        <f t="shared" si="211"/>
        <v>0.89458291538016477</v>
      </c>
      <c r="AF916" s="43">
        <v>14.498403803955279</v>
      </c>
      <c r="AG916" s="43">
        <v>1.4327342999999999E-2</v>
      </c>
      <c r="AH916" s="43">
        <v>8.7900310000000002E-3</v>
      </c>
      <c r="AI916" s="43">
        <v>0.93033317599999998</v>
      </c>
      <c r="AJ916" s="43">
        <v>3.5575741019999998</v>
      </c>
      <c r="AK916" s="43">
        <v>8.7839325749999997</v>
      </c>
      <c r="AL916" s="43">
        <v>7.0713929999999996E-3</v>
      </c>
      <c r="AM916" s="230">
        <v>2.0058951613467851E-2</v>
      </c>
      <c r="AN916" s="43">
        <v>0.95411296000000001</v>
      </c>
    </row>
    <row r="917" spans="1:40" x14ac:dyDescent="0.25">
      <c r="A917" s="134">
        <v>907</v>
      </c>
      <c r="B917" s="134" t="s">
        <v>217</v>
      </c>
      <c r="C917" s="134" t="s">
        <v>218</v>
      </c>
      <c r="D917" s="134" t="s">
        <v>219</v>
      </c>
      <c r="E917" s="134">
        <v>0</v>
      </c>
      <c r="F917" s="134">
        <v>0</v>
      </c>
      <c r="G917" s="134">
        <v>368</v>
      </c>
      <c r="H917" s="134">
        <v>5430</v>
      </c>
      <c r="I917" s="200">
        <v>0.62051728578700005</v>
      </c>
      <c r="J917" s="134">
        <v>5430</v>
      </c>
      <c r="K917" s="134">
        <v>8750.7634748799992</v>
      </c>
      <c r="L917" s="42">
        <v>0.95191607914499998</v>
      </c>
      <c r="M917" s="42">
        <v>1</v>
      </c>
      <c r="N917" s="134">
        <v>0</v>
      </c>
      <c r="O917" s="43" t="s">
        <v>666</v>
      </c>
      <c r="P917" s="43">
        <f t="shared" si="201"/>
        <v>16.495008431365079</v>
      </c>
      <c r="Q917" s="43">
        <f t="shared" si="202"/>
        <v>1.8861345000000002E-2</v>
      </c>
      <c r="R917" s="43">
        <f t="shared" si="203"/>
        <v>7.4880600000000004E-3</v>
      </c>
      <c r="S917" s="43">
        <f t="shared" si="204"/>
        <v>0.95191607899999997</v>
      </c>
      <c r="T917" s="43">
        <f t="shared" si="205"/>
        <v>4.4186252210000001</v>
      </c>
      <c r="U917" s="43">
        <f t="shared" si="206"/>
        <v>9.5226938329999999</v>
      </c>
      <c r="V917" s="43">
        <f t="shared" si="207"/>
        <v>5.8898049999999997E-3</v>
      </c>
      <c r="W917" s="230">
        <f t="shared" si="208"/>
        <v>2.528840283585829E-2</v>
      </c>
      <c r="X917" s="43">
        <f t="shared" si="209"/>
        <v>0.961305144</v>
      </c>
      <c r="Y917" s="43">
        <v>8.7019083100000003</v>
      </c>
      <c r="Z917" s="43">
        <f t="shared" si="198"/>
        <v>0</v>
      </c>
      <c r="AA917" s="43">
        <f t="shared" si="199"/>
        <v>230820</v>
      </c>
      <c r="AB917" s="43">
        <f t="shared" si="200"/>
        <v>76507</v>
      </c>
      <c r="AC917" s="43">
        <f t="shared" si="210"/>
        <v>2.4487274902360415E-2</v>
      </c>
      <c r="AD917" s="43">
        <f t="shared" si="211"/>
        <v>0.89458291538016477</v>
      </c>
      <c r="AF917" s="43">
        <v>16.495008431365079</v>
      </c>
      <c r="AG917" s="43">
        <v>1.8861345000000002E-2</v>
      </c>
      <c r="AH917" s="43">
        <v>7.4880600000000004E-3</v>
      </c>
      <c r="AI917" s="43">
        <v>0.95191607899999997</v>
      </c>
      <c r="AJ917" s="43">
        <v>4.4186252210000001</v>
      </c>
      <c r="AK917" s="43">
        <v>9.5226938329999999</v>
      </c>
      <c r="AL917" s="43">
        <v>5.8898049999999997E-3</v>
      </c>
      <c r="AM917" s="230">
        <v>2.528840283585829E-2</v>
      </c>
      <c r="AN917" s="43">
        <v>0.961305144</v>
      </c>
    </row>
    <row r="918" spans="1:40" x14ac:dyDescent="0.25">
      <c r="A918" s="134">
        <v>908</v>
      </c>
      <c r="B918" s="134" t="s">
        <v>217</v>
      </c>
      <c r="C918" s="134" t="s">
        <v>218</v>
      </c>
      <c r="D918" s="134" t="s">
        <v>219</v>
      </c>
      <c r="E918" s="134">
        <v>593</v>
      </c>
      <c r="F918" s="134">
        <v>1553</v>
      </c>
      <c r="G918" s="134">
        <v>53</v>
      </c>
      <c r="H918" s="134">
        <v>7</v>
      </c>
      <c r="I918" s="200">
        <v>7.5724362727199998E-2</v>
      </c>
      <c r="J918" s="134">
        <v>1560</v>
      </c>
      <c r="K918" s="134">
        <v>20601.031739499998</v>
      </c>
      <c r="L918" s="42">
        <v>0.79466878622799997</v>
      </c>
      <c r="M918" s="42">
        <v>1.16666666667E-2</v>
      </c>
      <c r="N918" s="134">
        <v>0</v>
      </c>
      <c r="O918" s="43" t="s">
        <v>664</v>
      </c>
      <c r="P918" s="43">
        <f t="shared" si="201"/>
        <v>12.831572294652522</v>
      </c>
      <c r="Q918" s="43">
        <f t="shared" si="202"/>
        <v>0.111967121</v>
      </c>
      <c r="R918" s="43">
        <f t="shared" si="203"/>
        <v>9.9877869999999997E-3</v>
      </c>
      <c r="S918" s="43">
        <f t="shared" si="204"/>
        <v>0.79466878600000002</v>
      </c>
      <c r="T918" s="43">
        <f t="shared" si="205"/>
        <v>5.350659426</v>
      </c>
      <c r="U918" s="43">
        <f t="shared" si="206"/>
        <v>9.8370888549999993</v>
      </c>
      <c r="V918" s="43">
        <f t="shared" si="207"/>
        <v>1.646649E-3</v>
      </c>
      <c r="W918" s="230">
        <f t="shared" si="208"/>
        <v>4.6235309311636316E-2</v>
      </c>
      <c r="X918" s="43">
        <f t="shared" si="209"/>
        <v>0.92633669100000005</v>
      </c>
      <c r="Y918" s="43">
        <v>18.91492057</v>
      </c>
      <c r="Z918" s="43">
        <f t="shared" si="198"/>
        <v>0</v>
      </c>
      <c r="AA918" s="43">
        <f t="shared" si="199"/>
        <v>230820</v>
      </c>
      <c r="AB918" s="43">
        <f t="shared" si="200"/>
        <v>76507</v>
      </c>
      <c r="AC918" s="43">
        <f t="shared" si="210"/>
        <v>2.4487274902360415E-2</v>
      </c>
      <c r="AD918" s="43">
        <f t="shared" si="211"/>
        <v>0.89458291538016477</v>
      </c>
      <c r="AF918" s="43">
        <v>12.831572294652522</v>
      </c>
      <c r="AG918" s="43">
        <v>0.111967121</v>
      </c>
      <c r="AH918" s="43">
        <v>9.9877869999999997E-3</v>
      </c>
      <c r="AI918" s="43">
        <v>0.79466878600000002</v>
      </c>
      <c r="AJ918" s="43">
        <v>5.350659426</v>
      </c>
      <c r="AK918" s="43">
        <v>9.8370888549999993</v>
      </c>
      <c r="AL918" s="43">
        <v>1.646649E-3</v>
      </c>
      <c r="AM918" s="230">
        <v>4.6235309311636316E-2</v>
      </c>
      <c r="AN918" s="43">
        <v>0.92633669100000005</v>
      </c>
    </row>
    <row r="919" spans="1:40" x14ac:dyDescent="0.25">
      <c r="A919" s="134">
        <v>909</v>
      </c>
      <c r="B919" s="134" t="s">
        <v>217</v>
      </c>
      <c r="C919" s="134" t="s">
        <v>218</v>
      </c>
      <c r="D919" s="134" t="s">
        <v>219</v>
      </c>
      <c r="E919" s="134">
        <v>0</v>
      </c>
      <c r="F919" s="134">
        <v>0</v>
      </c>
      <c r="G919" s="134">
        <v>323</v>
      </c>
      <c r="H919" s="134">
        <v>3730</v>
      </c>
      <c r="I919" s="200">
        <v>0.46352692587400002</v>
      </c>
      <c r="J919" s="134">
        <v>3730</v>
      </c>
      <c r="K919" s="134">
        <v>8046.9974704699998</v>
      </c>
      <c r="L919" s="42">
        <v>0.87854352801500002</v>
      </c>
      <c r="M919" s="42">
        <v>1</v>
      </c>
      <c r="N919" s="134">
        <v>0</v>
      </c>
      <c r="O919" s="43" t="s">
        <v>666</v>
      </c>
      <c r="P919" s="43">
        <f t="shared" si="201"/>
        <v>18.096184939728982</v>
      </c>
      <c r="Q919" s="43">
        <f t="shared" si="202"/>
        <v>2.8055332999999998E-2</v>
      </c>
      <c r="R919" s="43">
        <f t="shared" si="203"/>
        <v>7.254885E-3</v>
      </c>
      <c r="S919" s="43">
        <f t="shared" si="204"/>
        <v>0.87854352800000002</v>
      </c>
      <c r="T919" s="43">
        <f t="shared" si="205"/>
        <v>3.8152803780000002</v>
      </c>
      <c r="U919" s="43">
        <f t="shared" si="206"/>
        <v>9.6290371609999994</v>
      </c>
      <c r="V919" s="43">
        <f t="shared" si="207"/>
        <v>5.3150139999999998E-3</v>
      </c>
      <c r="W919" s="230">
        <f t="shared" si="208"/>
        <v>2.4066694374495757E-2</v>
      </c>
      <c r="X919" s="43">
        <f t="shared" si="209"/>
        <v>0.94472288100000001</v>
      </c>
      <c r="Y919" s="43">
        <v>7.0519886649999997</v>
      </c>
      <c r="Z919" s="43">
        <f t="shared" si="198"/>
        <v>0</v>
      </c>
      <c r="AA919" s="43">
        <f t="shared" si="199"/>
        <v>230820</v>
      </c>
      <c r="AB919" s="43">
        <f t="shared" si="200"/>
        <v>76507</v>
      </c>
      <c r="AC919" s="43">
        <f t="shared" si="210"/>
        <v>2.4487274902360415E-2</v>
      </c>
      <c r="AD919" s="43">
        <f t="shared" si="211"/>
        <v>0.89458291538016477</v>
      </c>
      <c r="AF919" s="43">
        <v>18.096184939728982</v>
      </c>
      <c r="AG919" s="43">
        <v>2.8055332999999998E-2</v>
      </c>
      <c r="AH919" s="43">
        <v>7.254885E-3</v>
      </c>
      <c r="AI919" s="43">
        <v>0.87854352800000002</v>
      </c>
      <c r="AJ919" s="43">
        <v>3.8152803780000002</v>
      </c>
      <c r="AK919" s="43">
        <v>9.6290371609999994</v>
      </c>
      <c r="AL919" s="43">
        <v>5.3150139999999998E-3</v>
      </c>
      <c r="AM919" s="230">
        <v>2.4066694374495757E-2</v>
      </c>
      <c r="AN919" s="43">
        <v>0.94472288100000001</v>
      </c>
    </row>
    <row r="920" spans="1:40" x14ac:dyDescent="0.25">
      <c r="A920" s="134">
        <v>910</v>
      </c>
      <c r="B920" s="134" t="s">
        <v>217</v>
      </c>
      <c r="C920" s="134" t="s">
        <v>218</v>
      </c>
      <c r="D920" s="134" t="s">
        <v>219</v>
      </c>
      <c r="E920" s="134">
        <v>0</v>
      </c>
      <c r="F920" s="134">
        <v>0</v>
      </c>
      <c r="G920" s="134">
        <v>76</v>
      </c>
      <c r="H920" s="134">
        <v>316</v>
      </c>
      <c r="I920" s="200">
        <v>0.108514834069</v>
      </c>
      <c r="J920" s="134">
        <v>316</v>
      </c>
      <c r="K920" s="134">
        <v>2912.0442629999998</v>
      </c>
      <c r="L920" s="42">
        <v>0.90783293424199996</v>
      </c>
      <c r="M920" s="42">
        <v>1</v>
      </c>
      <c r="N920" s="134">
        <v>0</v>
      </c>
      <c r="O920" s="43" t="s">
        <v>666</v>
      </c>
      <c r="P920" s="43">
        <f t="shared" si="201"/>
        <v>18.882753697860956</v>
      </c>
      <c r="Q920" s="43">
        <f t="shared" si="202"/>
        <v>2.1735126E-2</v>
      </c>
      <c r="R920" s="43">
        <f t="shared" si="203"/>
        <v>6.0324180000000003E-3</v>
      </c>
      <c r="S920" s="43">
        <f t="shared" si="204"/>
        <v>0.90783293399999998</v>
      </c>
      <c r="T920" s="43">
        <f t="shared" si="205"/>
        <v>5.4971319310000002</v>
      </c>
      <c r="U920" s="43">
        <f t="shared" si="206"/>
        <v>11.541341190000001</v>
      </c>
      <c r="V920" s="43">
        <f t="shared" si="207"/>
        <v>3.8436899999999999E-3</v>
      </c>
      <c r="W920" s="230">
        <f t="shared" si="208"/>
        <v>8.0076873798846891E-3</v>
      </c>
      <c r="X920" s="43">
        <f t="shared" si="209"/>
        <v>0.93433696300000002</v>
      </c>
      <c r="Y920" s="43">
        <v>7.946736263</v>
      </c>
      <c r="Z920" s="43">
        <f t="shared" si="198"/>
        <v>0</v>
      </c>
      <c r="AA920" s="43">
        <f t="shared" si="199"/>
        <v>230820</v>
      </c>
      <c r="AB920" s="43">
        <f t="shared" si="200"/>
        <v>76507</v>
      </c>
      <c r="AC920" s="43">
        <f t="shared" si="210"/>
        <v>2.4487274902360415E-2</v>
      </c>
      <c r="AD920" s="43">
        <f t="shared" si="211"/>
        <v>0.89458291538016477</v>
      </c>
      <c r="AF920" s="43">
        <v>18.882753697860956</v>
      </c>
      <c r="AG920" s="43">
        <v>2.1735126E-2</v>
      </c>
      <c r="AH920" s="43">
        <v>6.0324180000000003E-3</v>
      </c>
      <c r="AI920" s="43">
        <v>0.90783293399999998</v>
      </c>
      <c r="AJ920" s="43">
        <v>5.4971319310000002</v>
      </c>
      <c r="AK920" s="43">
        <v>11.541341190000001</v>
      </c>
      <c r="AL920" s="43">
        <v>3.8436899999999999E-3</v>
      </c>
      <c r="AM920" s="230">
        <v>8.0076873798846891E-3</v>
      </c>
      <c r="AN920" s="43">
        <v>0.93433696300000002</v>
      </c>
    </row>
    <row r="921" spans="1:40" x14ac:dyDescent="0.25">
      <c r="A921" s="134">
        <v>911</v>
      </c>
      <c r="B921" s="134" t="s">
        <v>217</v>
      </c>
      <c r="C921" s="134" t="s">
        <v>218</v>
      </c>
      <c r="D921" s="134" t="s">
        <v>219</v>
      </c>
      <c r="E921" s="134">
        <v>0</v>
      </c>
      <c r="F921" s="134">
        <v>0</v>
      </c>
      <c r="G921" s="134">
        <v>402</v>
      </c>
      <c r="H921" s="134">
        <v>3295</v>
      </c>
      <c r="I921" s="200">
        <v>0.57494282008399999</v>
      </c>
      <c r="J921" s="134">
        <v>3295</v>
      </c>
      <c r="K921" s="134">
        <v>5731.0046928100001</v>
      </c>
      <c r="L921" s="42">
        <v>0.96116270547100002</v>
      </c>
      <c r="M921" s="42">
        <v>1</v>
      </c>
      <c r="N921" s="134">
        <v>0</v>
      </c>
      <c r="O921" s="43" t="s">
        <v>666</v>
      </c>
      <c r="P921" s="43">
        <f t="shared" si="201"/>
        <v>18.478393145810529</v>
      </c>
      <c r="Q921" s="43">
        <f t="shared" si="202"/>
        <v>8.1428709999999994E-3</v>
      </c>
      <c r="R921" s="43">
        <f t="shared" si="203"/>
        <v>6.8527639999999999E-3</v>
      </c>
      <c r="S921" s="43">
        <f t="shared" si="204"/>
        <v>0.96116270500000001</v>
      </c>
      <c r="T921" s="43">
        <f t="shared" si="205"/>
        <v>5.6031263569999998</v>
      </c>
      <c r="U921" s="43">
        <f t="shared" si="206"/>
        <v>11.919314930000001</v>
      </c>
      <c r="V921" s="43">
        <f t="shared" si="207"/>
        <v>5.2549099999999998E-3</v>
      </c>
      <c r="W921" s="230">
        <f t="shared" si="208"/>
        <v>7.0656116239278385E-3</v>
      </c>
      <c r="X921" s="43">
        <f t="shared" si="209"/>
        <v>0.98015426999999999</v>
      </c>
      <c r="Y921" s="43">
        <v>6.7497810999999999</v>
      </c>
      <c r="Z921" s="43">
        <f t="shared" si="198"/>
        <v>0</v>
      </c>
      <c r="AA921" s="43">
        <f t="shared" si="199"/>
        <v>230820</v>
      </c>
      <c r="AB921" s="43">
        <f t="shared" si="200"/>
        <v>76507</v>
      </c>
      <c r="AC921" s="43">
        <f t="shared" si="210"/>
        <v>2.4487274902360415E-2</v>
      </c>
      <c r="AD921" s="43">
        <f t="shared" si="211"/>
        <v>0.89458291538016477</v>
      </c>
      <c r="AF921" s="43">
        <v>18.478393145810529</v>
      </c>
      <c r="AG921" s="43">
        <v>8.1428709999999994E-3</v>
      </c>
      <c r="AH921" s="43">
        <v>6.8527639999999999E-3</v>
      </c>
      <c r="AI921" s="43">
        <v>0.96116270500000001</v>
      </c>
      <c r="AJ921" s="43">
        <v>5.6031263569999998</v>
      </c>
      <c r="AK921" s="43">
        <v>11.919314930000001</v>
      </c>
      <c r="AL921" s="43">
        <v>5.2549099999999998E-3</v>
      </c>
      <c r="AM921" s="230">
        <v>7.0656116239278385E-3</v>
      </c>
      <c r="AN921" s="43">
        <v>0.98015426999999999</v>
      </c>
    </row>
    <row r="922" spans="1:40" x14ac:dyDescent="0.25">
      <c r="A922" s="134">
        <v>912</v>
      </c>
      <c r="B922" s="134" t="s">
        <v>217</v>
      </c>
      <c r="C922" s="134" t="s">
        <v>218</v>
      </c>
      <c r="D922" s="134" t="s">
        <v>219</v>
      </c>
      <c r="E922" s="134">
        <v>1188</v>
      </c>
      <c r="F922" s="134">
        <v>3526</v>
      </c>
      <c r="G922" s="134">
        <v>302</v>
      </c>
      <c r="H922" s="134">
        <v>623</v>
      </c>
      <c r="I922" s="200">
        <v>0.43345277020799999</v>
      </c>
      <c r="J922" s="134">
        <v>4149</v>
      </c>
      <c r="K922" s="134">
        <v>9571.9771222300005</v>
      </c>
      <c r="L922" s="42">
        <v>0.86782910598399998</v>
      </c>
      <c r="M922" s="42">
        <v>0.34400883489799999</v>
      </c>
      <c r="N922" s="134">
        <v>0</v>
      </c>
      <c r="O922" s="43" t="s">
        <v>666</v>
      </c>
      <c r="P922" s="43">
        <f t="shared" si="201"/>
        <v>14.365535503638698</v>
      </c>
      <c r="Q922" s="43">
        <f t="shared" si="202"/>
        <v>2.1099463999999998E-2</v>
      </c>
      <c r="R922" s="43">
        <f t="shared" si="203"/>
        <v>1.175521E-2</v>
      </c>
      <c r="S922" s="43">
        <f t="shared" si="204"/>
        <v>0.86782910599999996</v>
      </c>
      <c r="T922" s="43">
        <f t="shared" si="205"/>
        <v>4.3816653680000002</v>
      </c>
      <c r="U922" s="43">
        <f t="shared" si="206"/>
        <v>10.1671452</v>
      </c>
      <c r="V922" s="43">
        <f t="shared" si="207"/>
        <v>4.8099170000000004E-3</v>
      </c>
      <c r="W922" s="230">
        <f t="shared" si="208"/>
        <v>2.972371350006547E-2</v>
      </c>
      <c r="X922" s="43">
        <f t="shared" si="209"/>
        <v>0.92076731700000003</v>
      </c>
      <c r="Y922" s="43">
        <v>157.17792420000001</v>
      </c>
      <c r="Z922" s="43">
        <f t="shared" si="198"/>
        <v>0</v>
      </c>
      <c r="AA922" s="43">
        <f t="shared" si="199"/>
        <v>230820</v>
      </c>
      <c r="AB922" s="43">
        <f t="shared" si="200"/>
        <v>76507</v>
      </c>
      <c r="AC922" s="43">
        <f t="shared" si="210"/>
        <v>2.4487274902360415E-2</v>
      </c>
      <c r="AD922" s="43">
        <f t="shared" si="211"/>
        <v>0.89458291538016477</v>
      </c>
      <c r="AF922" s="43">
        <v>14.365535503638698</v>
      </c>
      <c r="AG922" s="43">
        <v>2.1099463999999998E-2</v>
      </c>
      <c r="AH922" s="43">
        <v>1.175521E-2</v>
      </c>
      <c r="AI922" s="43">
        <v>0.86782910599999996</v>
      </c>
      <c r="AJ922" s="43">
        <v>4.3816653680000002</v>
      </c>
      <c r="AK922" s="43">
        <v>10.1671452</v>
      </c>
      <c r="AL922" s="43">
        <v>4.8099170000000004E-3</v>
      </c>
      <c r="AM922" s="230">
        <v>2.972371350006547E-2</v>
      </c>
      <c r="AN922" s="43">
        <v>0.92076731700000003</v>
      </c>
    </row>
    <row r="923" spans="1:40" x14ac:dyDescent="0.25">
      <c r="A923" s="134">
        <v>913</v>
      </c>
      <c r="B923" s="134" t="s">
        <v>217</v>
      </c>
      <c r="C923" s="134" t="s">
        <v>218</v>
      </c>
      <c r="D923" s="134" t="s">
        <v>219</v>
      </c>
      <c r="E923" s="134">
        <v>812</v>
      </c>
      <c r="F923" s="134">
        <v>2408</v>
      </c>
      <c r="G923" s="134">
        <v>113</v>
      </c>
      <c r="H923" s="134">
        <v>461</v>
      </c>
      <c r="I923" s="200">
        <v>0.17576289417099999</v>
      </c>
      <c r="J923" s="134">
        <v>2869</v>
      </c>
      <c r="K923" s="134">
        <v>16323.126752800001</v>
      </c>
      <c r="L923" s="42">
        <v>0.88049617221099996</v>
      </c>
      <c r="M923" s="42">
        <v>0.36213668499599999</v>
      </c>
      <c r="N923" s="134">
        <v>0</v>
      </c>
      <c r="O923" s="43" t="s">
        <v>666</v>
      </c>
      <c r="P923" s="43">
        <f t="shared" si="201"/>
        <v>14.615392982122515</v>
      </c>
      <c r="Q923" s="43">
        <f t="shared" si="202"/>
        <v>2.4543240000000001E-2</v>
      </c>
      <c r="R923" s="43">
        <f t="shared" si="203"/>
        <v>1.1550582E-2</v>
      </c>
      <c r="S923" s="43">
        <f t="shared" si="204"/>
        <v>0.88049617199999997</v>
      </c>
      <c r="T923" s="43">
        <f t="shared" si="205"/>
        <v>4.3582980649999996</v>
      </c>
      <c r="U923" s="43">
        <f t="shared" si="206"/>
        <v>10.07942712</v>
      </c>
      <c r="V923" s="43">
        <f t="shared" si="207"/>
        <v>5.624113E-3</v>
      </c>
      <c r="W923" s="230">
        <f t="shared" si="208"/>
        <v>3.9117717212548801E-2</v>
      </c>
      <c r="X923" s="43">
        <f t="shared" si="209"/>
        <v>0.91923496999999998</v>
      </c>
      <c r="Y923" s="43">
        <v>147.33804559999999</v>
      </c>
      <c r="Z923" s="43">
        <f t="shared" si="198"/>
        <v>0</v>
      </c>
      <c r="AA923" s="43">
        <f t="shared" si="199"/>
        <v>230820</v>
      </c>
      <c r="AB923" s="43">
        <f t="shared" si="200"/>
        <v>76507</v>
      </c>
      <c r="AC923" s="43">
        <f t="shared" si="210"/>
        <v>2.4487274902360415E-2</v>
      </c>
      <c r="AD923" s="43">
        <f t="shared" si="211"/>
        <v>0.89458291538016477</v>
      </c>
      <c r="AF923" s="43">
        <v>14.615392982122515</v>
      </c>
      <c r="AG923" s="43">
        <v>2.4543240000000001E-2</v>
      </c>
      <c r="AH923" s="43">
        <v>1.1550582E-2</v>
      </c>
      <c r="AI923" s="43">
        <v>0.88049617199999997</v>
      </c>
      <c r="AJ923" s="43">
        <v>4.3582980649999996</v>
      </c>
      <c r="AK923" s="43">
        <v>10.07942712</v>
      </c>
      <c r="AL923" s="43">
        <v>5.624113E-3</v>
      </c>
      <c r="AM923" s="230">
        <v>3.9117717212548801E-2</v>
      </c>
      <c r="AN923" s="43">
        <v>0.91923496999999998</v>
      </c>
    </row>
    <row r="924" spans="1:40" x14ac:dyDescent="0.25">
      <c r="A924" s="134">
        <v>914</v>
      </c>
      <c r="B924" s="134" t="s">
        <v>217</v>
      </c>
      <c r="C924" s="134" t="s">
        <v>218</v>
      </c>
      <c r="D924" s="134" t="s">
        <v>219</v>
      </c>
      <c r="E924" s="134">
        <v>283</v>
      </c>
      <c r="F924" s="134">
        <v>962</v>
      </c>
      <c r="G924" s="134">
        <v>63</v>
      </c>
      <c r="H924" s="134">
        <v>125</v>
      </c>
      <c r="I924" s="200">
        <v>8.3669040828500005E-2</v>
      </c>
      <c r="J924" s="134">
        <v>1087</v>
      </c>
      <c r="K924" s="134">
        <v>12991.6632154</v>
      </c>
      <c r="L924" s="42">
        <v>0.89589520660599997</v>
      </c>
      <c r="M924" s="42">
        <v>0.30637254902</v>
      </c>
      <c r="N924" s="134">
        <v>0</v>
      </c>
      <c r="O924" s="43" t="s">
        <v>666</v>
      </c>
      <c r="P924" s="43">
        <f t="shared" si="201"/>
        <v>14.210719812035617</v>
      </c>
      <c r="Q924" s="43">
        <f t="shared" si="202"/>
        <v>2.3606899000000001E-2</v>
      </c>
      <c r="R924" s="43">
        <f t="shared" si="203"/>
        <v>1.163787E-2</v>
      </c>
      <c r="S924" s="43">
        <f t="shared" si="204"/>
        <v>0.89589520700000003</v>
      </c>
      <c r="T924" s="43">
        <f t="shared" si="205"/>
        <v>4.7878515190000002</v>
      </c>
      <c r="U924" s="43">
        <f t="shared" si="206"/>
        <v>10.637376079999999</v>
      </c>
      <c r="V924" s="43">
        <f t="shared" si="207"/>
        <v>3.4834409999999999E-3</v>
      </c>
      <c r="W924" s="230">
        <f t="shared" si="208"/>
        <v>3.2327005923532583E-2</v>
      </c>
      <c r="X924" s="43">
        <f t="shared" si="209"/>
        <v>0.93628836800000004</v>
      </c>
      <c r="Y924" s="43">
        <v>118.5357867</v>
      </c>
      <c r="Z924" s="43">
        <f t="shared" si="198"/>
        <v>0</v>
      </c>
      <c r="AA924" s="43">
        <f t="shared" si="199"/>
        <v>230820</v>
      </c>
      <c r="AB924" s="43">
        <f t="shared" si="200"/>
        <v>76507</v>
      </c>
      <c r="AC924" s="43">
        <f t="shared" si="210"/>
        <v>2.4487274902360415E-2</v>
      </c>
      <c r="AD924" s="43">
        <f t="shared" si="211"/>
        <v>0.89458291538016477</v>
      </c>
      <c r="AF924" s="43">
        <v>14.210719812035617</v>
      </c>
      <c r="AG924" s="43">
        <v>2.3606899000000001E-2</v>
      </c>
      <c r="AH924" s="43">
        <v>1.163787E-2</v>
      </c>
      <c r="AI924" s="43">
        <v>0.89589520700000003</v>
      </c>
      <c r="AJ924" s="43">
        <v>4.7878515190000002</v>
      </c>
      <c r="AK924" s="43">
        <v>10.637376079999999</v>
      </c>
      <c r="AL924" s="43">
        <v>3.4834409999999999E-3</v>
      </c>
      <c r="AM924" s="230">
        <v>3.2327005923532583E-2</v>
      </c>
      <c r="AN924" s="43">
        <v>0.93628836800000004</v>
      </c>
    </row>
    <row r="925" spans="1:40" x14ac:dyDescent="0.25">
      <c r="A925" s="134">
        <v>915</v>
      </c>
      <c r="B925" s="134" t="s">
        <v>217</v>
      </c>
      <c r="C925" s="134" t="s">
        <v>218</v>
      </c>
      <c r="D925" s="134" t="s">
        <v>219</v>
      </c>
      <c r="E925" s="134">
        <v>933</v>
      </c>
      <c r="F925" s="134">
        <v>3169</v>
      </c>
      <c r="G925" s="134">
        <v>370</v>
      </c>
      <c r="H925" s="134">
        <v>125</v>
      </c>
      <c r="I925" s="200">
        <v>0.491576127137</v>
      </c>
      <c r="J925" s="134">
        <v>3294</v>
      </c>
      <c r="K925" s="134">
        <v>6700.89497467</v>
      </c>
      <c r="L925" s="42">
        <v>0.89434571890100001</v>
      </c>
      <c r="M925" s="42">
        <v>0.118147448015</v>
      </c>
      <c r="N925" s="134">
        <v>0</v>
      </c>
      <c r="O925" s="43" t="s">
        <v>665</v>
      </c>
      <c r="P925" s="43">
        <f t="shared" si="201"/>
        <v>13.207176136403437</v>
      </c>
      <c r="Q925" s="43">
        <f t="shared" si="202"/>
        <v>2.2435704000000001E-2</v>
      </c>
      <c r="R925" s="43">
        <f t="shared" si="203"/>
        <v>1.1759522E-2</v>
      </c>
      <c r="S925" s="43">
        <f t="shared" si="204"/>
        <v>0.89434571900000004</v>
      </c>
      <c r="T925" s="43">
        <f t="shared" si="205"/>
        <v>4.779526401</v>
      </c>
      <c r="U925" s="43">
        <f t="shared" si="206"/>
        <v>10.134483120000001</v>
      </c>
      <c r="V925" s="43">
        <f t="shared" si="207"/>
        <v>2.121735E-3</v>
      </c>
      <c r="W925" s="230">
        <f t="shared" si="208"/>
        <v>3.469554010018968E-2</v>
      </c>
      <c r="X925" s="43">
        <f t="shared" si="209"/>
        <v>0.94234837800000004</v>
      </c>
      <c r="Y925" s="43">
        <v>122.6207505</v>
      </c>
      <c r="Z925" s="43">
        <f t="shared" si="198"/>
        <v>0</v>
      </c>
      <c r="AA925" s="43">
        <f t="shared" si="199"/>
        <v>230820</v>
      </c>
      <c r="AB925" s="43">
        <f t="shared" si="200"/>
        <v>76507</v>
      </c>
      <c r="AC925" s="43">
        <f t="shared" si="210"/>
        <v>2.4487274902360415E-2</v>
      </c>
      <c r="AD925" s="43">
        <f t="shared" si="211"/>
        <v>0.89458291538016477</v>
      </c>
      <c r="AF925" s="43">
        <v>13.207176136403437</v>
      </c>
      <c r="AG925" s="43">
        <v>2.2435704000000001E-2</v>
      </c>
      <c r="AH925" s="43">
        <v>1.1759522E-2</v>
      </c>
      <c r="AI925" s="43">
        <v>0.89434571900000004</v>
      </c>
      <c r="AJ925" s="43">
        <v>4.779526401</v>
      </c>
      <c r="AK925" s="43">
        <v>10.134483120000001</v>
      </c>
      <c r="AL925" s="43">
        <v>2.121735E-3</v>
      </c>
      <c r="AM925" s="230">
        <v>3.469554010018968E-2</v>
      </c>
      <c r="AN925" s="43">
        <v>0.94234837800000004</v>
      </c>
    </row>
    <row r="926" spans="1:40" x14ac:dyDescent="0.25">
      <c r="A926" s="134">
        <v>916</v>
      </c>
      <c r="B926" s="134" t="s">
        <v>217</v>
      </c>
      <c r="C926" s="134" t="s">
        <v>218</v>
      </c>
      <c r="D926" s="134" t="s">
        <v>219</v>
      </c>
      <c r="E926" s="134">
        <v>832</v>
      </c>
      <c r="F926" s="134">
        <v>2651</v>
      </c>
      <c r="G926" s="134">
        <v>1941</v>
      </c>
      <c r="H926" s="134">
        <v>190</v>
      </c>
      <c r="I926" s="200">
        <v>3.29115887715</v>
      </c>
      <c r="J926" s="134">
        <v>2841</v>
      </c>
      <c r="K926" s="134">
        <v>863.22177264899994</v>
      </c>
      <c r="L926" s="42">
        <v>0.93115375382800003</v>
      </c>
      <c r="M926" s="42">
        <v>0.18590998043099999</v>
      </c>
      <c r="N926" s="134">
        <v>0</v>
      </c>
      <c r="O926" s="43" t="s">
        <v>665</v>
      </c>
      <c r="P926" s="43">
        <f t="shared" si="201"/>
        <v>15.503582558301757</v>
      </c>
      <c r="Q926" s="43">
        <f t="shared" si="202"/>
        <v>1.8409069E-2</v>
      </c>
      <c r="R926" s="43">
        <f t="shared" si="203"/>
        <v>9.8546620000000001E-3</v>
      </c>
      <c r="S926" s="43">
        <f t="shared" si="204"/>
        <v>0.931153754</v>
      </c>
      <c r="T926" s="43">
        <f t="shared" si="205"/>
        <v>5.886611265</v>
      </c>
      <c r="U926" s="43">
        <f t="shared" si="206"/>
        <v>12.554011409999999</v>
      </c>
      <c r="V926" s="43">
        <f t="shared" si="207"/>
        <v>1.093311E-3</v>
      </c>
      <c r="W926" s="230">
        <f t="shared" si="208"/>
        <v>3.2777009237359989E-2</v>
      </c>
      <c r="X926" s="43">
        <f t="shared" si="209"/>
        <v>0.95844303600000003</v>
      </c>
      <c r="Y926" s="43">
        <v>15.01899289</v>
      </c>
      <c r="Z926" s="43">
        <f t="shared" si="198"/>
        <v>0</v>
      </c>
      <c r="AA926" s="43">
        <f t="shared" si="199"/>
        <v>230820</v>
      </c>
      <c r="AB926" s="43">
        <f t="shared" si="200"/>
        <v>76507</v>
      </c>
      <c r="AC926" s="43">
        <f t="shared" si="210"/>
        <v>2.4487274902360415E-2</v>
      </c>
      <c r="AD926" s="43">
        <f t="shared" si="211"/>
        <v>0.89458291538016477</v>
      </c>
      <c r="AF926" s="43">
        <v>15.503582558301757</v>
      </c>
      <c r="AG926" s="43">
        <v>1.8409069E-2</v>
      </c>
      <c r="AH926" s="43">
        <v>9.8546620000000001E-3</v>
      </c>
      <c r="AI926" s="43">
        <v>0.931153754</v>
      </c>
      <c r="AJ926" s="43">
        <v>5.886611265</v>
      </c>
      <c r="AK926" s="43">
        <v>12.554011409999999</v>
      </c>
      <c r="AL926" s="43">
        <v>1.093311E-3</v>
      </c>
      <c r="AM926" s="230">
        <v>3.2777009237359989E-2</v>
      </c>
      <c r="AN926" s="43">
        <v>0.95844303600000003</v>
      </c>
    </row>
    <row r="927" spans="1:40" x14ac:dyDescent="0.25">
      <c r="A927" s="134">
        <v>917</v>
      </c>
      <c r="B927" s="134" t="s">
        <v>217</v>
      </c>
      <c r="C927" s="134" t="s">
        <v>218</v>
      </c>
      <c r="D927" s="134" t="s">
        <v>219</v>
      </c>
      <c r="E927" s="134">
        <v>353</v>
      </c>
      <c r="F927" s="134">
        <v>1123</v>
      </c>
      <c r="G927" s="134">
        <v>1330</v>
      </c>
      <c r="H927" s="134">
        <v>286</v>
      </c>
      <c r="I927" s="200">
        <v>2.2558239631600001</v>
      </c>
      <c r="J927" s="134">
        <v>1409</v>
      </c>
      <c r="K927" s="134">
        <v>624.60547587400004</v>
      </c>
      <c r="L927" s="42">
        <v>0.94587993783199997</v>
      </c>
      <c r="M927" s="42">
        <v>0.44757433489800003</v>
      </c>
      <c r="N927" s="134">
        <v>0</v>
      </c>
      <c r="O927" s="43" t="s">
        <v>665</v>
      </c>
      <c r="P927" s="43">
        <f t="shared" si="201"/>
        <v>17.221577623695413</v>
      </c>
      <c r="Q927" s="43">
        <f t="shared" si="202"/>
        <v>1.2964938000000001E-2</v>
      </c>
      <c r="R927" s="43">
        <f t="shared" si="203"/>
        <v>9.1031189999999998E-3</v>
      </c>
      <c r="S927" s="43">
        <f t="shared" si="204"/>
        <v>0.94587993800000003</v>
      </c>
      <c r="T927" s="43">
        <f t="shared" si="205"/>
        <v>6.3060163899999999</v>
      </c>
      <c r="U927" s="43">
        <f t="shared" si="206"/>
        <v>13.295772489999999</v>
      </c>
      <c r="V927" s="43">
        <f t="shared" si="207"/>
        <v>1.65397E-3</v>
      </c>
      <c r="W927" s="230">
        <f t="shared" si="208"/>
        <v>3.024819279452828E-2</v>
      </c>
      <c r="X927" s="43">
        <f t="shared" si="209"/>
        <v>0.95437961500000001</v>
      </c>
      <c r="Y927" s="43">
        <v>10.3717541</v>
      </c>
      <c r="Z927" s="43">
        <f t="shared" si="198"/>
        <v>0</v>
      </c>
      <c r="AA927" s="43">
        <f t="shared" si="199"/>
        <v>230820</v>
      </c>
      <c r="AB927" s="43">
        <f t="shared" si="200"/>
        <v>76507</v>
      </c>
      <c r="AC927" s="43">
        <f t="shared" si="210"/>
        <v>2.4487274902360415E-2</v>
      </c>
      <c r="AD927" s="43">
        <f t="shared" si="211"/>
        <v>0.89458291538016477</v>
      </c>
      <c r="AF927" s="43">
        <v>17.221577623695413</v>
      </c>
      <c r="AG927" s="43">
        <v>1.2964938000000001E-2</v>
      </c>
      <c r="AH927" s="43">
        <v>9.1031189999999998E-3</v>
      </c>
      <c r="AI927" s="43">
        <v>0.94587993800000003</v>
      </c>
      <c r="AJ927" s="43">
        <v>6.3060163899999999</v>
      </c>
      <c r="AK927" s="43">
        <v>13.295772489999999</v>
      </c>
      <c r="AL927" s="43">
        <v>1.65397E-3</v>
      </c>
      <c r="AM927" s="230">
        <v>3.024819279452828E-2</v>
      </c>
      <c r="AN927" s="43">
        <v>0.95437961500000001</v>
      </c>
    </row>
    <row r="928" spans="1:40" x14ac:dyDescent="0.25">
      <c r="A928" s="134">
        <v>918</v>
      </c>
      <c r="B928" s="134" t="s">
        <v>220</v>
      </c>
      <c r="C928" s="134" t="s">
        <v>218</v>
      </c>
      <c r="D928" s="134" t="s">
        <v>219</v>
      </c>
      <c r="E928" s="134">
        <v>1274</v>
      </c>
      <c r="F928" s="134">
        <v>4436</v>
      </c>
      <c r="G928" s="134">
        <v>262</v>
      </c>
      <c r="H928" s="134">
        <v>1385</v>
      </c>
      <c r="I928" s="200">
        <v>0.41114844676700002</v>
      </c>
      <c r="J928" s="134">
        <v>5821</v>
      </c>
      <c r="K928" s="134">
        <v>14157.9034185</v>
      </c>
      <c r="L928" s="42">
        <v>0.865505720403</v>
      </c>
      <c r="M928" s="42">
        <v>0.52087250846199995</v>
      </c>
      <c r="N928" s="134">
        <v>0</v>
      </c>
      <c r="O928" s="43" t="s">
        <v>664</v>
      </c>
      <c r="P928" s="43">
        <f t="shared" si="201"/>
        <v>13.406865924160142</v>
      </c>
      <c r="Q928" s="43">
        <f t="shared" si="202"/>
        <v>3.0129336E-2</v>
      </c>
      <c r="R928" s="43">
        <f t="shared" si="203"/>
        <v>1.4187059E-2</v>
      </c>
      <c r="S928" s="43">
        <f t="shared" si="204"/>
        <v>0.86550572000000003</v>
      </c>
      <c r="T928" s="43">
        <f t="shared" si="205"/>
        <v>3.3482277599999999</v>
      </c>
      <c r="U928" s="43">
        <f t="shared" si="206"/>
        <v>9.4910764620000005</v>
      </c>
      <c r="V928" s="43">
        <f t="shared" si="207"/>
        <v>6.6264649999999998E-3</v>
      </c>
      <c r="W928" s="230">
        <f t="shared" si="208"/>
        <v>3.6913069991191809E-2</v>
      </c>
      <c r="X928" s="43">
        <f t="shared" si="209"/>
        <v>0.90795108099999999</v>
      </c>
      <c r="Y928" s="43">
        <v>61.070996860000001</v>
      </c>
      <c r="Z928" s="43">
        <f t="shared" si="198"/>
        <v>0</v>
      </c>
      <c r="AA928" s="43">
        <f t="shared" si="199"/>
        <v>48985</v>
      </c>
      <c r="AB928" s="43">
        <f t="shared" si="200"/>
        <v>14833</v>
      </c>
      <c r="AC928" s="43">
        <f t="shared" si="210"/>
        <v>2.2308424319999999E-2</v>
      </c>
      <c r="AD928" s="43">
        <f t="shared" si="211"/>
        <v>0.8897095029615385</v>
      </c>
      <c r="AF928" s="43">
        <v>13.406865924160142</v>
      </c>
      <c r="AG928" s="43">
        <v>3.0129336E-2</v>
      </c>
      <c r="AH928" s="43">
        <v>1.4187059E-2</v>
      </c>
      <c r="AI928" s="43">
        <v>0.86550572000000003</v>
      </c>
      <c r="AJ928" s="43">
        <v>3.3482277599999999</v>
      </c>
      <c r="AK928" s="43">
        <v>9.4910764620000005</v>
      </c>
      <c r="AL928" s="43">
        <v>6.6264649999999998E-3</v>
      </c>
      <c r="AM928" s="230">
        <v>3.6913069991191809E-2</v>
      </c>
      <c r="AN928" s="43">
        <v>0.90795108099999999</v>
      </c>
    </row>
    <row r="929" spans="1:40" x14ac:dyDescent="0.25">
      <c r="A929" s="134">
        <v>919</v>
      </c>
      <c r="B929" s="134" t="s">
        <v>220</v>
      </c>
      <c r="C929" s="134" t="s">
        <v>218</v>
      </c>
      <c r="D929" s="134" t="s">
        <v>219</v>
      </c>
      <c r="E929" s="134">
        <v>287</v>
      </c>
      <c r="F929" s="134">
        <v>999</v>
      </c>
      <c r="G929" s="134">
        <v>81</v>
      </c>
      <c r="H929" s="134">
        <v>674</v>
      </c>
      <c r="I929" s="200">
        <v>0.12598239041699999</v>
      </c>
      <c r="J929" s="134">
        <v>1673</v>
      </c>
      <c r="K929" s="134">
        <v>13279.6337207</v>
      </c>
      <c r="L929" s="42">
        <v>0.88418449910700003</v>
      </c>
      <c r="M929" s="42">
        <v>0.70135275754399995</v>
      </c>
      <c r="N929" s="134">
        <v>0</v>
      </c>
      <c r="O929" s="43" t="s">
        <v>666</v>
      </c>
      <c r="P929" s="43">
        <f t="shared" si="201"/>
        <v>12.95217750181201</v>
      </c>
      <c r="Q929" s="43">
        <f t="shared" si="202"/>
        <v>2.3076419000000001E-2</v>
      </c>
      <c r="R929" s="43">
        <f t="shared" si="203"/>
        <v>1.2949110999999999E-2</v>
      </c>
      <c r="S929" s="43">
        <f t="shared" si="204"/>
        <v>0.88418449899999996</v>
      </c>
      <c r="T929" s="43">
        <f t="shared" si="205"/>
        <v>3.080245428</v>
      </c>
      <c r="U929" s="43">
        <f t="shared" si="206"/>
        <v>8.7562139299999995</v>
      </c>
      <c r="V929" s="43">
        <f t="shared" si="207"/>
        <v>7.0574469999999997E-3</v>
      </c>
      <c r="W929" s="230">
        <f t="shared" si="208"/>
        <v>2.8071330188564256E-2</v>
      </c>
      <c r="X929" s="43">
        <f t="shared" si="209"/>
        <v>0.92586633500000004</v>
      </c>
      <c r="Y929" s="43">
        <v>59.287101980000003</v>
      </c>
      <c r="Z929" s="43">
        <f t="shared" si="198"/>
        <v>0</v>
      </c>
      <c r="AA929" s="43">
        <f t="shared" si="199"/>
        <v>48985</v>
      </c>
      <c r="AB929" s="43">
        <f t="shared" si="200"/>
        <v>14833</v>
      </c>
      <c r="AC929" s="43">
        <f t="shared" si="210"/>
        <v>2.2308424319999999E-2</v>
      </c>
      <c r="AD929" s="43">
        <f t="shared" si="211"/>
        <v>0.8897095029615385</v>
      </c>
      <c r="AF929" s="43">
        <v>12.95217750181201</v>
      </c>
      <c r="AG929" s="43">
        <v>2.3076419000000001E-2</v>
      </c>
      <c r="AH929" s="43">
        <v>1.2949110999999999E-2</v>
      </c>
      <c r="AI929" s="43">
        <v>0.88418449899999996</v>
      </c>
      <c r="AJ929" s="43">
        <v>3.080245428</v>
      </c>
      <c r="AK929" s="43">
        <v>8.7562139299999995</v>
      </c>
      <c r="AL929" s="43">
        <v>7.0574469999999997E-3</v>
      </c>
      <c r="AM929" s="230">
        <v>2.8071330188564256E-2</v>
      </c>
      <c r="AN929" s="43">
        <v>0.92586633500000004</v>
      </c>
    </row>
    <row r="930" spans="1:40" x14ac:dyDescent="0.25">
      <c r="A930" s="134">
        <v>920</v>
      </c>
      <c r="B930" s="134" t="s">
        <v>220</v>
      </c>
      <c r="C930" s="134" t="s">
        <v>218</v>
      </c>
      <c r="D930" s="134" t="s">
        <v>219</v>
      </c>
      <c r="E930" s="134">
        <v>299</v>
      </c>
      <c r="F930" s="134">
        <v>1041</v>
      </c>
      <c r="G930" s="134">
        <v>147</v>
      </c>
      <c r="H930" s="134">
        <v>127</v>
      </c>
      <c r="I930" s="200">
        <v>0.22965430062</v>
      </c>
      <c r="J930" s="134">
        <v>1168</v>
      </c>
      <c r="K930" s="134">
        <v>5085.9051924900004</v>
      </c>
      <c r="L930" s="42">
        <v>0.86960770978500002</v>
      </c>
      <c r="M930" s="42">
        <v>0.29812206572799999</v>
      </c>
      <c r="N930" s="134">
        <v>0</v>
      </c>
      <c r="O930" s="43" t="s">
        <v>666</v>
      </c>
      <c r="P930" s="43">
        <f t="shared" si="201"/>
        <v>12.793257956943934</v>
      </c>
      <c r="Q930" s="43">
        <f t="shared" si="202"/>
        <v>2.8962070999999999E-2</v>
      </c>
      <c r="R930" s="43">
        <f t="shared" si="203"/>
        <v>1.4216553E-2</v>
      </c>
      <c r="S930" s="43">
        <f t="shared" si="204"/>
        <v>0.86960771000000003</v>
      </c>
      <c r="T930" s="43">
        <f t="shared" si="205"/>
        <v>3.1021276599999998</v>
      </c>
      <c r="U930" s="43">
        <f t="shared" si="206"/>
        <v>9.0427740150000009</v>
      </c>
      <c r="V930" s="43">
        <f t="shared" si="207"/>
        <v>4.2471180000000002E-3</v>
      </c>
      <c r="W930" s="230">
        <f t="shared" si="208"/>
        <v>3.306684749634177E-2</v>
      </c>
      <c r="X930" s="43">
        <f t="shared" si="209"/>
        <v>0.91477211899999999</v>
      </c>
      <c r="Y930" s="43">
        <v>130.43559819999999</v>
      </c>
      <c r="Z930" s="43">
        <f t="shared" si="198"/>
        <v>0</v>
      </c>
      <c r="AA930" s="43">
        <f t="shared" si="199"/>
        <v>48985</v>
      </c>
      <c r="AB930" s="43">
        <f t="shared" si="200"/>
        <v>14833</v>
      </c>
      <c r="AC930" s="43">
        <f t="shared" si="210"/>
        <v>2.2308424319999999E-2</v>
      </c>
      <c r="AD930" s="43">
        <f t="shared" si="211"/>
        <v>0.8897095029615385</v>
      </c>
      <c r="AF930" s="43">
        <v>12.793257956943934</v>
      </c>
      <c r="AG930" s="43">
        <v>2.8962070999999999E-2</v>
      </c>
      <c r="AH930" s="43">
        <v>1.4216553E-2</v>
      </c>
      <c r="AI930" s="43">
        <v>0.86960771000000003</v>
      </c>
      <c r="AJ930" s="43">
        <v>3.1021276599999998</v>
      </c>
      <c r="AK930" s="43">
        <v>9.0427740150000009</v>
      </c>
      <c r="AL930" s="43">
        <v>4.2471180000000002E-3</v>
      </c>
      <c r="AM930" s="230">
        <v>3.306684749634177E-2</v>
      </c>
      <c r="AN930" s="43">
        <v>0.91477211899999999</v>
      </c>
    </row>
    <row r="931" spans="1:40" x14ac:dyDescent="0.25">
      <c r="A931" s="134">
        <v>921</v>
      </c>
      <c r="B931" s="134" t="s">
        <v>220</v>
      </c>
      <c r="C931" s="134" t="s">
        <v>218</v>
      </c>
      <c r="D931" s="134" t="s">
        <v>219</v>
      </c>
      <c r="E931" s="134">
        <v>328</v>
      </c>
      <c r="F931" s="134">
        <v>1179</v>
      </c>
      <c r="G931" s="134">
        <v>67</v>
      </c>
      <c r="H931" s="134">
        <v>209</v>
      </c>
      <c r="I931" s="200">
        <v>0.107032105159</v>
      </c>
      <c r="J931" s="134">
        <v>1388</v>
      </c>
      <c r="K931" s="134">
        <v>12968.071570100001</v>
      </c>
      <c r="L931" s="42">
        <v>0.86553469546100004</v>
      </c>
      <c r="M931" s="42">
        <v>0.38919925512100001</v>
      </c>
      <c r="N931" s="134">
        <v>0</v>
      </c>
      <c r="O931" s="43" t="s">
        <v>666</v>
      </c>
      <c r="P931" s="43">
        <f t="shared" si="201"/>
        <v>12.197472526132032</v>
      </c>
      <c r="Q931" s="43">
        <f t="shared" si="202"/>
        <v>2.9488276000000001E-2</v>
      </c>
      <c r="R931" s="43">
        <f t="shared" si="203"/>
        <v>1.5185051E-2</v>
      </c>
      <c r="S931" s="43">
        <f t="shared" si="204"/>
        <v>0.86553469500000002</v>
      </c>
      <c r="T931" s="43">
        <f t="shared" si="205"/>
        <v>3.1232440260000001</v>
      </c>
      <c r="U931" s="43">
        <f t="shared" si="206"/>
        <v>8.9111163120000008</v>
      </c>
      <c r="V931" s="43">
        <f t="shared" si="207"/>
        <v>6.4695869999999997E-3</v>
      </c>
      <c r="W931" s="230">
        <f t="shared" si="208"/>
        <v>3.3168240210493728E-2</v>
      </c>
      <c r="X931" s="43">
        <f t="shared" si="209"/>
        <v>0.91290821899999997</v>
      </c>
      <c r="Y931" s="43">
        <v>193.1866393</v>
      </c>
      <c r="Z931" s="43">
        <f t="shared" si="198"/>
        <v>0</v>
      </c>
      <c r="AA931" s="43">
        <f t="shared" si="199"/>
        <v>48985</v>
      </c>
      <c r="AB931" s="43">
        <f t="shared" si="200"/>
        <v>14833</v>
      </c>
      <c r="AC931" s="43">
        <f t="shared" si="210"/>
        <v>2.2308424319999999E-2</v>
      </c>
      <c r="AD931" s="43">
        <f t="shared" si="211"/>
        <v>0.8897095029615385</v>
      </c>
      <c r="AF931" s="43">
        <v>12.197472526132032</v>
      </c>
      <c r="AG931" s="43">
        <v>2.9488276000000001E-2</v>
      </c>
      <c r="AH931" s="43">
        <v>1.5185051E-2</v>
      </c>
      <c r="AI931" s="43">
        <v>0.86553469500000002</v>
      </c>
      <c r="AJ931" s="43">
        <v>3.1232440260000001</v>
      </c>
      <c r="AK931" s="43">
        <v>8.9111163120000008</v>
      </c>
      <c r="AL931" s="43">
        <v>6.4695869999999997E-3</v>
      </c>
      <c r="AM931" s="230">
        <v>3.3168240210493728E-2</v>
      </c>
      <c r="AN931" s="43">
        <v>0.91290821899999997</v>
      </c>
    </row>
    <row r="932" spans="1:40" x14ac:dyDescent="0.25">
      <c r="A932" s="134">
        <v>922</v>
      </c>
      <c r="B932" s="134" t="s">
        <v>220</v>
      </c>
      <c r="C932" s="134" t="s">
        <v>218</v>
      </c>
      <c r="D932" s="134" t="s">
        <v>219</v>
      </c>
      <c r="E932" s="134">
        <v>1093</v>
      </c>
      <c r="F932" s="134">
        <v>3935</v>
      </c>
      <c r="G932" s="134">
        <v>175</v>
      </c>
      <c r="H932" s="134">
        <v>305</v>
      </c>
      <c r="I932" s="200">
        <v>0.27821019691600002</v>
      </c>
      <c r="J932" s="134">
        <v>4240</v>
      </c>
      <c r="K932" s="134">
        <v>15240.2753278</v>
      </c>
      <c r="L932" s="42">
        <v>0.85603151070399996</v>
      </c>
      <c r="M932" s="42">
        <v>0.21816881258900001</v>
      </c>
      <c r="N932" s="134">
        <v>0</v>
      </c>
      <c r="O932" s="43" t="s">
        <v>664</v>
      </c>
      <c r="P932" s="43">
        <f t="shared" si="201"/>
        <v>13.188858302395268</v>
      </c>
      <c r="Q932" s="43">
        <f t="shared" si="202"/>
        <v>3.3314415999999999E-2</v>
      </c>
      <c r="R932" s="43">
        <f t="shared" si="203"/>
        <v>1.5998780000000001E-2</v>
      </c>
      <c r="S932" s="43">
        <f t="shared" si="204"/>
        <v>0.85603151099999997</v>
      </c>
      <c r="T932" s="43">
        <f t="shared" si="205"/>
        <v>3.384287482</v>
      </c>
      <c r="U932" s="43">
        <f t="shared" si="206"/>
        <v>9.2292948720000005</v>
      </c>
      <c r="V932" s="43">
        <f t="shared" si="207"/>
        <v>5.6896519999999999E-3</v>
      </c>
      <c r="W932" s="230">
        <f t="shared" si="208"/>
        <v>4.8239872942736968E-2</v>
      </c>
      <c r="X932" s="43">
        <f t="shared" si="209"/>
        <v>0.90902955900000004</v>
      </c>
      <c r="Y932" s="43">
        <v>101.91958030000001</v>
      </c>
      <c r="Z932" s="43">
        <f t="shared" si="198"/>
        <v>0</v>
      </c>
      <c r="AA932" s="43">
        <f t="shared" si="199"/>
        <v>48985</v>
      </c>
      <c r="AB932" s="43">
        <f t="shared" si="200"/>
        <v>14833</v>
      </c>
      <c r="AC932" s="43">
        <f t="shared" si="210"/>
        <v>2.2308424319999999E-2</v>
      </c>
      <c r="AD932" s="43">
        <f t="shared" si="211"/>
        <v>0.8897095029615385</v>
      </c>
      <c r="AF932" s="43">
        <v>13.188858302395268</v>
      </c>
      <c r="AG932" s="43">
        <v>3.3314415999999999E-2</v>
      </c>
      <c r="AH932" s="43">
        <v>1.5998780000000001E-2</v>
      </c>
      <c r="AI932" s="43">
        <v>0.85603151099999997</v>
      </c>
      <c r="AJ932" s="43">
        <v>3.384287482</v>
      </c>
      <c r="AK932" s="43">
        <v>9.2292948720000005</v>
      </c>
      <c r="AL932" s="43">
        <v>5.6896519999999999E-3</v>
      </c>
      <c r="AM932" s="230">
        <v>4.8239872942736968E-2</v>
      </c>
      <c r="AN932" s="43">
        <v>0.90902955900000004</v>
      </c>
    </row>
    <row r="933" spans="1:40" x14ac:dyDescent="0.25">
      <c r="A933" s="134">
        <v>923</v>
      </c>
      <c r="B933" s="134" t="s">
        <v>220</v>
      </c>
      <c r="C933" s="134" t="s">
        <v>218</v>
      </c>
      <c r="D933" s="134" t="s">
        <v>219</v>
      </c>
      <c r="E933" s="134">
        <v>639</v>
      </c>
      <c r="F933" s="134">
        <v>1932</v>
      </c>
      <c r="G933" s="134">
        <v>182</v>
      </c>
      <c r="H933" s="134">
        <v>324</v>
      </c>
      <c r="I933" s="200">
        <v>0.29106579863799997</v>
      </c>
      <c r="J933" s="134">
        <v>2256</v>
      </c>
      <c r="K933" s="134">
        <v>7750.8247638599996</v>
      </c>
      <c r="L933" s="42">
        <v>0.88088976809200004</v>
      </c>
      <c r="M933" s="42">
        <v>0.33644859813099998</v>
      </c>
      <c r="N933" s="134">
        <v>0</v>
      </c>
      <c r="O933" s="43" t="s">
        <v>666</v>
      </c>
      <c r="P933" s="43">
        <f t="shared" si="201"/>
        <v>12.7858020855024</v>
      </c>
      <c r="Q933" s="43">
        <f t="shared" si="202"/>
        <v>2.4805483999999999E-2</v>
      </c>
      <c r="R933" s="43">
        <f t="shared" si="203"/>
        <v>1.3014145E-2</v>
      </c>
      <c r="S933" s="43">
        <f t="shared" si="204"/>
        <v>0.88088976799999996</v>
      </c>
      <c r="T933" s="43">
        <f t="shared" si="205"/>
        <v>3.4142054719999999</v>
      </c>
      <c r="U933" s="43">
        <f t="shared" si="206"/>
        <v>8.8919766990000007</v>
      </c>
      <c r="V933" s="43">
        <f t="shared" si="207"/>
        <v>4.3998939999999997E-3</v>
      </c>
      <c r="W933" s="230">
        <f t="shared" si="208"/>
        <v>3.1817909451211684E-2</v>
      </c>
      <c r="X933" s="43">
        <f t="shared" si="209"/>
        <v>0.92955033799999998</v>
      </c>
      <c r="Y933" s="43">
        <v>95.34714391</v>
      </c>
      <c r="Z933" s="43">
        <f t="shared" si="198"/>
        <v>0</v>
      </c>
      <c r="AA933" s="43">
        <f t="shared" si="199"/>
        <v>48985</v>
      </c>
      <c r="AB933" s="43">
        <f t="shared" si="200"/>
        <v>14833</v>
      </c>
      <c r="AC933" s="43">
        <f t="shared" si="210"/>
        <v>2.2308424319999999E-2</v>
      </c>
      <c r="AD933" s="43">
        <f t="shared" si="211"/>
        <v>0.8897095029615385</v>
      </c>
      <c r="AF933" s="43">
        <v>12.7858020855024</v>
      </c>
      <c r="AG933" s="43">
        <v>2.4805483999999999E-2</v>
      </c>
      <c r="AH933" s="43">
        <v>1.3014145E-2</v>
      </c>
      <c r="AI933" s="43">
        <v>0.88088976799999996</v>
      </c>
      <c r="AJ933" s="43">
        <v>3.4142054719999999</v>
      </c>
      <c r="AK933" s="43">
        <v>8.8919766990000007</v>
      </c>
      <c r="AL933" s="43">
        <v>4.3998939999999997E-3</v>
      </c>
      <c r="AM933" s="230">
        <v>3.1817909451211684E-2</v>
      </c>
      <c r="AN933" s="43">
        <v>0.92955033799999998</v>
      </c>
    </row>
    <row r="934" spans="1:40" x14ac:dyDescent="0.25">
      <c r="A934" s="134">
        <v>924</v>
      </c>
      <c r="B934" s="134" t="s">
        <v>220</v>
      </c>
      <c r="C934" s="134" t="s">
        <v>218</v>
      </c>
      <c r="D934" s="134" t="s">
        <v>219</v>
      </c>
      <c r="E934" s="134">
        <v>1427</v>
      </c>
      <c r="F934" s="134">
        <v>4314</v>
      </c>
      <c r="G934" s="134">
        <v>406</v>
      </c>
      <c r="H934" s="134">
        <v>240</v>
      </c>
      <c r="I934" s="200">
        <v>0.65091509248199997</v>
      </c>
      <c r="J934" s="134">
        <v>4554</v>
      </c>
      <c r="K934" s="134">
        <v>6996.3042071</v>
      </c>
      <c r="L934" s="42">
        <v>0.89546481359200003</v>
      </c>
      <c r="M934" s="42">
        <v>0.14397120575899999</v>
      </c>
      <c r="N934" s="134">
        <v>0</v>
      </c>
      <c r="O934" s="43" t="s">
        <v>666</v>
      </c>
      <c r="P934" s="43">
        <f t="shared" si="201"/>
        <v>13.666144173464572</v>
      </c>
      <c r="Q934" s="43">
        <f t="shared" si="202"/>
        <v>3.0199423999999999E-2</v>
      </c>
      <c r="R934" s="43">
        <f t="shared" si="203"/>
        <v>1.3756529E-2</v>
      </c>
      <c r="S934" s="43">
        <f t="shared" si="204"/>
        <v>0.895464814</v>
      </c>
      <c r="T934" s="43">
        <f t="shared" si="205"/>
        <v>4.2101923660000002</v>
      </c>
      <c r="U934" s="43">
        <f t="shared" si="206"/>
        <v>10.69672765</v>
      </c>
      <c r="V934" s="43">
        <f t="shared" si="207"/>
        <v>2.6203609999999999E-3</v>
      </c>
      <c r="W934" s="230">
        <f t="shared" si="208"/>
        <v>3.7281473659509567E-2</v>
      </c>
      <c r="X934" s="43">
        <f t="shared" si="209"/>
        <v>0.94156009200000002</v>
      </c>
      <c r="Y934" s="43">
        <v>101.7583593</v>
      </c>
      <c r="Z934" s="43">
        <f t="shared" si="198"/>
        <v>0</v>
      </c>
      <c r="AA934" s="43">
        <f t="shared" si="199"/>
        <v>48985</v>
      </c>
      <c r="AB934" s="43">
        <f t="shared" si="200"/>
        <v>14833</v>
      </c>
      <c r="AC934" s="43">
        <f t="shared" si="210"/>
        <v>2.2308424319999999E-2</v>
      </c>
      <c r="AD934" s="43">
        <f t="shared" si="211"/>
        <v>0.8897095029615385</v>
      </c>
      <c r="AF934" s="43">
        <v>13.666144173464572</v>
      </c>
      <c r="AG934" s="43">
        <v>3.0199423999999999E-2</v>
      </c>
      <c r="AH934" s="43">
        <v>1.3756529E-2</v>
      </c>
      <c r="AI934" s="43">
        <v>0.895464814</v>
      </c>
      <c r="AJ934" s="43">
        <v>4.2101923660000002</v>
      </c>
      <c r="AK934" s="43">
        <v>10.69672765</v>
      </c>
      <c r="AL934" s="43">
        <v>2.6203609999999999E-3</v>
      </c>
      <c r="AM934" s="230">
        <v>3.7281473659509567E-2</v>
      </c>
      <c r="AN934" s="43">
        <v>0.94156009200000002</v>
      </c>
    </row>
    <row r="935" spans="1:40" x14ac:dyDescent="0.25">
      <c r="A935" s="134">
        <v>925</v>
      </c>
      <c r="B935" s="134" t="s">
        <v>220</v>
      </c>
      <c r="C935" s="134" t="s">
        <v>218</v>
      </c>
      <c r="D935" s="134" t="s">
        <v>219</v>
      </c>
      <c r="E935" s="134">
        <v>443</v>
      </c>
      <c r="F935" s="134">
        <v>1340</v>
      </c>
      <c r="G935" s="134">
        <v>152</v>
      </c>
      <c r="H935" s="134">
        <v>1114</v>
      </c>
      <c r="I935" s="200">
        <v>0.24311474169700001</v>
      </c>
      <c r="J935" s="134">
        <v>2454</v>
      </c>
      <c r="K935" s="134">
        <v>10093.9991663</v>
      </c>
      <c r="L935" s="42">
        <v>0.88588561209100003</v>
      </c>
      <c r="M935" s="42">
        <v>0.71547848426500005</v>
      </c>
      <c r="N935" s="134">
        <v>0</v>
      </c>
      <c r="O935" s="43" t="s">
        <v>666</v>
      </c>
      <c r="P935" s="43">
        <f t="shared" si="201"/>
        <v>12.684744750437316</v>
      </c>
      <c r="Q935" s="43">
        <f t="shared" si="202"/>
        <v>2.1078655000000002E-2</v>
      </c>
      <c r="R935" s="43">
        <f t="shared" si="203"/>
        <v>1.1033769000000001E-2</v>
      </c>
      <c r="S935" s="43">
        <f t="shared" si="204"/>
        <v>0.88588561200000004</v>
      </c>
      <c r="T935" s="43">
        <f t="shared" si="205"/>
        <v>3.3875366690000002</v>
      </c>
      <c r="U935" s="43">
        <f t="shared" si="206"/>
        <v>8.1795714279999991</v>
      </c>
      <c r="V935" s="43">
        <f t="shared" si="207"/>
        <v>5.532721E-3</v>
      </c>
      <c r="W935" s="230">
        <f t="shared" si="208"/>
        <v>3.0390669820736699E-2</v>
      </c>
      <c r="X935" s="43">
        <f t="shared" si="209"/>
        <v>0.92955211699999996</v>
      </c>
      <c r="Y935" s="43">
        <v>70.677575950000005</v>
      </c>
      <c r="Z935" s="43">
        <f t="shared" si="198"/>
        <v>0</v>
      </c>
      <c r="AA935" s="43">
        <f t="shared" si="199"/>
        <v>48985</v>
      </c>
      <c r="AB935" s="43">
        <f t="shared" si="200"/>
        <v>14833</v>
      </c>
      <c r="AC935" s="43">
        <f t="shared" si="210"/>
        <v>2.2308424319999999E-2</v>
      </c>
      <c r="AD935" s="43">
        <f t="shared" si="211"/>
        <v>0.8897095029615385</v>
      </c>
      <c r="AF935" s="43">
        <v>12.684744750437316</v>
      </c>
      <c r="AG935" s="43">
        <v>2.1078655000000002E-2</v>
      </c>
      <c r="AH935" s="43">
        <v>1.1033769000000001E-2</v>
      </c>
      <c r="AI935" s="43">
        <v>0.88588561200000004</v>
      </c>
      <c r="AJ935" s="43">
        <v>3.3875366690000002</v>
      </c>
      <c r="AK935" s="43">
        <v>8.1795714279999991</v>
      </c>
      <c r="AL935" s="43">
        <v>5.532721E-3</v>
      </c>
      <c r="AM935" s="230">
        <v>3.0390669820736699E-2</v>
      </c>
      <c r="AN935" s="43">
        <v>0.92955211699999996</v>
      </c>
    </row>
    <row r="936" spans="1:40" x14ac:dyDescent="0.25">
      <c r="A936" s="134">
        <v>926</v>
      </c>
      <c r="B936" s="134" t="s">
        <v>220</v>
      </c>
      <c r="C936" s="134" t="s">
        <v>218</v>
      </c>
      <c r="D936" s="134" t="s">
        <v>219</v>
      </c>
      <c r="E936" s="134">
        <v>1258</v>
      </c>
      <c r="F936" s="134">
        <v>4272</v>
      </c>
      <c r="G936" s="134">
        <v>320</v>
      </c>
      <c r="H936" s="134">
        <v>271</v>
      </c>
      <c r="I936" s="200">
        <v>0.50514687263500002</v>
      </c>
      <c r="J936" s="134">
        <v>4543</v>
      </c>
      <c r="K936" s="134">
        <v>8993.4239844099993</v>
      </c>
      <c r="L936" s="42">
        <v>0.86676158386400004</v>
      </c>
      <c r="M936" s="42">
        <v>0.17724002616100001</v>
      </c>
      <c r="N936" s="134">
        <v>0</v>
      </c>
      <c r="O936" s="43" t="s">
        <v>666</v>
      </c>
      <c r="P936" s="43">
        <f t="shared" si="201"/>
        <v>13.250307207885372</v>
      </c>
      <c r="Q936" s="43">
        <f t="shared" si="202"/>
        <v>3.0813549999999999E-2</v>
      </c>
      <c r="R936" s="43">
        <f t="shared" si="203"/>
        <v>1.4618783E-2</v>
      </c>
      <c r="S936" s="43">
        <f t="shared" si="204"/>
        <v>0.86676158400000003</v>
      </c>
      <c r="T936" s="43">
        <f t="shared" si="205"/>
        <v>3.6734292339999999</v>
      </c>
      <c r="U936" s="43">
        <f t="shared" si="206"/>
        <v>9.2340396049999995</v>
      </c>
      <c r="V936" s="43">
        <f t="shared" si="207"/>
        <v>3.2955089999999999E-3</v>
      </c>
      <c r="W936" s="230">
        <f t="shared" si="208"/>
        <v>4.0186761665323867E-2</v>
      </c>
      <c r="X936" s="43">
        <f t="shared" si="209"/>
        <v>0.92093691499999997</v>
      </c>
      <c r="Y936" s="43">
        <v>100.5094337</v>
      </c>
      <c r="Z936" s="43">
        <f t="shared" si="198"/>
        <v>0</v>
      </c>
      <c r="AA936" s="43">
        <f t="shared" si="199"/>
        <v>48985</v>
      </c>
      <c r="AB936" s="43">
        <f t="shared" si="200"/>
        <v>14833</v>
      </c>
      <c r="AC936" s="43">
        <f t="shared" si="210"/>
        <v>2.2308424319999999E-2</v>
      </c>
      <c r="AD936" s="43">
        <f t="shared" si="211"/>
        <v>0.8897095029615385</v>
      </c>
      <c r="AF936" s="43">
        <v>13.250307207885372</v>
      </c>
      <c r="AG936" s="43">
        <v>3.0813549999999999E-2</v>
      </c>
      <c r="AH936" s="43">
        <v>1.4618783E-2</v>
      </c>
      <c r="AI936" s="43">
        <v>0.86676158400000003</v>
      </c>
      <c r="AJ936" s="43">
        <v>3.6734292339999999</v>
      </c>
      <c r="AK936" s="43">
        <v>9.2340396049999995</v>
      </c>
      <c r="AL936" s="43">
        <v>3.2955089999999999E-3</v>
      </c>
      <c r="AM936" s="230">
        <v>4.0186761665323867E-2</v>
      </c>
      <c r="AN936" s="43">
        <v>0.92093691499999997</v>
      </c>
    </row>
    <row r="937" spans="1:40" x14ac:dyDescent="0.25">
      <c r="A937" s="134">
        <v>927</v>
      </c>
      <c r="B937" s="134" t="s">
        <v>220</v>
      </c>
      <c r="C937" s="134" t="s">
        <v>218</v>
      </c>
      <c r="D937" s="134" t="s">
        <v>219</v>
      </c>
      <c r="E937" s="134">
        <v>604</v>
      </c>
      <c r="F937" s="134">
        <v>2050</v>
      </c>
      <c r="G937" s="134">
        <v>194</v>
      </c>
      <c r="H937" s="134">
        <v>1583</v>
      </c>
      <c r="I937" s="200">
        <v>0.305169918368</v>
      </c>
      <c r="J937" s="134">
        <v>3633</v>
      </c>
      <c r="K937" s="134">
        <v>11904.8431098</v>
      </c>
      <c r="L937" s="42">
        <v>0.87545332922800001</v>
      </c>
      <c r="M937" s="42">
        <v>0.72382258801999999</v>
      </c>
      <c r="N937" s="134">
        <v>0</v>
      </c>
      <c r="O937" s="43" t="s">
        <v>664</v>
      </c>
      <c r="P937" s="43">
        <f t="shared" si="201"/>
        <v>13.353209113118886</v>
      </c>
      <c r="Q937" s="43">
        <f t="shared" si="202"/>
        <v>2.0985976E-2</v>
      </c>
      <c r="R937" s="43">
        <f t="shared" si="203"/>
        <v>1.1577436E-2</v>
      </c>
      <c r="S937" s="43">
        <f t="shared" si="204"/>
        <v>0.87545332899999995</v>
      </c>
      <c r="T937" s="43">
        <f t="shared" si="205"/>
        <v>3.6143748530000002</v>
      </c>
      <c r="U937" s="43">
        <f t="shared" si="206"/>
        <v>8.6796371539999999</v>
      </c>
      <c r="V937" s="43">
        <f t="shared" si="207"/>
        <v>5.5384780000000003E-3</v>
      </c>
      <c r="W937" s="230">
        <f t="shared" si="208"/>
        <v>2.7478549089839887E-2</v>
      </c>
      <c r="X937" s="43">
        <f t="shared" si="209"/>
        <v>0.91921092699999996</v>
      </c>
      <c r="Y937" s="43">
        <v>59.864433269999999</v>
      </c>
      <c r="Z937" s="43">
        <f t="shared" si="198"/>
        <v>0</v>
      </c>
      <c r="AA937" s="43">
        <f t="shared" si="199"/>
        <v>48985</v>
      </c>
      <c r="AB937" s="43">
        <f t="shared" si="200"/>
        <v>14833</v>
      </c>
      <c r="AC937" s="43">
        <f t="shared" si="210"/>
        <v>2.2308424319999999E-2</v>
      </c>
      <c r="AD937" s="43">
        <f t="shared" si="211"/>
        <v>0.8897095029615385</v>
      </c>
      <c r="AF937" s="43">
        <v>13.353209113118886</v>
      </c>
      <c r="AG937" s="43">
        <v>2.0985976E-2</v>
      </c>
      <c r="AH937" s="43">
        <v>1.1577436E-2</v>
      </c>
      <c r="AI937" s="43">
        <v>0.87545332899999995</v>
      </c>
      <c r="AJ937" s="43">
        <v>3.6143748530000002</v>
      </c>
      <c r="AK937" s="43">
        <v>8.6796371539999999</v>
      </c>
      <c r="AL937" s="43">
        <v>5.5384780000000003E-3</v>
      </c>
      <c r="AM937" s="230">
        <v>2.7478549089839887E-2</v>
      </c>
      <c r="AN937" s="43">
        <v>0.91921092699999996</v>
      </c>
    </row>
    <row r="938" spans="1:40" x14ac:dyDescent="0.25">
      <c r="A938" s="134">
        <v>928</v>
      </c>
      <c r="B938" s="134" t="s">
        <v>220</v>
      </c>
      <c r="C938" s="134" t="s">
        <v>218</v>
      </c>
      <c r="D938" s="134" t="s">
        <v>219</v>
      </c>
      <c r="E938" s="134">
        <v>0</v>
      </c>
      <c r="F938" s="134">
        <v>0</v>
      </c>
      <c r="G938" s="134">
        <v>2766</v>
      </c>
      <c r="H938" s="134">
        <v>563</v>
      </c>
      <c r="I938" s="200">
        <v>4.4664581497100002</v>
      </c>
      <c r="J938" s="134">
        <v>563</v>
      </c>
      <c r="K938" s="134">
        <v>126.05066053</v>
      </c>
      <c r="L938" s="42">
        <v>0.95711524131500003</v>
      </c>
      <c r="M938" s="42">
        <v>1</v>
      </c>
      <c r="N938" s="134">
        <v>0</v>
      </c>
      <c r="O938" s="43" t="s">
        <v>665</v>
      </c>
      <c r="P938" s="43">
        <f t="shared" si="201"/>
        <v>16.270527611047534</v>
      </c>
      <c r="Q938" s="43">
        <f t="shared" si="202"/>
        <v>1.2559802E-2</v>
      </c>
      <c r="R938" s="43">
        <f t="shared" si="203"/>
        <v>8.0510170000000006E-3</v>
      </c>
      <c r="S938" s="43">
        <f t="shared" si="204"/>
        <v>0.95711524100000001</v>
      </c>
      <c r="T938" s="43">
        <f t="shared" si="205"/>
        <v>4.5508842180000002</v>
      </c>
      <c r="U938" s="43">
        <f t="shared" si="206"/>
        <v>10.623123079999999</v>
      </c>
      <c r="V938" s="43">
        <f t="shared" si="207"/>
        <v>5.579222E-3</v>
      </c>
      <c r="W938" s="230">
        <f t="shared" si="208"/>
        <v>4.9470935825202686E-4</v>
      </c>
      <c r="X938" s="43">
        <f t="shared" si="209"/>
        <v>0.97152672799999995</v>
      </c>
      <c r="Y938" s="43">
        <v>4.3877854059999999</v>
      </c>
      <c r="Z938" s="43">
        <f t="shared" si="198"/>
        <v>0</v>
      </c>
      <c r="AA938" s="43">
        <f t="shared" si="199"/>
        <v>48985</v>
      </c>
      <c r="AB938" s="43">
        <f t="shared" si="200"/>
        <v>14833</v>
      </c>
      <c r="AC938" s="43">
        <f t="shared" si="210"/>
        <v>2.2308424319999999E-2</v>
      </c>
      <c r="AD938" s="43">
        <f t="shared" si="211"/>
        <v>0.8897095029615385</v>
      </c>
      <c r="AF938" s="43">
        <v>16.270527611047534</v>
      </c>
      <c r="AG938" s="43">
        <v>1.2559802E-2</v>
      </c>
      <c r="AH938" s="43">
        <v>8.0510170000000006E-3</v>
      </c>
      <c r="AI938" s="43">
        <v>0.95711524100000001</v>
      </c>
      <c r="AJ938" s="43">
        <v>4.5508842180000002</v>
      </c>
      <c r="AK938" s="43">
        <v>10.623123079999999</v>
      </c>
      <c r="AL938" s="43">
        <v>5.579222E-3</v>
      </c>
      <c r="AM938" s="230">
        <v>4.9470935825202686E-4</v>
      </c>
      <c r="AN938" s="43">
        <v>0.97152672799999995</v>
      </c>
    </row>
    <row r="939" spans="1:40" x14ac:dyDescent="0.25">
      <c r="A939" s="134">
        <v>929</v>
      </c>
      <c r="B939" s="134" t="s">
        <v>220</v>
      </c>
      <c r="C939" s="134" t="s">
        <v>218</v>
      </c>
      <c r="D939" s="134" t="s">
        <v>219</v>
      </c>
      <c r="E939" s="134">
        <v>465</v>
      </c>
      <c r="F939" s="134">
        <v>1648</v>
      </c>
      <c r="G939" s="134">
        <v>560</v>
      </c>
      <c r="H939" s="134">
        <v>39</v>
      </c>
      <c r="I939" s="200">
        <v>0.68340400270799995</v>
      </c>
      <c r="J939" s="134">
        <v>1687</v>
      </c>
      <c r="K939" s="134">
        <v>2468.52519639</v>
      </c>
      <c r="L939" s="42">
        <v>0.91664773444400005</v>
      </c>
      <c r="M939" s="42">
        <v>7.7380952380999998E-2</v>
      </c>
      <c r="N939" s="134">
        <v>0</v>
      </c>
      <c r="O939" s="43" t="s">
        <v>665</v>
      </c>
      <c r="P939" s="43">
        <f t="shared" si="201"/>
        <v>14.495889732140984</v>
      </c>
      <c r="Q939" s="43">
        <f t="shared" si="202"/>
        <v>5.1748080000000004E-3</v>
      </c>
      <c r="R939" s="43">
        <f t="shared" si="203"/>
        <v>1.3865598999999999E-2</v>
      </c>
      <c r="S939" s="43">
        <f t="shared" si="204"/>
        <v>0.91664773399999999</v>
      </c>
      <c r="T939" s="43">
        <f t="shared" si="205"/>
        <v>4.4397973759999996</v>
      </c>
      <c r="U939" s="43">
        <f t="shared" si="206"/>
        <v>11.236794980000001</v>
      </c>
      <c r="V939" s="43">
        <f t="shared" si="207"/>
        <v>8.8500600000000003E-4</v>
      </c>
      <c r="W939" s="230">
        <f t="shared" si="208"/>
        <v>1.8770697727532263E-2</v>
      </c>
      <c r="X939" s="43">
        <f t="shared" si="209"/>
        <v>0.95934680800000005</v>
      </c>
      <c r="Y939" s="43">
        <v>43.220790319999999</v>
      </c>
      <c r="Z939" s="43">
        <f t="shared" si="198"/>
        <v>0</v>
      </c>
      <c r="AA939" s="43">
        <f t="shared" si="199"/>
        <v>48985</v>
      </c>
      <c r="AB939" s="43">
        <f t="shared" si="200"/>
        <v>14833</v>
      </c>
      <c r="AC939" s="43">
        <f t="shared" si="210"/>
        <v>2.2308424319999999E-2</v>
      </c>
      <c r="AD939" s="43">
        <f t="shared" si="211"/>
        <v>0.8897095029615385</v>
      </c>
      <c r="AF939" s="43">
        <v>14.495889732140984</v>
      </c>
      <c r="AG939" s="43">
        <v>5.1748080000000004E-3</v>
      </c>
      <c r="AH939" s="43">
        <v>1.3865598999999999E-2</v>
      </c>
      <c r="AI939" s="43">
        <v>0.91664773399999999</v>
      </c>
      <c r="AJ939" s="43">
        <v>4.4397973759999996</v>
      </c>
      <c r="AK939" s="43">
        <v>11.236794980000001</v>
      </c>
      <c r="AL939" s="43">
        <v>8.8500600000000003E-4</v>
      </c>
      <c r="AM939" s="230">
        <v>1.8770697727532263E-2</v>
      </c>
      <c r="AN939" s="43">
        <v>0.95934680800000005</v>
      </c>
    </row>
    <row r="940" spans="1:40" x14ac:dyDescent="0.25">
      <c r="A940" s="134">
        <v>930</v>
      </c>
      <c r="B940" s="134" t="s">
        <v>220</v>
      </c>
      <c r="C940" s="134" t="s">
        <v>218</v>
      </c>
      <c r="D940" s="134" t="s">
        <v>219</v>
      </c>
      <c r="E940" s="134">
        <v>0</v>
      </c>
      <c r="F940" s="134">
        <v>0</v>
      </c>
      <c r="G940" s="134">
        <v>193</v>
      </c>
      <c r="H940" s="134">
        <v>2414</v>
      </c>
      <c r="I940" s="200">
        <v>0.31181131433199999</v>
      </c>
      <c r="J940" s="134">
        <v>2414</v>
      </c>
      <c r="K940" s="134">
        <v>7741.8614689200003</v>
      </c>
      <c r="L940" s="42">
        <v>0.92528923758100001</v>
      </c>
      <c r="M940" s="42">
        <v>1</v>
      </c>
      <c r="N940" s="134">
        <v>0</v>
      </c>
      <c r="O940" s="43" t="s">
        <v>666</v>
      </c>
      <c r="P940" s="43">
        <f t="shared" si="201"/>
        <v>14.597249393997608</v>
      </c>
      <c r="Q940" s="43">
        <f t="shared" si="202"/>
        <v>1.3881996000000001E-2</v>
      </c>
      <c r="R940" s="43">
        <f t="shared" si="203"/>
        <v>6.9797160000000004E-3</v>
      </c>
      <c r="S940" s="43">
        <f t="shared" si="204"/>
        <v>0.92528923799999996</v>
      </c>
      <c r="T940" s="43">
        <f t="shared" si="205"/>
        <v>4.0632271119999999</v>
      </c>
      <c r="U940" s="43">
        <f t="shared" si="206"/>
        <v>9.5217370569999993</v>
      </c>
      <c r="V940" s="43">
        <f t="shared" si="207"/>
        <v>5.4416539999999998E-3</v>
      </c>
      <c r="W940" s="230">
        <f t="shared" si="208"/>
        <v>1.0523199052511966E-2</v>
      </c>
      <c r="X940" s="43">
        <f t="shared" si="209"/>
        <v>0.96137225699999995</v>
      </c>
      <c r="Y940" s="43">
        <v>33.576244209999999</v>
      </c>
      <c r="Z940" s="43">
        <f t="shared" si="198"/>
        <v>0</v>
      </c>
      <c r="AA940" s="43">
        <f t="shared" si="199"/>
        <v>48985</v>
      </c>
      <c r="AB940" s="43">
        <f t="shared" si="200"/>
        <v>14833</v>
      </c>
      <c r="AC940" s="43">
        <f t="shared" si="210"/>
        <v>2.2308424319999999E-2</v>
      </c>
      <c r="AD940" s="43">
        <f t="shared" si="211"/>
        <v>0.8897095029615385</v>
      </c>
      <c r="AF940" s="43">
        <v>14.597249393997608</v>
      </c>
      <c r="AG940" s="43">
        <v>1.3881996000000001E-2</v>
      </c>
      <c r="AH940" s="43">
        <v>6.9797160000000004E-3</v>
      </c>
      <c r="AI940" s="43">
        <v>0.92528923799999996</v>
      </c>
      <c r="AJ940" s="43">
        <v>4.0632271119999999</v>
      </c>
      <c r="AK940" s="43">
        <v>9.5217370569999993</v>
      </c>
      <c r="AL940" s="43">
        <v>5.4416539999999998E-3</v>
      </c>
      <c r="AM940" s="230">
        <v>1.0523199052511966E-2</v>
      </c>
      <c r="AN940" s="43">
        <v>0.96137225699999995</v>
      </c>
    </row>
    <row r="941" spans="1:40" x14ac:dyDescent="0.25">
      <c r="A941" s="134">
        <v>931</v>
      </c>
      <c r="B941" s="134" t="s">
        <v>220</v>
      </c>
      <c r="C941" s="134" t="s">
        <v>218</v>
      </c>
      <c r="D941" s="134" t="s">
        <v>219</v>
      </c>
      <c r="E941" s="134">
        <v>455</v>
      </c>
      <c r="F941" s="134">
        <v>1612</v>
      </c>
      <c r="G941" s="134">
        <v>385</v>
      </c>
      <c r="H941" s="134">
        <v>952</v>
      </c>
      <c r="I941" s="200">
        <v>0.55293881905999998</v>
      </c>
      <c r="J941" s="134">
        <v>2564</v>
      </c>
      <c r="K941" s="134">
        <v>4637.0410461700003</v>
      </c>
      <c r="L941" s="42">
        <v>0.88282515161399999</v>
      </c>
      <c r="M941" s="42">
        <v>0.67661691542299995</v>
      </c>
      <c r="N941" s="134">
        <v>0</v>
      </c>
      <c r="O941" s="43" t="s">
        <v>666</v>
      </c>
      <c r="P941" s="43">
        <f t="shared" si="201"/>
        <v>15.155224265891647</v>
      </c>
      <c r="Q941" s="43">
        <f t="shared" si="202"/>
        <v>1.6300076E-2</v>
      </c>
      <c r="R941" s="43">
        <f t="shared" si="203"/>
        <v>1.1951804999999999E-2</v>
      </c>
      <c r="S941" s="43">
        <f t="shared" si="204"/>
        <v>0.882825152</v>
      </c>
      <c r="T941" s="43">
        <f t="shared" si="205"/>
        <v>3.5442150959999998</v>
      </c>
      <c r="U941" s="43">
        <f t="shared" si="206"/>
        <v>9.3484398790000007</v>
      </c>
      <c r="V941" s="43">
        <f t="shared" si="207"/>
        <v>4.5637749999999999E-3</v>
      </c>
      <c r="W941" s="230">
        <f t="shared" si="208"/>
        <v>2.1767453200356571E-2</v>
      </c>
      <c r="X941" s="43">
        <f t="shared" si="209"/>
        <v>0.93876618099999998</v>
      </c>
      <c r="Y941" s="43">
        <v>39.781894790000003</v>
      </c>
      <c r="Z941" s="43">
        <f t="shared" si="198"/>
        <v>0</v>
      </c>
      <c r="AA941" s="43">
        <f t="shared" si="199"/>
        <v>48985</v>
      </c>
      <c r="AB941" s="43">
        <f t="shared" si="200"/>
        <v>14833</v>
      </c>
      <c r="AC941" s="43">
        <f t="shared" si="210"/>
        <v>2.2308424319999999E-2</v>
      </c>
      <c r="AD941" s="43">
        <f t="shared" si="211"/>
        <v>0.8897095029615385</v>
      </c>
      <c r="AF941" s="43">
        <v>15.155224265891647</v>
      </c>
      <c r="AG941" s="43">
        <v>1.6300076E-2</v>
      </c>
      <c r="AH941" s="43">
        <v>1.1951804999999999E-2</v>
      </c>
      <c r="AI941" s="43">
        <v>0.882825152</v>
      </c>
      <c r="AJ941" s="43">
        <v>3.5442150959999998</v>
      </c>
      <c r="AK941" s="43">
        <v>9.3484398790000007</v>
      </c>
      <c r="AL941" s="43">
        <v>4.5637749999999999E-3</v>
      </c>
      <c r="AM941" s="230">
        <v>2.1767453200356571E-2</v>
      </c>
      <c r="AN941" s="43">
        <v>0.93876618099999998</v>
      </c>
    </row>
    <row r="942" spans="1:40" x14ac:dyDescent="0.25">
      <c r="A942" s="134">
        <v>932</v>
      </c>
      <c r="B942" s="134" t="s">
        <v>220</v>
      </c>
      <c r="C942" s="134" t="s">
        <v>218</v>
      </c>
      <c r="D942" s="134" t="s">
        <v>219</v>
      </c>
      <c r="E942" s="134">
        <v>1091</v>
      </c>
      <c r="F942" s="134">
        <v>3864</v>
      </c>
      <c r="G942" s="134">
        <v>651</v>
      </c>
      <c r="H942" s="134">
        <v>869</v>
      </c>
      <c r="I942" s="200">
        <v>0.61861173672799996</v>
      </c>
      <c r="J942" s="134">
        <v>4733</v>
      </c>
      <c r="K942" s="134">
        <v>7651.0025901400004</v>
      </c>
      <c r="L942" s="42">
        <v>0.89204982038900005</v>
      </c>
      <c r="M942" s="42">
        <v>0.44336734693899998</v>
      </c>
      <c r="N942" s="134">
        <v>0</v>
      </c>
      <c r="O942" s="43" t="s">
        <v>666</v>
      </c>
      <c r="P942" s="43">
        <f t="shared" si="201"/>
        <v>15.732984583260428</v>
      </c>
      <c r="Q942" s="43">
        <f t="shared" si="202"/>
        <v>4.4110299999999998E-3</v>
      </c>
      <c r="R942" s="43">
        <f t="shared" si="203"/>
        <v>1.3867011E-2</v>
      </c>
      <c r="S942" s="43">
        <f t="shared" si="204"/>
        <v>0.89204981999999999</v>
      </c>
      <c r="T942" s="43">
        <f t="shared" si="205"/>
        <v>4.2814231300000003</v>
      </c>
      <c r="U942" s="43">
        <f t="shared" si="206"/>
        <v>11.45499293</v>
      </c>
      <c r="V942" s="43">
        <f t="shared" si="207"/>
        <v>3.6031119999999999E-3</v>
      </c>
      <c r="W942" s="230">
        <f t="shared" si="208"/>
        <v>1.3432880317891626E-2</v>
      </c>
      <c r="X942" s="43">
        <f t="shared" si="209"/>
        <v>0.95833847999999999</v>
      </c>
      <c r="Y942" s="43">
        <v>4.4621707989999999</v>
      </c>
      <c r="Z942" s="43">
        <f t="shared" si="198"/>
        <v>0</v>
      </c>
      <c r="AA942" s="43">
        <f t="shared" si="199"/>
        <v>48985</v>
      </c>
      <c r="AB942" s="43">
        <f t="shared" si="200"/>
        <v>14833</v>
      </c>
      <c r="AC942" s="43">
        <f t="shared" si="210"/>
        <v>2.2308424319999999E-2</v>
      </c>
      <c r="AD942" s="43">
        <f t="shared" si="211"/>
        <v>0.8897095029615385</v>
      </c>
      <c r="AF942" s="43">
        <v>15.732984583260428</v>
      </c>
      <c r="AG942" s="43">
        <v>4.4110299999999998E-3</v>
      </c>
      <c r="AH942" s="43">
        <v>1.3867011E-2</v>
      </c>
      <c r="AI942" s="43">
        <v>0.89204981999999999</v>
      </c>
      <c r="AJ942" s="43">
        <v>4.2814231300000003</v>
      </c>
      <c r="AK942" s="43">
        <v>11.45499293</v>
      </c>
      <c r="AL942" s="43">
        <v>3.6031119999999999E-3</v>
      </c>
      <c r="AM942" s="230">
        <v>1.3432880317891626E-2</v>
      </c>
      <c r="AN942" s="43">
        <v>0.95833847999999999</v>
      </c>
    </row>
    <row r="943" spans="1:40" x14ac:dyDescent="0.25">
      <c r="A943" s="134">
        <v>933</v>
      </c>
      <c r="B943" s="134" t="s">
        <v>220</v>
      </c>
      <c r="C943" s="134" t="s">
        <v>218</v>
      </c>
      <c r="D943" s="134" t="s">
        <v>219</v>
      </c>
      <c r="E943" s="134">
        <v>0</v>
      </c>
      <c r="F943" s="134">
        <v>0</v>
      </c>
      <c r="G943" s="134">
        <v>263</v>
      </c>
      <c r="H943" s="134">
        <v>1149</v>
      </c>
      <c r="I943" s="200">
        <v>0.41473514932</v>
      </c>
      <c r="J943" s="134">
        <v>1149</v>
      </c>
      <c r="K943" s="134">
        <v>2770.4427798900001</v>
      </c>
      <c r="L943" s="42">
        <v>0.92139434916899998</v>
      </c>
      <c r="M943" s="42">
        <v>1</v>
      </c>
      <c r="N943" s="134">
        <v>0</v>
      </c>
      <c r="O943" s="43" t="s">
        <v>666</v>
      </c>
      <c r="P943" s="43">
        <f t="shared" si="201"/>
        <v>13.782317728073838</v>
      </c>
      <c r="Q943" s="43">
        <f t="shared" si="202"/>
        <v>3.9347602000000002E-2</v>
      </c>
      <c r="R943" s="43">
        <f t="shared" si="203"/>
        <v>6.604576E-3</v>
      </c>
      <c r="S943" s="43">
        <f t="shared" si="204"/>
        <v>0.92139434899999995</v>
      </c>
      <c r="T943" s="43">
        <f t="shared" si="205"/>
        <v>4.1568791950000001</v>
      </c>
      <c r="U943" s="43">
        <f t="shared" si="206"/>
        <v>8.9626532169999997</v>
      </c>
      <c r="V943" s="43">
        <f t="shared" si="207"/>
        <v>6.7180970000000001E-3</v>
      </c>
      <c r="W943" s="230">
        <f t="shared" si="208"/>
        <v>1.0975407237428103E-2</v>
      </c>
      <c r="X943" s="43">
        <f t="shared" si="209"/>
        <v>0.95301861399999999</v>
      </c>
      <c r="Y943" s="43">
        <v>49.424948999999998</v>
      </c>
      <c r="Z943" s="43">
        <f t="shared" si="198"/>
        <v>0</v>
      </c>
      <c r="AA943" s="43">
        <f t="shared" si="199"/>
        <v>48985</v>
      </c>
      <c r="AB943" s="43">
        <f t="shared" si="200"/>
        <v>14833</v>
      </c>
      <c r="AC943" s="43">
        <f t="shared" si="210"/>
        <v>2.2308424319999999E-2</v>
      </c>
      <c r="AD943" s="43">
        <f t="shared" si="211"/>
        <v>0.8897095029615385</v>
      </c>
      <c r="AF943" s="43">
        <v>13.782317728073838</v>
      </c>
      <c r="AG943" s="43">
        <v>3.9347602000000002E-2</v>
      </c>
      <c r="AH943" s="43">
        <v>6.604576E-3</v>
      </c>
      <c r="AI943" s="43">
        <v>0.92139434899999995</v>
      </c>
      <c r="AJ943" s="43">
        <v>4.1568791950000001</v>
      </c>
      <c r="AK943" s="43">
        <v>8.9626532169999997</v>
      </c>
      <c r="AL943" s="43">
        <v>6.7180970000000001E-3</v>
      </c>
      <c r="AM943" s="230">
        <v>1.0975407237428103E-2</v>
      </c>
      <c r="AN943" s="43">
        <v>0.95301861399999999</v>
      </c>
    </row>
    <row r="944" spans="1:40" x14ac:dyDescent="0.25">
      <c r="A944" s="134">
        <v>934</v>
      </c>
      <c r="B944" s="134" t="s">
        <v>220</v>
      </c>
      <c r="C944" s="134" t="s">
        <v>218</v>
      </c>
      <c r="D944" s="134" t="s">
        <v>219</v>
      </c>
      <c r="E944" s="134">
        <v>279</v>
      </c>
      <c r="F944" s="134">
        <v>844</v>
      </c>
      <c r="G944" s="134">
        <v>100</v>
      </c>
      <c r="H944" s="134">
        <v>281</v>
      </c>
      <c r="I944" s="200">
        <v>0.15734280470600001</v>
      </c>
      <c r="J944" s="134">
        <v>1125</v>
      </c>
      <c r="K944" s="134">
        <v>7149.9933035100003</v>
      </c>
      <c r="L944" s="42">
        <v>0.89167785050500004</v>
      </c>
      <c r="M944" s="42">
        <v>0.50178571428600005</v>
      </c>
      <c r="N944" s="134">
        <v>0</v>
      </c>
      <c r="O944" s="43" t="s">
        <v>666</v>
      </c>
      <c r="P944" s="43">
        <f t="shared" si="201"/>
        <v>13.072174148239357</v>
      </c>
      <c r="Q944" s="43">
        <f t="shared" si="202"/>
        <v>2.4436494999999999E-2</v>
      </c>
      <c r="R944" s="43">
        <f t="shared" si="203"/>
        <v>1.3159522E-2</v>
      </c>
      <c r="S944" s="43">
        <f t="shared" si="204"/>
        <v>0.89167785099999997</v>
      </c>
      <c r="T944" s="43">
        <f t="shared" si="205"/>
        <v>3.2665505229999998</v>
      </c>
      <c r="U944" s="43">
        <f t="shared" si="206"/>
        <v>9.0317088739999996</v>
      </c>
      <c r="V944" s="43">
        <f t="shared" si="207"/>
        <v>5.2015179999999996E-3</v>
      </c>
      <c r="W944" s="230">
        <f t="shared" si="208"/>
        <v>3.479525078749697E-2</v>
      </c>
      <c r="X944" s="43">
        <f t="shared" si="209"/>
        <v>0.92680720500000002</v>
      </c>
      <c r="Y944" s="43">
        <v>75.668358740000002</v>
      </c>
      <c r="Z944" s="43">
        <f t="shared" si="198"/>
        <v>0</v>
      </c>
      <c r="AA944" s="43">
        <f t="shared" si="199"/>
        <v>48985</v>
      </c>
      <c r="AB944" s="43">
        <f t="shared" si="200"/>
        <v>14833</v>
      </c>
      <c r="AC944" s="43">
        <f t="shared" si="210"/>
        <v>2.2308424319999999E-2</v>
      </c>
      <c r="AD944" s="43">
        <f t="shared" si="211"/>
        <v>0.8897095029615385</v>
      </c>
      <c r="AF944" s="43">
        <v>13.072174148239357</v>
      </c>
      <c r="AG944" s="43">
        <v>2.4436494999999999E-2</v>
      </c>
      <c r="AH944" s="43">
        <v>1.3159522E-2</v>
      </c>
      <c r="AI944" s="43">
        <v>0.89167785099999997</v>
      </c>
      <c r="AJ944" s="43">
        <v>3.2665505229999998</v>
      </c>
      <c r="AK944" s="43">
        <v>9.0317088739999996</v>
      </c>
      <c r="AL944" s="43">
        <v>5.2015179999999996E-3</v>
      </c>
      <c r="AM944" s="230">
        <v>3.479525078749697E-2</v>
      </c>
      <c r="AN944" s="43">
        <v>0.92680720500000002</v>
      </c>
    </row>
    <row r="945" spans="1:40" x14ac:dyDescent="0.25">
      <c r="A945" s="134">
        <v>935</v>
      </c>
      <c r="B945" s="134" t="s">
        <v>220</v>
      </c>
      <c r="C945" s="134" t="s">
        <v>218</v>
      </c>
      <c r="D945" s="134" t="s">
        <v>219</v>
      </c>
      <c r="E945" s="134">
        <v>85</v>
      </c>
      <c r="F945" s="134">
        <v>257</v>
      </c>
      <c r="G945" s="134">
        <v>247</v>
      </c>
      <c r="H945" s="134">
        <v>3071</v>
      </c>
      <c r="I945" s="200">
        <v>0.39027522240700002</v>
      </c>
      <c r="J945" s="134">
        <v>3328</v>
      </c>
      <c r="K945" s="134">
        <v>8527.3156196599994</v>
      </c>
      <c r="L945" s="42">
        <v>0.89701093251599995</v>
      </c>
      <c r="M945" s="42">
        <v>0.97306717363799999</v>
      </c>
      <c r="N945" s="134">
        <v>0</v>
      </c>
      <c r="O945" s="43" t="s">
        <v>664</v>
      </c>
      <c r="P945" s="43">
        <f t="shared" si="201"/>
        <v>12.678949327127489</v>
      </c>
      <c r="Q945" s="43">
        <f t="shared" si="202"/>
        <v>1.4140099999999999E-2</v>
      </c>
      <c r="R945" s="43">
        <f t="shared" si="203"/>
        <v>9.3387479999999991E-3</v>
      </c>
      <c r="S945" s="43">
        <f t="shared" si="204"/>
        <v>0.89701093300000001</v>
      </c>
      <c r="T945" s="43">
        <f t="shared" si="205"/>
        <v>2.983905579</v>
      </c>
      <c r="U945" s="43">
        <f t="shared" si="206"/>
        <v>7.7233244699999997</v>
      </c>
      <c r="V945" s="43">
        <f t="shared" si="207"/>
        <v>7.4844380000000004E-3</v>
      </c>
      <c r="W945" s="230">
        <f t="shared" si="208"/>
        <v>2.3259180620566516E-2</v>
      </c>
      <c r="X945" s="43">
        <f t="shared" si="209"/>
        <v>0.93551126799999995</v>
      </c>
      <c r="Y945" s="43">
        <v>101.29686580000001</v>
      </c>
      <c r="Z945" s="43">
        <f t="shared" si="198"/>
        <v>0</v>
      </c>
      <c r="AA945" s="43">
        <f t="shared" si="199"/>
        <v>48985</v>
      </c>
      <c r="AB945" s="43">
        <f t="shared" si="200"/>
        <v>14833</v>
      </c>
      <c r="AC945" s="43">
        <f t="shared" si="210"/>
        <v>2.2308424319999999E-2</v>
      </c>
      <c r="AD945" s="43">
        <f t="shared" si="211"/>
        <v>0.8897095029615385</v>
      </c>
      <c r="AF945" s="43">
        <v>12.678949327127489</v>
      </c>
      <c r="AG945" s="43">
        <v>1.4140099999999999E-2</v>
      </c>
      <c r="AH945" s="43">
        <v>9.3387479999999991E-3</v>
      </c>
      <c r="AI945" s="43">
        <v>0.89701093300000001</v>
      </c>
      <c r="AJ945" s="43">
        <v>2.983905579</v>
      </c>
      <c r="AK945" s="43">
        <v>7.7233244699999997</v>
      </c>
      <c r="AL945" s="43">
        <v>7.4844380000000004E-3</v>
      </c>
      <c r="AM945" s="230">
        <v>2.3259180620566516E-2</v>
      </c>
      <c r="AN945" s="43">
        <v>0.93551126799999995</v>
      </c>
    </row>
    <row r="946" spans="1:40" x14ac:dyDescent="0.25">
      <c r="A946" s="134">
        <v>936</v>
      </c>
      <c r="B946" s="134" t="s">
        <v>220</v>
      </c>
      <c r="C946" s="134" t="s">
        <v>218</v>
      </c>
      <c r="D946" s="134" t="s">
        <v>219</v>
      </c>
      <c r="E946" s="134">
        <v>1569</v>
      </c>
      <c r="F946" s="134">
        <v>4745</v>
      </c>
      <c r="G946" s="134">
        <v>199</v>
      </c>
      <c r="H946" s="134">
        <v>1590</v>
      </c>
      <c r="I946" s="200">
        <v>0.314714603441</v>
      </c>
      <c r="J946" s="134">
        <v>6335</v>
      </c>
      <c r="K946" s="134">
        <v>20129.3487202</v>
      </c>
      <c r="L946" s="42">
        <v>0.83088200240099996</v>
      </c>
      <c r="M946" s="42">
        <v>0.50332383665699998</v>
      </c>
      <c r="N946" s="134">
        <v>0</v>
      </c>
      <c r="O946" s="43" t="s">
        <v>664</v>
      </c>
      <c r="P946" s="43">
        <f t="shared" si="201"/>
        <v>13.020767699294677</v>
      </c>
      <c r="Q946" s="43">
        <f t="shared" si="202"/>
        <v>2.6250742000000001E-2</v>
      </c>
      <c r="R946" s="43">
        <f t="shared" si="203"/>
        <v>3.9646985000000003E-2</v>
      </c>
      <c r="S946" s="43">
        <f t="shared" si="204"/>
        <v>0.83088200199999995</v>
      </c>
      <c r="T946" s="43">
        <f t="shared" si="205"/>
        <v>3.4551748010000001</v>
      </c>
      <c r="U946" s="43">
        <f t="shared" si="206"/>
        <v>8.4100950900000004</v>
      </c>
      <c r="V946" s="43">
        <f t="shared" si="207"/>
        <v>7.9156899999999995E-3</v>
      </c>
      <c r="W946" s="230">
        <f t="shared" si="208"/>
        <v>3.9389219639296064E-2</v>
      </c>
      <c r="X946" s="43">
        <f t="shared" si="209"/>
        <v>0.89070292100000004</v>
      </c>
      <c r="Y946" s="43">
        <v>47.278886790000001</v>
      </c>
      <c r="Z946" s="43">
        <f t="shared" si="198"/>
        <v>0</v>
      </c>
      <c r="AA946" s="43">
        <f t="shared" si="199"/>
        <v>48985</v>
      </c>
      <c r="AB946" s="43">
        <f t="shared" si="200"/>
        <v>14833</v>
      </c>
      <c r="AC946" s="43">
        <f t="shared" si="210"/>
        <v>2.2308424319999999E-2</v>
      </c>
      <c r="AD946" s="43">
        <f t="shared" si="211"/>
        <v>0.8897095029615385</v>
      </c>
      <c r="AF946" s="43">
        <v>13.020767699294677</v>
      </c>
      <c r="AG946" s="43">
        <v>2.6250742000000001E-2</v>
      </c>
      <c r="AH946" s="43">
        <v>3.9646985000000003E-2</v>
      </c>
      <c r="AI946" s="43">
        <v>0.83088200199999995</v>
      </c>
      <c r="AJ946" s="43">
        <v>3.4551748010000001</v>
      </c>
      <c r="AK946" s="43">
        <v>8.4100950900000004</v>
      </c>
      <c r="AL946" s="43">
        <v>7.9156899999999995E-3</v>
      </c>
      <c r="AM946" s="230">
        <v>3.9389219639296064E-2</v>
      </c>
      <c r="AN946" s="43">
        <v>0.89070292100000004</v>
      </c>
    </row>
    <row r="947" spans="1:40" x14ac:dyDescent="0.25">
      <c r="A947" s="134">
        <v>937</v>
      </c>
      <c r="B947" s="134" t="s">
        <v>220</v>
      </c>
      <c r="C947" s="134" t="s">
        <v>218</v>
      </c>
      <c r="D947" s="134" t="s">
        <v>219</v>
      </c>
      <c r="E947" s="134">
        <v>872</v>
      </c>
      <c r="F947" s="134">
        <v>2638</v>
      </c>
      <c r="G947" s="134">
        <v>190</v>
      </c>
      <c r="H947" s="134">
        <v>25</v>
      </c>
      <c r="I947" s="200">
        <v>0.299710464698</v>
      </c>
      <c r="J947" s="134">
        <v>2663</v>
      </c>
      <c r="K947" s="134">
        <v>8885.2419707299996</v>
      </c>
      <c r="L947" s="42">
        <v>0.86906447088000005</v>
      </c>
      <c r="M947" s="42">
        <v>2.7870680044599999E-2</v>
      </c>
      <c r="N947" s="134">
        <v>0</v>
      </c>
      <c r="O947" s="43" t="s">
        <v>666</v>
      </c>
      <c r="P947" s="43">
        <f t="shared" si="201"/>
        <v>12.86022961254681</v>
      </c>
      <c r="Q947" s="43">
        <f t="shared" si="202"/>
        <v>3.2951782999999998E-2</v>
      </c>
      <c r="R947" s="43">
        <f t="shared" si="203"/>
        <v>1.4020622999999999E-2</v>
      </c>
      <c r="S947" s="43">
        <f t="shared" si="204"/>
        <v>0.86906447099999995</v>
      </c>
      <c r="T947" s="43">
        <f t="shared" si="205"/>
        <v>3.009540528</v>
      </c>
      <c r="U947" s="43">
        <f t="shared" si="206"/>
        <v>9.101744944</v>
      </c>
      <c r="V947" s="43">
        <f t="shared" si="207"/>
        <v>1.8142970000000001E-3</v>
      </c>
      <c r="W947" s="230">
        <f t="shared" si="208"/>
        <v>5.4344139989148124E-2</v>
      </c>
      <c r="X947" s="43">
        <f t="shared" si="209"/>
        <v>0.91489758499999996</v>
      </c>
      <c r="Y947" s="43">
        <v>58.581516520000001</v>
      </c>
      <c r="Z947" s="43">
        <f t="shared" si="198"/>
        <v>0</v>
      </c>
      <c r="AA947" s="43">
        <f t="shared" si="199"/>
        <v>48985</v>
      </c>
      <c r="AB947" s="43">
        <f t="shared" si="200"/>
        <v>14833</v>
      </c>
      <c r="AC947" s="43">
        <f t="shared" si="210"/>
        <v>2.2308424319999999E-2</v>
      </c>
      <c r="AD947" s="43">
        <f t="shared" si="211"/>
        <v>0.8897095029615385</v>
      </c>
      <c r="AF947" s="43">
        <v>12.86022961254681</v>
      </c>
      <c r="AG947" s="43">
        <v>3.2951782999999998E-2</v>
      </c>
      <c r="AH947" s="43">
        <v>1.4020622999999999E-2</v>
      </c>
      <c r="AI947" s="43">
        <v>0.86906447099999995</v>
      </c>
      <c r="AJ947" s="43">
        <v>3.009540528</v>
      </c>
      <c r="AK947" s="43">
        <v>9.101744944</v>
      </c>
      <c r="AL947" s="43">
        <v>1.8142970000000001E-3</v>
      </c>
      <c r="AM947" s="230">
        <v>5.4344139989148124E-2</v>
      </c>
      <c r="AN947" s="43">
        <v>0.91489758499999996</v>
      </c>
    </row>
    <row r="948" spans="1:40" x14ac:dyDescent="0.25">
      <c r="A948" s="134">
        <v>938</v>
      </c>
      <c r="B948" s="134" t="s">
        <v>220</v>
      </c>
      <c r="C948" s="134" t="s">
        <v>218</v>
      </c>
      <c r="D948" s="134" t="s">
        <v>219</v>
      </c>
      <c r="E948" s="134">
        <v>582</v>
      </c>
      <c r="F948" s="134">
        <v>1761</v>
      </c>
      <c r="G948" s="134">
        <v>207</v>
      </c>
      <c r="H948" s="134">
        <v>63</v>
      </c>
      <c r="I948" s="200">
        <v>0.32709134585799998</v>
      </c>
      <c r="J948" s="134">
        <v>1824</v>
      </c>
      <c r="K948" s="134">
        <v>5576.4239045000004</v>
      </c>
      <c r="L948" s="42">
        <v>0.88560003246499996</v>
      </c>
      <c r="M948" s="42">
        <v>9.7674418604699997E-2</v>
      </c>
      <c r="N948" s="134">
        <v>0</v>
      </c>
      <c r="O948" s="43" t="s">
        <v>666</v>
      </c>
      <c r="P948" s="43">
        <f t="shared" si="201"/>
        <v>13.2189216878329</v>
      </c>
      <c r="Q948" s="43">
        <f t="shared" si="202"/>
        <v>3.0754726999999999E-2</v>
      </c>
      <c r="R948" s="43">
        <f t="shared" si="203"/>
        <v>1.3941393999999999E-2</v>
      </c>
      <c r="S948" s="43">
        <f t="shared" si="204"/>
        <v>0.88560003200000004</v>
      </c>
      <c r="T948" s="43">
        <f t="shared" si="205"/>
        <v>3.365191147</v>
      </c>
      <c r="U948" s="43">
        <f t="shared" si="206"/>
        <v>9.8120086799999999</v>
      </c>
      <c r="V948" s="43">
        <f t="shared" si="207"/>
        <v>2.3867200000000002E-3</v>
      </c>
      <c r="W948" s="230">
        <f t="shared" si="208"/>
        <v>4.5466419682720624E-2</v>
      </c>
      <c r="X948" s="43">
        <f t="shared" si="209"/>
        <v>0.92812529700000002</v>
      </c>
      <c r="Y948" s="43">
        <v>67.652865599999998</v>
      </c>
      <c r="Z948" s="43">
        <f t="shared" si="198"/>
        <v>0</v>
      </c>
      <c r="AA948" s="43">
        <f t="shared" si="199"/>
        <v>48985</v>
      </c>
      <c r="AB948" s="43">
        <f t="shared" si="200"/>
        <v>14833</v>
      </c>
      <c r="AC948" s="43">
        <f t="shared" si="210"/>
        <v>2.2308424319999999E-2</v>
      </c>
      <c r="AD948" s="43">
        <f t="shared" si="211"/>
        <v>0.8897095029615385</v>
      </c>
      <c r="AF948" s="43">
        <v>13.2189216878329</v>
      </c>
      <c r="AG948" s="43">
        <v>3.0754726999999999E-2</v>
      </c>
      <c r="AH948" s="43">
        <v>1.3941393999999999E-2</v>
      </c>
      <c r="AI948" s="43">
        <v>0.88560003200000004</v>
      </c>
      <c r="AJ948" s="43">
        <v>3.365191147</v>
      </c>
      <c r="AK948" s="43">
        <v>9.8120086799999999</v>
      </c>
      <c r="AL948" s="43">
        <v>2.3867200000000002E-3</v>
      </c>
      <c r="AM948" s="230">
        <v>4.5466419682720624E-2</v>
      </c>
      <c r="AN948" s="43">
        <v>0.92812529700000002</v>
      </c>
    </row>
    <row r="949" spans="1:40" x14ac:dyDescent="0.25">
      <c r="A949" s="134">
        <v>939</v>
      </c>
      <c r="B949" s="134" t="s">
        <v>220</v>
      </c>
      <c r="C949" s="134" t="s">
        <v>218</v>
      </c>
      <c r="D949" s="134" t="s">
        <v>219</v>
      </c>
      <c r="E949" s="134">
        <v>385</v>
      </c>
      <c r="F949" s="134">
        <v>1164</v>
      </c>
      <c r="G949" s="134">
        <v>325</v>
      </c>
      <c r="H949" s="134">
        <v>1572</v>
      </c>
      <c r="I949" s="200">
        <v>0.51336359541999999</v>
      </c>
      <c r="J949" s="134">
        <v>2736</v>
      </c>
      <c r="K949" s="134">
        <v>5329.5559412599996</v>
      </c>
      <c r="L949" s="42">
        <v>0.89317502606300003</v>
      </c>
      <c r="M949" s="42">
        <v>0.80327031170200003</v>
      </c>
      <c r="N949" s="134">
        <v>0</v>
      </c>
      <c r="O949" s="43" t="s">
        <v>666</v>
      </c>
      <c r="P949" s="43">
        <f t="shared" si="201"/>
        <v>13.670850313188481</v>
      </c>
      <c r="Q949" s="43">
        <f t="shared" si="202"/>
        <v>1.7641608E-2</v>
      </c>
      <c r="R949" s="43">
        <f t="shared" si="203"/>
        <v>1.0953319E-2</v>
      </c>
      <c r="S949" s="43">
        <f t="shared" si="204"/>
        <v>0.89317502599999998</v>
      </c>
      <c r="T949" s="43">
        <f t="shared" si="205"/>
        <v>3.5102212860000002</v>
      </c>
      <c r="U949" s="43">
        <f t="shared" si="206"/>
        <v>9.7365339520000003</v>
      </c>
      <c r="V949" s="43">
        <f t="shared" si="207"/>
        <v>6.1587400000000002E-3</v>
      </c>
      <c r="W949" s="230">
        <f t="shared" si="208"/>
        <v>1.9984094162557663E-2</v>
      </c>
      <c r="X949" s="43">
        <f t="shared" si="209"/>
        <v>0.92800381700000001</v>
      </c>
      <c r="Y949" s="43">
        <v>12.41423408</v>
      </c>
      <c r="Z949" s="43">
        <f t="shared" si="198"/>
        <v>0</v>
      </c>
      <c r="AA949" s="43">
        <f t="shared" si="199"/>
        <v>48985</v>
      </c>
      <c r="AB949" s="43">
        <f t="shared" si="200"/>
        <v>14833</v>
      </c>
      <c r="AC949" s="43">
        <f t="shared" si="210"/>
        <v>2.2308424319999999E-2</v>
      </c>
      <c r="AD949" s="43">
        <f t="shared" si="211"/>
        <v>0.8897095029615385</v>
      </c>
      <c r="AF949" s="43">
        <v>13.670850313188481</v>
      </c>
      <c r="AG949" s="43">
        <v>1.7641608E-2</v>
      </c>
      <c r="AH949" s="43">
        <v>1.0953319E-2</v>
      </c>
      <c r="AI949" s="43">
        <v>0.89317502599999998</v>
      </c>
      <c r="AJ949" s="43">
        <v>3.5102212860000002</v>
      </c>
      <c r="AK949" s="43">
        <v>9.7365339520000003</v>
      </c>
      <c r="AL949" s="43">
        <v>6.1587400000000002E-3</v>
      </c>
      <c r="AM949" s="230">
        <v>1.9984094162557663E-2</v>
      </c>
      <c r="AN949" s="43">
        <v>0.92800381700000001</v>
      </c>
    </row>
    <row r="950" spans="1:40" x14ac:dyDescent="0.25">
      <c r="A950" s="134">
        <v>940</v>
      </c>
      <c r="B950" s="134" t="s">
        <v>220</v>
      </c>
      <c r="C950" s="134" t="s">
        <v>218</v>
      </c>
      <c r="D950" s="134" t="s">
        <v>219</v>
      </c>
      <c r="E950" s="134">
        <v>0</v>
      </c>
      <c r="F950" s="134">
        <v>0</v>
      </c>
      <c r="G950" s="134">
        <v>551</v>
      </c>
      <c r="H950" s="134">
        <v>37</v>
      </c>
      <c r="I950" s="200">
        <v>0.87042288497700004</v>
      </c>
      <c r="J950" s="134">
        <v>37</v>
      </c>
      <c r="K950" s="134">
        <v>42.508073533699999</v>
      </c>
      <c r="L950" s="42">
        <v>0.96067656294600001</v>
      </c>
      <c r="M950" s="42">
        <v>1</v>
      </c>
      <c r="N950" s="134">
        <v>0</v>
      </c>
      <c r="O950" s="43" t="s">
        <v>665</v>
      </c>
      <c r="P950" s="43">
        <f t="shared" si="201"/>
        <v>13.417464489249634</v>
      </c>
      <c r="Q950" s="43">
        <f t="shared" si="202"/>
        <v>2.2308424319999999E-2</v>
      </c>
      <c r="R950" s="43">
        <f t="shared" si="203"/>
        <v>5.7093919999999998E-3</v>
      </c>
      <c r="S950" s="43">
        <f t="shared" si="204"/>
        <v>0.96067656300000004</v>
      </c>
      <c r="T950" s="43">
        <f t="shared" si="205"/>
        <v>5.054878049</v>
      </c>
      <c r="U950" s="43">
        <f t="shared" si="206"/>
        <v>10.21814792</v>
      </c>
      <c r="V950" s="43">
        <f t="shared" si="207"/>
        <v>1.475652E-3</v>
      </c>
      <c r="W950" s="230">
        <f t="shared" si="208"/>
        <v>2.9753567599755323E-2</v>
      </c>
      <c r="X950" s="43">
        <f t="shared" si="209"/>
        <v>0.89375307400000004</v>
      </c>
      <c r="Y950" s="43">
        <v>11.742430219999999</v>
      </c>
      <c r="Z950" s="43">
        <f t="shared" si="198"/>
        <v>0</v>
      </c>
      <c r="AA950" s="43">
        <f t="shared" si="199"/>
        <v>48985</v>
      </c>
      <c r="AB950" s="43">
        <f t="shared" si="200"/>
        <v>14833</v>
      </c>
      <c r="AC950" s="43">
        <f t="shared" si="210"/>
        <v>2.2308424319999999E-2</v>
      </c>
      <c r="AD950" s="43">
        <f t="shared" si="211"/>
        <v>0.8897095029615385</v>
      </c>
      <c r="AF950" s="43">
        <v>13.417464489249634</v>
      </c>
      <c r="AG950" s="43">
        <v>0</v>
      </c>
      <c r="AH950" s="43">
        <v>5.7093919999999998E-3</v>
      </c>
      <c r="AI950" s="43">
        <v>0.96067656300000004</v>
      </c>
      <c r="AJ950" s="43">
        <v>5.054878049</v>
      </c>
      <c r="AK950" s="43">
        <v>10.21814792</v>
      </c>
      <c r="AL950" s="43">
        <v>1.475652E-3</v>
      </c>
      <c r="AM950" s="230">
        <v>0</v>
      </c>
      <c r="AN950" s="43">
        <v>0.89375307400000004</v>
      </c>
    </row>
    <row r="951" spans="1:40" x14ac:dyDescent="0.25">
      <c r="A951" s="134">
        <v>941</v>
      </c>
      <c r="B951" s="134" t="s">
        <v>207</v>
      </c>
      <c r="C951" s="134" t="s">
        <v>205</v>
      </c>
      <c r="D951" s="134" t="s">
        <v>62</v>
      </c>
      <c r="E951" s="134">
        <v>518</v>
      </c>
      <c r="F951" s="134">
        <v>1392</v>
      </c>
      <c r="G951" s="134">
        <v>126</v>
      </c>
      <c r="H951" s="134">
        <v>168</v>
      </c>
      <c r="I951" s="200">
        <v>0.208033945213</v>
      </c>
      <c r="J951" s="134">
        <v>1560</v>
      </c>
      <c r="K951" s="134">
        <v>7498.7762136800002</v>
      </c>
      <c r="L951" s="42">
        <v>0.87955785704300005</v>
      </c>
      <c r="M951" s="42">
        <v>0.24489795918400001</v>
      </c>
      <c r="N951" s="134">
        <v>0</v>
      </c>
      <c r="O951" s="43" t="s">
        <v>666</v>
      </c>
      <c r="P951" s="43">
        <f t="shared" si="201"/>
        <v>16.480068482914046</v>
      </c>
      <c r="Q951" s="43">
        <f t="shared" si="202"/>
        <v>1.82761E-2</v>
      </c>
      <c r="R951" s="43">
        <f t="shared" si="203"/>
        <v>1.263674E-2</v>
      </c>
      <c r="S951" s="43">
        <f t="shared" si="204"/>
        <v>0.879557857</v>
      </c>
      <c r="T951" s="43">
        <f t="shared" si="205"/>
        <v>2.7977417080000002</v>
      </c>
      <c r="U951" s="43">
        <f t="shared" si="206"/>
        <v>9.2803468210000002</v>
      </c>
      <c r="V951" s="43">
        <f t="shared" si="207"/>
        <v>1.913503E-3</v>
      </c>
      <c r="W951" s="230">
        <f t="shared" si="208"/>
        <v>4.8193179124191424E-2</v>
      </c>
      <c r="X951" s="43">
        <f t="shared" si="209"/>
        <v>0.91543333199999999</v>
      </c>
      <c r="Y951" s="43">
        <v>154.47657770000001</v>
      </c>
      <c r="Z951" s="43">
        <f t="shared" si="198"/>
        <v>0</v>
      </c>
      <c r="AA951" s="43">
        <f t="shared" si="199"/>
        <v>58427</v>
      </c>
      <c r="AB951" s="43">
        <f t="shared" si="200"/>
        <v>20964</v>
      </c>
      <c r="AC951" s="43">
        <f t="shared" si="210"/>
        <v>2.1965121632062434E-2</v>
      </c>
      <c r="AD951" s="43">
        <f t="shared" si="211"/>
        <v>0.90685301037719301</v>
      </c>
      <c r="AF951" s="43">
        <v>16.480068482914046</v>
      </c>
      <c r="AG951" s="43">
        <v>1.82761E-2</v>
      </c>
      <c r="AH951" s="43">
        <v>1.263674E-2</v>
      </c>
      <c r="AI951" s="43">
        <v>0.879557857</v>
      </c>
      <c r="AJ951" s="43">
        <v>2.7977417080000002</v>
      </c>
      <c r="AK951" s="43">
        <v>9.2803468210000002</v>
      </c>
      <c r="AL951" s="43">
        <v>1.913503E-3</v>
      </c>
      <c r="AM951" s="230">
        <v>4.8193179124191424E-2</v>
      </c>
      <c r="AN951" s="43">
        <v>0.91543333199999999</v>
      </c>
    </row>
    <row r="952" spans="1:40" x14ac:dyDescent="0.25">
      <c r="A952" s="134">
        <v>942</v>
      </c>
      <c r="B952" s="134" t="s">
        <v>207</v>
      </c>
      <c r="C952" s="134" t="s">
        <v>205</v>
      </c>
      <c r="D952" s="134" t="s">
        <v>62</v>
      </c>
      <c r="E952" s="134">
        <v>430</v>
      </c>
      <c r="F952" s="134">
        <v>1158</v>
      </c>
      <c r="G952" s="134">
        <v>56</v>
      </c>
      <c r="H952" s="134">
        <v>621</v>
      </c>
      <c r="I952" s="200">
        <v>9.2508907227599996E-2</v>
      </c>
      <c r="J952" s="134">
        <v>1779</v>
      </c>
      <c r="K952" s="134">
        <v>19230.5806361</v>
      </c>
      <c r="L952" s="42">
        <v>0.86238761163599997</v>
      </c>
      <c r="M952" s="42">
        <v>0.59086584205500003</v>
      </c>
      <c r="N952" s="134">
        <v>0</v>
      </c>
      <c r="O952" s="43" t="s">
        <v>664</v>
      </c>
      <c r="P952" s="43">
        <f t="shared" si="201"/>
        <v>15.932705578208125</v>
      </c>
      <c r="Q952" s="43">
        <f t="shared" si="202"/>
        <v>2.1561720999999999E-2</v>
      </c>
      <c r="R952" s="43">
        <f t="shared" si="203"/>
        <v>1.1836687E-2</v>
      </c>
      <c r="S952" s="43">
        <f t="shared" si="204"/>
        <v>0.86238761200000003</v>
      </c>
      <c r="T952" s="43">
        <f t="shared" si="205"/>
        <v>2.5312618900000001</v>
      </c>
      <c r="U952" s="43">
        <f t="shared" si="206"/>
        <v>8.4697701670000001</v>
      </c>
      <c r="V952" s="43">
        <f t="shared" si="207"/>
        <v>3.71084E-3</v>
      </c>
      <c r="W952" s="230">
        <f t="shared" si="208"/>
        <v>4.6827945479197892E-2</v>
      </c>
      <c r="X952" s="43">
        <f t="shared" si="209"/>
        <v>0.90199100799999998</v>
      </c>
      <c r="Y952" s="43">
        <v>144.43847270000001</v>
      </c>
      <c r="Z952" s="43">
        <f t="shared" si="198"/>
        <v>0</v>
      </c>
      <c r="AA952" s="43">
        <f t="shared" si="199"/>
        <v>58427</v>
      </c>
      <c r="AB952" s="43">
        <f t="shared" si="200"/>
        <v>20964</v>
      </c>
      <c r="AC952" s="43">
        <f t="shared" si="210"/>
        <v>2.1965121632062434E-2</v>
      </c>
      <c r="AD952" s="43">
        <f t="shared" si="211"/>
        <v>0.90685301037719301</v>
      </c>
      <c r="AF952" s="43">
        <v>15.932705578208125</v>
      </c>
      <c r="AG952" s="43">
        <v>2.1561720999999999E-2</v>
      </c>
      <c r="AH952" s="43">
        <v>1.1836687E-2</v>
      </c>
      <c r="AI952" s="43">
        <v>0.86238761200000003</v>
      </c>
      <c r="AJ952" s="43">
        <v>2.5312618900000001</v>
      </c>
      <c r="AK952" s="43">
        <v>8.4697701670000001</v>
      </c>
      <c r="AL952" s="43">
        <v>3.71084E-3</v>
      </c>
      <c r="AM952" s="230">
        <v>4.6827945479197892E-2</v>
      </c>
      <c r="AN952" s="43">
        <v>0.90199100799999998</v>
      </c>
    </row>
    <row r="953" spans="1:40" x14ac:dyDescent="0.25">
      <c r="A953" s="134">
        <v>943</v>
      </c>
      <c r="B953" s="134" t="s">
        <v>207</v>
      </c>
      <c r="C953" s="134" t="s">
        <v>205</v>
      </c>
      <c r="D953" s="134" t="s">
        <v>62</v>
      </c>
      <c r="E953" s="134">
        <v>0</v>
      </c>
      <c r="F953" s="134">
        <v>0</v>
      </c>
      <c r="G953" s="134">
        <v>23</v>
      </c>
      <c r="H953" s="134">
        <v>494</v>
      </c>
      <c r="I953" s="200">
        <v>3.6981498586700003E-2</v>
      </c>
      <c r="J953" s="134">
        <v>494</v>
      </c>
      <c r="K953" s="134">
        <v>13358.030876999999</v>
      </c>
      <c r="L953" s="42">
        <v>0.89514368244800002</v>
      </c>
      <c r="M953" s="42">
        <v>1</v>
      </c>
      <c r="N953" s="134">
        <v>0</v>
      </c>
      <c r="O953" s="43" t="s">
        <v>664</v>
      </c>
      <c r="P953" s="43">
        <f t="shared" si="201"/>
        <v>15.751884229355809</v>
      </c>
      <c r="Q953" s="43">
        <f t="shared" si="202"/>
        <v>1.4768303999999999E-2</v>
      </c>
      <c r="R953" s="43">
        <f t="shared" si="203"/>
        <v>6.604375E-3</v>
      </c>
      <c r="S953" s="43">
        <f t="shared" si="204"/>
        <v>0.89514368200000005</v>
      </c>
      <c r="T953" s="43">
        <f t="shared" si="205"/>
        <v>3.1348547720000002</v>
      </c>
      <c r="U953" s="43">
        <f t="shared" si="206"/>
        <v>9.4108106550000006</v>
      </c>
      <c r="V953" s="43">
        <f t="shared" si="207"/>
        <v>2.6547440000000001E-3</v>
      </c>
      <c r="W953" s="230">
        <f t="shared" si="208"/>
        <v>1.4251781472684083E-2</v>
      </c>
      <c r="X953" s="43">
        <f t="shared" si="209"/>
        <v>0.92762330599999998</v>
      </c>
      <c r="Y953" s="43">
        <v>13.06458842</v>
      </c>
      <c r="Z953" s="43">
        <f t="shared" si="198"/>
        <v>0</v>
      </c>
      <c r="AA953" s="43">
        <f t="shared" si="199"/>
        <v>58427</v>
      </c>
      <c r="AB953" s="43">
        <f t="shared" si="200"/>
        <v>20964</v>
      </c>
      <c r="AC953" s="43">
        <f t="shared" si="210"/>
        <v>2.1965121632062434E-2</v>
      </c>
      <c r="AD953" s="43">
        <f t="shared" si="211"/>
        <v>0.90685301037719301</v>
      </c>
      <c r="AF953" s="43">
        <v>15.751884229355809</v>
      </c>
      <c r="AG953" s="43">
        <v>1.4768303999999999E-2</v>
      </c>
      <c r="AH953" s="43">
        <v>6.604375E-3</v>
      </c>
      <c r="AI953" s="43">
        <v>0.89514368200000005</v>
      </c>
      <c r="AJ953" s="43">
        <v>3.1348547720000002</v>
      </c>
      <c r="AK953" s="43">
        <v>9.4108106550000006</v>
      </c>
      <c r="AL953" s="43">
        <v>2.6547440000000001E-3</v>
      </c>
      <c r="AM953" s="230">
        <v>1.4251781472684083E-2</v>
      </c>
      <c r="AN953" s="43">
        <v>0.92762330599999998</v>
      </c>
    </row>
    <row r="954" spans="1:40" x14ac:dyDescent="0.25">
      <c r="A954" s="134">
        <v>944</v>
      </c>
      <c r="B954" s="134" t="s">
        <v>207</v>
      </c>
      <c r="C954" s="134" t="s">
        <v>205</v>
      </c>
      <c r="D954" s="134" t="s">
        <v>62</v>
      </c>
      <c r="E954" s="134">
        <v>54</v>
      </c>
      <c r="F954" s="134">
        <v>145</v>
      </c>
      <c r="G954" s="134">
        <v>27</v>
      </c>
      <c r="H954" s="134">
        <v>553</v>
      </c>
      <c r="I954" s="200">
        <v>4.4296562964299999E-2</v>
      </c>
      <c r="J954" s="134">
        <v>698</v>
      </c>
      <c r="K954" s="134">
        <v>15757.4302223</v>
      </c>
      <c r="L954" s="42">
        <v>0.87588646480400001</v>
      </c>
      <c r="M954" s="42">
        <v>0.91103789126900003</v>
      </c>
      <c r="N954" s="134">
        <v>1</v>
      </c>
      <c r="O954" s="43" t="s">
        <v>664</v>
      </c>
      <c r="P954" s="43">
        <f t="shared" si="201"/>
        <v>15.676959757051218</v>
      </c>
      <c r="Q954" s="43">
        <f t="shared" si="202"/>
        <v>1.9709561E-2</v>
      </c>
      <c r="R954" s="43">
        <f t="shared" si="203"/>
        <v>8.5049849999999996E-3</v>
      </c>
      <c r="S954" s="43">
        <f t="shared" si="204"/>
        <v>0.875886465</v>
      </c>
      <c r="T954" s="43">
        <f t="shared" si="205"/>
        <v>2.7043172690000001</v>
      </c>
      <c r="U954" s="43">
        <f t="shared" si="206"/>
        <v>8.9775733869999996</v>
      </c>
      <c r="V954" s="43">
        <f t="shared" si="207"/>
        <v>3.329149E-3</v>
      </c>
      <c r="W954" s="230">
        <f t="shared" si="208"/>
        <v>2.7588277028870817E-2</v>
      </c>
      <c r="X954" s="43">
        <f t="shared" si="209"/>
        <v>0.91494296799999997</v>
      </c>
      <c r="Y954" s="43">
        <v>11.3784733</v>
      </c>
      <c r="Z954" s="43">
        <f t="shared" si="198"/>
        <v>0</v>
      </c>
      <c r="AA954" s="43">
        <f t="shared" si="199"/>
        <v>58427</v>
      </c>
      <c r="AB954" s="43">
        <f t="shared" si="200"/>
        <v>20964</v>
      </c>
      <c r="AC954" s="43">
        <f t="shared" si="210"/>
        <v>2.1965121632062434E-2</v>
      </c>
      <c r="AD954" s="43">
        <f t="shared" si="211"/>
        <v>0.90685301037719301</v>
      </c>
      <c r="AF954" s="43">
        <v>15.676959757051218</v>
      </c>
      <c r="AG954" s="43">
        <v>1.9709561E-2</v>
      </c>
      <c r="AH954" s="43">
        <v>8.5049849999999996E-3</v>
      </c>
      <c r="AI954" s="43">
        <v>0.875886465</v>
      </c>
      <c r="AJ954" s="43">
        <v>2.7043172690000001</v>
      </c>
      <c r="AK954" s="43">
        <v>8.9775733869999996</v>
      </c>
      <c r="AL954" s="43">
        <v>3.329149E-3</v>
      </c>
      <c r="AM954" s="230">
        <v>2.7588277028870817E-2</v>
      </c>
      <c r="AN954" s="43">
        <v>0.91494296799999997</v>
      </c>
    </row>
    <row r="955" spans="1:40" x14ac:dyDescent="0.25">
      <c r="A955" s="134">
        <v>945</v>
      </c>
      <c r="B955" s="134" t="s">
        <v>207</v>
      </c>
      <c r="C955" s="134" t="s">
        <v>205</v>
      </c>
      <c r="D955" s="134" t="s">
        <v>62</v>
      </c>
      <c r="E955" s="134">
        <v>246</v>
      </c>
      <c r="F955" s="134">
        <v>662</v>
      </c>
      <c r="G955" s="134">
        <v>149</v>
      </c>
      <c r="H955" s="134">
        <v>0</v>
      </c>
      <c r="I955" s="200">
        <v>0.24508981687</v>
      </c>
      <c r="J955" s="134">
        <v>662</v>
      </c>
      <c r="K955" s="134">
        <v>2701.0506126099999</v>
      </c>
      <c r="L955" s="42">
        <v>0.87184572128600002</v>
      </c>
      <c r="M955" s="42">
        <v>0</v>
      </c>
      <c r="N955" s="134">
        <v>0</v>
      </c>
      <c r="O955" s="43" t="s">
        <v>665</v>
      </c>
      <c r="P955" s="43">
        <f t="shared" si="201"/>
        <v>18.108082267581175</v>
      </c>
      <c r="Q955" s="43">
        <f t="shared" si="202"/>
        <v>1.2744917E-2</v>
      </c>
      <c r="R955" s="43">
        <f t="shared" si="203"/>
        <v>5.3711979E-2</v>
      </c>
      <c r="S955" s="43">
        <f t="shared" si="204"/>
        <v>0.87184572100000002</v>
      </c>
      <c r="T955" s="43">
        <f t="shared" si="205"/>
        <v>3.4502755610000002</v>
      </c>
      <c r="U955" s="43">
        <f t="shared" si="206"/>
        <v>11.268648560000001</v>
      </c>
      <c r="V955" s="43">
        <f t="shared" si="207"/>
        <v>5.6372699999999998E-4</v>
      </c>
      <c r="W955" s="230">
        <f t="shared" si="208"/>
        <v>5.9806282990826631E-2</v>
      </c>
      <c r="X955" s="43">
        <f t="shared" si="209"/>
        <v>0.89053451500000003</v>
      </c>
      <c r="Y955" s="43">
        <v>11.362476579999999</v>
      </c>
      <c r="Z955" s="43">
        <f t="shared" si="198"/>
        <v>0</v>
      </c>
      <c r="AA955" s="43">
        <f t="shared" si="199"/>
        <v>58427</v>
      </c>
      <c r="AB955" s="43">
        <f t="shared" si="200"/>
        <v>20964</v>
      </c>
      <c r="AC955" s="43">
        <f t="shared" si="210"/>
        <v>2.1965121632062434E-2</v>
      </c>
      <c r="AD955" s="43">
        <f t="shared" si="211"/>
        <v>0.90685301037719301</v>
      </c>
      <c r="AF955" s="43">
        <v>18.108082267581175</v>
      </c>
      <c r="AG955" s="43">
        <v>1.2744917E-2</v>
      </c>
      <c r="AH955" s="43">
        <v>5.3711979E-2</v>
      </c>
      <c r="AI955" s="43">
        <v>0.87184572100000002</v>
      </c>
      <c r="AJ955" s="43">
        <v>3.4502755610000002</v>
      </c>
      <c r="AK955" s="43">
        <v>11.268648560000001</v>
      </c>
      <c r="AL955" s="43">
        <v>5.6372699999999998E-4</v>
      </c>
      <c r="AM955" s="230">
        <v>5.9806282990826631E-2</v>
      </c>
      <c r="AN955" s="43">
        <v>0.89053451500000003</v>
      </c>
    </row>
    <row r="956" spans="1:40" x14ac:dyDescent="0.25">
      <c r="A956" s="134">
        <v>946</v>
      </c>
      <c r="B956" s="134" t="s">
        <v>207</v>
      </c>
      <c r="C956" s="134" t="s">
        <v>205</v>
      </c>
      <c r="D956" s="134" t="s">
        <v>62</v>
      </c>
      <c r="E956" s="134">
        <v>294</v>
      </c>
      <c r="F956" s="134">
        <v>791</v>
      </c>
      <c r="G956" s="134">
        <v>179</v>
      </c>
      <c r="H956" s="134">
        <v>0</v>
      </c>
      <c r="I956" s="200">
        <v>0.296206090709</v>
      </c>
      <c r="J956" s="134">
        <v>791</v>
      </c>
      <c r="K956" s="134">
        <v>2670.4379984500001</v>
      </c>
      <c r="L956" s="42">
        <v>0.89880239032800002</v>
      </c>
      <c r="M956" s="42">
        <v>0</v>
      </c>
      <c r="N956" s="134">
        <v>0</v>
      </c>
      <c r="O956" s="43" t="s">
        <v>665</v>
      </c>
      <c r="P956" s="43">
        <f t="shared" si="201"/>
        <v>17.355240123135026</v>
      </c>
      <c r="Q956" s="43">
        <f t="shared" si="202"/>
        <v>1.367998E-2</v>
      </c>
      <c r="R956" s="43">
        <f t="shared" si="203"/>
        <v>1.4193590000000001E-2</v>
      </c>
      <c r="S956" s="43">
        <f t="shared" si="204"/>
        <v>0.89880238999999995</v>
      </c>
      <c r="T956" s="43">
        <f t="shared" si="205"/>
        <v>3.2622761410000001</v>
      </c>
      <c r="U956" s="43">
        <f t="shared" si="206"/>
        <v>10.20968429</v>
      </c>
      <c r="V956" s="43">
        <f t="shared" si="207"/>
        <v>6.3064999999999996E-4</v>
      </c>
      <c r="W956" s="230">
        <f t="shared" si="208"/>
        <v>5.8734496531427371E-2</v>
      </c>
      <c r="X956" s="43">
        <f t="shared" si="209"/>
        <v>0.893504309</v>
      </c>
      <c r="Y956" s="43">
        <v>12.263790180000001</v>
      </c>
      <c r="Z956" s="43">
        <f t="shared" si="198"/>
        <v>0</v>
      </c>
      <c r="AA956" s="43">
        <f t="shared" si="199"/>
        <v>58427</v>
      </c>
      <c r="AB956" s="43">
        <f t="shared" si="200"/>
        <v>20964</v>
      </c>
      <c r="AC956" s="43">
        <f t="shared" si="210"/>
        <v>2.1965121632062434E-2</v>
      </c>
      <c r="AD956" s="43">
        <f t="shared" si="211"/>
        <v>0.90685301037719301</v>
      </c>
      <c r="AF956" s="43">
        <v>17.355240123135026</v>
      </c>
      <c r="AG956" s="43">
        <v>1.367998E-2</v>
      </c>
      <c r="AH956" s="43">
        <v>1.4193590000000001E-2</v>
      </c>
      <c r="AI956" s="43">
        <v>0.89880238999999995</v>
      </c>
      <c r="AJ956" s="43">
        <v>3.2622761410000001</v>
      </c>
      <c r="AK956" s="43">
        <v>10.20968429</v>
      </c>
      <c r="AL956" s="43">
        <v>6.3064999999999996E-4</v>
      </c>
      <c r="AM956" s="230">
        <v>5.8734496531427371E-2</v>
      </c>
      <c r="AN956" s="43">
        <v>0.893504309</v>
      </c>
    </row>
    <row r="957" spans="1:40" x14ac:dyDescent="0.25">
      <c r="A957" s="134">
        <v>947</v>
      </c>
      <c r="B957" s="134" t="s">
        <v>207</v>
      </c>
      <c r="C957" s="134" t="s">
        <v>205</v>
      </c>
      <c r="D957" s="134" t="s">
        <v>62</v>
      </c>
      <c r="E957" s="134">
        <v>278</v>
      </c>
      <c r="F957" s="134">
        <v>747</v>
      </c>
      <c r="G957" s="134">
        <v>292</v>
      </c>
      <c r="H957" s="134">
        <v>0</v>
      </c>
      <c r="I957" s="200">
        <v>0.482697312978</v>
      </c>
      <c r="J957" s="134">
        <v>747</v>
      </c>
      <c r="K957" s="134">
        <v>1547.5536737299999</v>
      </c>
      <c r="L957" s="42">
        <v>0.92338238729300004</v>
      </c>
      <c r="M957" s="42">
        <v>0</v>
      </c>
      <c r="N957" s="134">
        <v>0</v>
      </c>
      <c r="O957" s="43" t="s">
        <v>665</v>
      </c>
      <c r="P957" s="43">
        <f t="shared" si="201"/>
        <v>18.073868636872156</v>
      </c>
      <c r="Q957" s="43">
        <f t="shared" si="202"/>
        <v>1.3842386999999999E-2</v>
      </c>
      <c r="R957" s="43">
        <f t="shared" si="203"/>
        <v>1.4266310000000001E-2</v>
      </c>
      <c r="S957" s="43">
        <f t="shared" si="204"/>
        <v>0.92338238699999997</v>
      </c>
      <c r="T957" s="43">
        <f t="shared" si="205"/>
        <v>3.8786039450000001</v>
      </c>
      <c r="U957" s="43">
        <f t="shared" si="206"/>
        <v>11.726451819999999</v>
      </c>
      <c r="V957" s="43">
        <f t="shared" si="207"/>
        <v>4.9197200000000003E-4</v>
      </c>
      <c r="W957" s="230">
        <f t="shared" si="208"/>
        <v>5.8589382351625738E-2</v>
      </c>
      <c r="X957" s="43">
        <f t="shared" si="209"/>
        <v>0.89570195399999997</v>
      </c>
      <c r="Y957" s="43">
        <v>44.594244949999997</v>
      </c>
      <c r="Z957" s="43">
        <f t="shared" si="198"/>
        <v>0</v>
      </c>
      <c r="AA957" s="43">
        <f t="shared" si="199"/>
        <v>58427</v>
      </c>
      <c r="AB957" s="43">
        <f t="shared" si="200"/>
        <v>20964</v>
      </c>
      <c r="AC957" s="43">
        <f t="shared" si="210"/>
        <v>2.1965121632062434E-2</v>
      </c>
      <c r="AD957" s="43">
        <f t="shared" si="211"/>
        <v>0.90685301037719301</v>
      </c>
      <c r="AF957" s="43">
        <v>18.073868636872156</v>
      </c>
      <c r="AG957" s="43">
        <v>1.3842386999999999E-2</v>
      </c>
      <c r="AH957" s="43">
        <v>1.4266310000000001E-2</v>
      </c>
      <c r="AI957" s="43">
        <v>0.92338238699999997</v>
      </c>
      <c r="AJ957" s="43">
        <v>3.8786039450000001</v>
      </c>
      <c r="AK957" s="43">
        <v>11.726451819999999</v>
      </c>
      <c r="AL957" s="43">
        <v>4.9197200000000003E-4</v>
      </c>
      <c r="AM957" s="230">
        <v>5.8589382351625738E-2</v>
      </c>
      <c r="AN957" s="43">
        <v>0.89570195399999997</v>
      </c>
    </row>
    <row r="958" spans="1:40" x14ac:dyDescent="0.25">
      <c r="A958" s="134">
        <v>948</v>
      </c>
      <c r="B958" s="134" t="s">
        <v>207</v>
      </c>
      <c r="C958" s="134" t="s">
        <v>205</v>
      </c>
      <c r="D958" s="134" t="s">
        <v>62</v>
      </c>
      <c r="E958" s="134">
        <v>222</v>
      </c>
      <c r="F958" s="134">
        <v>598</v>
      </c>
      <c r="G958" s="134">
        <v>168</v>
      </c>
      <c r="H958" s="134">
        <v>33</v>
      </c>
      <c r="I958" s="200">
        <v>0.138263927929</v>
      </c>
      <c r="J958" s="134">
        <v>631</v>
      </c>
      <c r="K958" s="134">
        <v>4563.73552707</v>
      </c>
      <c r="L958" s="42">
        <v>0.90692952404799998</v>
      </c>
      <c r="M958" s="42">
        <v>0.12941176470599999</v>
      </c>
      <c r="N958" s="134">
        <v>0</v>
      </c>
      <c r="O958" s="43" t="s">
        <v>665</v>
      </c>
      <c r="P958" s="43">
        <f t="shared" si="201"/>
        <v>16.905624534996932</v>
      </c>
      <c r="Q958" s="43">
        <f t="shared" si="202"/>
        <v>1.0331224999999999E-2</v>
      </c>
      <c r="R958" s="43">
        <f t="shared" si="203"/>
        <v>1.2710538E-2</v>
      </c>
      <c r="S958" s="43">
        <f t="shared" si="204"/>
        <v>0.90692952400000004</v>
      </c>
      <c r="T958" s="43">
        <f t="shared" si="205"/>
        <v>3.124650838</v>
      </c>
      <c r="U958" s="43">
        <f t="shared" si="206"/>
        <v>9.8175327110000001</v>
      </c>
      <c r="V958" s="43">
        <f t="shared" si="207"/>
        <v>4.2629799999999998E-4</v>
      </c>
      <c r="W958" s="230">
        <f t="shared" si="208"/>
        <v>4.7129594543387644E-2</v>
      </c>
      <c r="X958" s="43">
        <f t="shared" si="209"/>
        <v>0.90086206899999999</v>
      </c>
      <c r="Y958" s="43">
        <v>45.113877260000002</v>
      </c>
      <c r="Z958" s="43">
        <f t="shared" si="198"/>
        <v>0</v>
      </c>
      <c r="AA958" s="43">
        <f t="shared" si="199"/>
        <v>58427</v>
      </c>
      <c r="AB958" s="43">
        <f t="shared" si="200"/>
        <v>20964</v>
      </c>
      <c r="AC958" s="43">
        <f t="shared" si="210"/>
        <v>2.1965121632062434E-2</v>
      </c>
      <c r="AD958" s="43">
        <f t="shared" si="211"/>
        <v>0.90685301037719301</v>
      </c>
      <c r="AF958" s="43">
        <v>16.905624534996932</v>
      </c>
      <c r="AG958" s="43">
        <v>1.0331224999999999E-2</v>
      </c>
      <c r="AH958" s="43">
        <v>1.2710538E-2</v>
      </c>
      <c r="AI958" s="43">
        <v>0.90692952400000004</v>
      </c>
      <c r="AJ958" s="43">
        <v>3.124650838</v>
      </c>
      <c r="AK958" s="43">
        <v>9.8175327110000001</v>
      </c>
      <c r="AL958" s="43">
        <v>4.2629799999999998E-4</v>
      </c>
      <c r="AM958" s="230">
        <v>4.7129594543387644E-2</v>
      </c>
      <c r="AN958" s="43">
        <v>0.90086206899999999</v>
      </c>
    </row>
    <row r="959" spans="1:40" x14ac:dyDescent="0.25">
      <c r="A959" s="134">
        <v>949</v>
      </c>
      <c r="B959" s="134" t="s">
        <v>207</v>
      </c>
      <c r="C959" s="134" t="s">
        <v>205</v>
      </c>
      <c r="D959" s="134" t="s">
        <v>62</v>
      </c>
      <c r="E959" s="134">
        <v>170</v>
      </c>
      <c r="F959" s="134">
        <v>456</v>
      </c>
      <c r="G959" s="134">
        <v>136</v>
      </c>
      <c r="H959" s="134">
        <v>0</v>
      </c>
      <c r="I959" s="200">
        <v>0.105800570203</v>
      </c>
      <c r="J959" s="134">
        <v>456</v>
      </c>
      <c r="K959" s="134">
        <v>4309.9956751099999</v>
      </c>
      <c r="L959" s="42">
        <v>0.91209397777900003</v>
      </c>
      <c r="M959" s="42">
        <v>0</v>
      </c>
      <c r="N959" s="134">
        <v>0</v>
      </c>
      <c r="O959" s="43" t="s">
        <v>665</v>
      </c>
      <c r="P959" s="43">
        <f t="shared" si="201"/>
        <v>17.485758375833459</v>
      </c>
      <c r="Q959" s="43">
        <f t="shared" si="202"/>
        <v>1.2200127E-2</v>
      </c>
      <c r="R959" s="43">
        <f t="shared" si="203"/>
        <v>1.3275777000000001E-2</v>
      </c>
      <c r="S959" s="43">
        <f t="shared" si="204"/>
        <v>0.91209397800000003</v>
      </c>
      <c r="T959" s="43">
        <f t="shared" si="205"/>
        <v>3.3969181719999999</v>
      </c>
      <c r="U959" s="43">
        <f t="shared" si="206"/>
        <v>10.701300829999999</v>
      </c>
      <c r="V959" s="43">
        <f t="shared" si="207"/>
        <v>3.6689200000000001E-4</v>
      </c>
      <c r="W959" s="230">
        <f t="shared" si="208"/>
        <v>5.5914294100381567E-2</v>
      </c>
      <c r="X959" s="43">
        <f t="shared" si="209"/>
        <v>0.87848547099999996</v>
      </c>
      <c r="Y959" s="43">
        <v>44.727283499999999</v>
      </c>
      <c r="Z959" s="43">
        <f t="shared" si="198"/>
        <v>0</v>
      </c>
      <c r="AA959" s="43">
        <f t="shared" si="199"/>
        <v>58427</v>
      </c>
      <c r="AB959" s="43">
        <f t="shared" si="200"/>
        <v>20964</v>
      </c>
      <c r="AC959" s="43">
        <f t="shared" si="210"/>
        <v>2.1965121632062434E-2</v>
      </c>
      <c r="AD959" s="43">
        <f t="shared" si="211"/>
        <v>0.90685301037719301</v>
      </c>
      <c r="AF959" s="43">
        <v>17.485758375833459</v>
      </c>
      <c r="AG959" s="43">
        <v>1.2200127E-2</v>
      </c>
      <c r="AH959" s="43">
        <v>1.3275777000000001E-2</v>
      </c>
      <c r="AI959" s="43">
        <v>0.91209397800000003</v>
      </c>
      <c r="AJ959" s="43">
        <v>3.3969181719999999</v>
      </c>
      <c r="AK959" s="43">
        <v>10.701300829999999</v>
      </c>
      <c r="AL959" s="43">
        <v>3.6689200000000001E-4</v>
      </c>
      <c r="AM959" s="230">
        <v>5.5914294100381567E-2</v>
      </c>
      <c r="AN959" s="43">
        <v>0.87848547099999996</v>
      </c>
    </row>
    <row r="960" spans="1:40" x14ac:dyDescent="0.25">
      <c r="A960" s="134">
        <v>950</v>
      </c>
      <c r="B960" s="134" t="s">
        <v>207</v>
      </c>
      <c r="C960" s="134" t="s">
        <v>205</v>
      </c>
      <c r="D960" s="134" t="s">
        <v>62</v>
      </c>
      <c r="E960" s="134">
        <v>418</v>
      </c>
      <c r="F960" s="134">
        <v>1124</v>
      </c>
      <c r="G960" s="134">
        <v>824</v>
      </c>
      <c r="H960" s="134">
        <v>50</v>
      </c>
      <c r="I960" s="200">
        <v>1.3617368007399999</v>
      </c>
      <c r="J960" s="134">
        <v>1174</v>
      </c>
      <c r="K960" s="134">
        <v>862.134297436</v>
      </c>
      <c r="L960" s="42">
        <v>0.92038932818499997</v>
      </c>
      <c r="M960" s="42">
        <v>0.106837606838</v>
      </c>
      <c r="N960" s="134">
        <v>0</v>
      </c>
      <c r="O960" s="43" t="s">
        <v>665</v>
      </c>
      <c r="P960" s="43">
        <f t="shared" si="201"/>
        <v>19.86419935331886</v>
      </c>
      <c r="Q960" s="43">
        <f t="shared" si="202"/>
        <v>1.6166534E-2</v>
      </c>
      <c r="R960" s="43">
        <f t="shared" si="203"/>
        <v>1.2828620000000001E-2</v>
      </c>
      <c r="S960" s="43">
        <f t="shared" si="204"/>
        <v>0.92038932799999995</v>
      </c>
      <c r="T960" s="43">
        <f t="shared" si="205"/>
        <v>4.1300556589999999</v>
      </c>
      <c r="U960" s="43">
        <f t="shared" si="206"/>
        <v>13.656567130000001</v>
      </c>
      <c r="V960" s="43">
        <f t="shared" si="207"/>
        <v>2.29504E-4</v>
      </c>
      <c r="W960" s="230">
        <f t="shared" si="208"/>
        <v>6.5663649113859496E-2</v>
      </c>
      <c r="X960" s="43">
        <f t="shared" si="209"/>
        <v>0.90822389400000003</v>
      </c>
      <c r="Y960" s="43">
        <v>11.35863367</v>
      </c>
      <c r="Z960" s="43">
        <f t="shared" si="198"/>
        <v>0</v>
      </c>
      <c r="AA960" s="43">
        <f t="shared" si="199"/>
        <v>58427</v>
      </c>
      <c r="AB960" s="43">
        <f t="shared" si="200"/>
        <v>20964</v>
      </c>
      <c r="AC960" s="43">
        <f t="shared" si="210"/>
        <v>2.1965121632062434E-2</v>
      </c>
      <c r="AD960" s="43">
        <f t="shared" si="211"/>
        <v>0.90685301037719301</v>
      </c>
      <c r="AF960" s="43">
        <v>19.86419935331886</v>
      </c>
      <c r="AG960" s="43">
        <v>1.6166534E-2</v>
      </c>
      <c r="AH960" s="43">
        <v>1.2828620000000001E-2</v>
      </c>
      <c r="AI960" s="43">
        <v>0.92038932799999995</v>
      </c>
      <c r="AJ960" s="43">
        <v>4.1300556589999999</v>
      </c>
      <c r="AK960" s="43">
        <v>13.656567130000001</v>
      </c>
      <c r="AL960" s="43">
        <v>2.29504E-4</v>
      </c>
      <c r="AM960" s="230">
        <v>6.5663649113859496E-2</v>
      </c>
      <c r="AN960" s="43">
        <v>0.90822389400000003</v>
      </c>
    </row>
    <row r="961" spans="1:40" x14ac:dyDescent="0.25">
      <c r="A961" s="134">
        <v>951</v>
      </c>
      <c r="B961" s="134" t="s">
        <v>207</v>
      </c>
      <c r="C961" s="134" t="s">
        <v>205</v>
      </c>
      <c r="D961" s="134" t="s">
        <v>62</v>
      </c>
      <c r="E961" s="134">
        <v>220</v>
      </c>
      <c r="F961" s="134">
        <v>648</v>
      </c>
      <c r="G961" s="134">
        <v>137</v>
      </c>
      <c r="H961" s="134">
        <v>0</v>
      </c>
      <c r="I961" s="200">
        <v>7.7448352779400001E-2</v>
      </c>
      <c r="J961" s="134">
        <v>648</v>
      </c>
      <c r="K961" s="134">
        <v>8366.8661339499995</v>
      </c>
      <c r="L961" s="42">
        <v>0.901292916123</v>
      </c>
      <c r="M961" s="42">
        <v>0</v>
      </c>
      <c r="N961" s="134">
        <v>0</v>
      </c>
      <c r="O961" s="43" t="s">
        <v>666</v>
      </c>
      <c r="P961" s="43">
        <f t="shared" si="201"/>
        <v>17.520519965930987</v>
      </c>
      <c r="Q961" s="43">
        <f t="shared" si="202"/>
        <v>1.2614080999999999E-2</v>
      </c>
      <c r="R961" s="43">
        <f t="shared" si="203"/>
        <v>1.4167753E-2</v>
      </c>
      <c r="S961" s="43">
        <f t="shared" si="204"/>
        <v>0.90129291600000006</v>
      </c>
      <c r="T961" s="43">
        <f t="shared" si="205"/>
        <v>3.1522411130000001</v>
      </c>
      <c r="U961" s="43">
        <f t="shared" si="206"/>
        <v>10.654068130000001</v>
      </c>
      <c r="V961" s="43">
        <f t="shared" si="207"/>
        <v>6.3845799999999995E-4</v>
      </c>
      <c r="W961" s="230">
        <f t="shared" si="208"/>
        <v>5.9550757443844679E-2</v>
      </c>
      <c r="X961" s="43">
        <f t="shared" si="209"/>
        <v>0.88327819399999996</v>
      </c>
      <c r="Y961" s="43">
        <v>112.87083250000001</v>
      </c>
      <c r="Z961" s="43">
        <f t="shared" si="198"/>
        <v>0</v>
      </c>
      <c r="AA961" s="43">
        <f t="shared" si="199"/>
        <v>58427</v>
      </c>
      <c r="AB961" s="43">
        <f t="shared" si="200"/>
        <v>20964</v>
      </c>
      <c r="AC961" s="43">
        <f t="shared" si="210"/>
        <v>2.1965121632062434E-2</v>
      </c>
      <c r="AD961" s="43">
        <f t="shared" si="211"/>
        <v>0.90685301037719301</v>
      </c>
      <c r="AF961" s="43">
        <v>17.520519965930987</v>
      </c>
      <c r="AG961" s="43">
        <v>1.2614080999999999E-2</v>
      </c>
      <c r="AH961" s="43">
        <v>1.4167753E-2</v>
      </c>
      <c r="AI961" s="43">
        <v>0.90129291600000006</v>
      </c>
      <c r="AJ961" s="43">
        <v>3.1522411130000001</v>
      </c>
      <c r="AK961" s="43">
        <v>10.654068130000001</v>
      </c>
      <c r="AL961" s="43">
        <v>6.3845799999999995E-4</v>
      </c>
      <c r="AM961" s="230">
        <v>5.9550757443844679E-2</v>
      </c>
      <c r="AN961" s="43">
        <v>0.88327819399999996</v>
      </c>
    </row>
    <row r="962" spans="1:40" x14ac:dyDescent="0.25">
      <c r="A962" s="134">
        <v>952</v>
      </c>
      <c r="B962" s="134" t="s">
        <v>207</v>
      </c>
      <c r="C962" s="134" t="s">
        <v>205</v>
      </c>
      <c r="D962" s="134" t="s">
        <v>62</v>
      </c>
      <c r="E962" s="134">
        <v>531</v>
      </c>
      <c r="F962" s="134">
        <v>1563</v>
      </c>
      <c r="G962" s="134">
        <v>123</v>
      </c>
      <c r="H962" s="134">
        <v>37</v>
      </c>
      <c r="I962" s="200">
        <v>0.21787397273799999</v>
      </c>
      <c r="J962" s="134">
        <v>1600</v>
      </c>
      <c r="K962" s="134">
        <v>7343.69498062</v>
      </c>
      <c r="L962" s="42">
        <v>0.88487269741600005</v>
      </c>
      <c r="M962" s="42">
        <v>6.5140845070399994E-2</v>
      </c>
      <c r="N962" s="134">
        <v>0</v>
      </c>
      <c r="O962" s="43" t="s">
        <v>666</v>
      </c>
      <c r="P962" s="43">
        <f t="shared" si="201"/>
        <v>16.201698311686449</v>
      </c>
      <c r="Q962" s="43">
        <f t="shared" si="202"/>
        <v>2.0097007E-2</v>
      </c>
      <c r="R962" s="43">
        <f t="shared" si="203"/>
        <v>1.4490219E-2</v>
      </c>
      <c r="S962" s="43">
        <f t="shared" si="204"/>
        <v>0.88487269700000004</v>
      </c>
      <c r="T962" s="43">
        <f t="shared" si="205"/>
        <v>2.770814213</v>
      </c>
      <c r="U962" s="43">
        <f t="shared" si="206"/>
        <v>9.2136216060000002</v>
      </c>
      <c r="V962" s="43">
        <f t="shared" si="207"/>
        <v>1.2102809999999999E-3</v>
      </c>
      <c r="W962" s="230">
        <f t="shared" si="208"/>
        <v>5.7015227532787607E-2</v>
      </c>
      <c r="X962" s="43">
        <f t="shared" si="209"/>
        <v>0.91032919599999995</v>
      </c>
      <c r="Y962" s="43">
        <v>163.9926285</v>
      </c>
      <c r="Z962" s="43">
        <f t="shared" si="198"/>
        <v>0</v>
      </c>
      <c r="AA962" s="43">
        <f t="shared" si="199"/>
        <v>58427</v>
      </c>
      <c r="AB962" s="43">
        <f t="shared" si="200"/>
        <v>20964</v>
      </c>
      <c r="AC962" s="43">
        <f t="shared" si="210"/>
        <v>2.1965121632062434E-2</v>
      </c>
      <c r="AD962" s="43">
        <f t="shared" si="211"/>
        <v>0.90685301037719301</v>
      </c>
      <c r="AF962" s="43">
        <v>16.201698311686449</v>
      </c>
      <c r="AG962" s="43">
        <v>2.0097007E-2</v>
      </c>
      <c r="AH962" s="43">
        <v>1.4490219E-2</v>
      </c>
      <c r="AI962" s="43">
        <v>0.88487269700000004</v>
      </c>
      <c r="AJ962" s="43">
        <v>2.770814213</v>
      </c>
      <c r="AK962" s="43">
        <v>9.2136216060000002</v>
      </c>
      <c r="AL962" s="43">
        <v>1.2102809999999999E-3</v>
      </c>
      <c r="AM962" s="230">
        <v>5.7015227532787607E-2</v>
      </c>
      <c r="AN962" s="43">
        <v>0.91032919599999995</v>
      </c>
    </row>
    <row r="963" spans="1:40" x14ac:dyDescent="0.25">
      <c r="A963" s="134">
        <v>953</v>
      </c>
      <c r="B963" s="134" t="s">
        <v>207</v>
      </c>
      <c r="C963" s="134" t="s">
        <v>205</v>
      </c>
      <c r="D963" s="134" t="s">
        <v>62</v>
      </c>
      <c r="E963" s="134">
        <v>0</v>
      </c>
      <c r="F963" s="134">
        <v>0</v>
      </c>
      <c r="G963" s="134">
        <v>21</v>
      </c>
      <c r="H963" s="134">
        <v>424</v>
      </c>
      <c r="I963" s="200">
        <v>3.3250578955999997E-2</v>
      </c>
      <c r="J963" s="134">
        <v>424</v>
      </c>
      <c r="K963" s="134">
        <v>12751.6576647</v>
      </c>
      <c r="L963" s="42">
        <v>0.88330923480800005</v>
      </c>
      <c r="M963" s="42">
        <v>1</v>
      </c>
      <c r="N963" s="134">
        <v>0</v>
      </c>
      <c r="O963" s="43" t="s">
        <v>666</v>
      </c>
      <c r="P963" s="43">
        <f t="shared" si="201"/>
        <v>14.984481939329788</v>
      </c>
      <c r="Q963" s="43">
        <f t="shared" si="202"/>
        <v>1.7017997999999999E-2</v>
      </c>
      <c r="R963" s="43">
        <f t="shared" si="203"/>
        <v>7.8764130000000005E-3</v>
      </c>
      <c r="S963" s="43">
        <f t="shared" si="204"/>
        <v>0.88330923500000003</v>
      </c>
      <c r="T963" s="43">
        <f t="shared" si="205"/>
        <v>2.58716707</v>
      </c>
      <c r="U963" s="43">
        <f t="shared" si="206"/>
        <v>7.8912187779999998</v>
      </c>
      <c r="V963" s="43">
        <f t="shared" si="207"/>
        <v>3.1215769999999999E-3</v>
      </c>
      <c r="W963" s="230">
        <f t="shared" si="208"/>
        <v>1.9605695509309969E-2</v>
      </c>
      <c r="X963" s="43">
        <f t="shared" si="209"/>
        <v>0.91095290299999998</v>
      </c>
      <c r="Y963" s="43">
        <v>51.890179439999997</v>
      </c>
      <c r="Z963" s="43">
        <f t="shared" si="198"/>
        <v>0</v>
      </c>
      <c r="AA963" s="43">
        <f t="shared" si="199"/>
        <v>58427</v>
      </c>
      <c r="AB963" s="43">
        <f t="shared" si="200"/>
        <v>20964</v>
      </c>
      <c r="AC963" s="43">
        <f t="shared" si="210"/>
        <v>2.1965121632062434E-2</v>
      </c>
      <c r="AD963" s="43">
        <f t="shared" si="211"/>
        <v>0.90685301037719301</v>
      </c>
      <c r="AF963" s="43">
        <v>14.984481939329788</v>
      </c>
      <c r="AG963" s="43">
        <v>1.7017997999999999E-2</v>
      </c>
      <c r="AH963" s="43">
        <v>7.8764130000000005E-3</v>
      </c>
      <c r="AI963" s="43">
        <v>0.88330923500000003</v>
      </c>
      <c r="AJ963" s="43">
        <v>2.58716707</v>
      </c>
      <c r="AK963" s="43">
        <v>7.8912187779999998</v>
      </c>
      <c r="AL963" s="43">
        <v>3.1215769999999999E-3</v>
      </c>
      <c r="AM963" s="230">
        <v>1.9605695509309969E-2</v>
      </c>
      <c r="AN963" s="43">
        <v>0.91095290299999998</v>
      </c>
    </row>
    <row r="964" spans="1:40" x14ac:dyDescent="0.25">
      <c r="A964" s="134">
        <v>954</v>
      </c>
      <c r="B964" s="134" t="s">
        <v>207</v>
      </c>
      <c r="C964" s="134" t="s">
        <v>205</v>
      </c>
      <c r="D964" s="134" t="s">
        <v>62</v>
      </c>
      <c r="E964" s="134">
        <v>300</v>
      </c>
      <c r="F964" s="134">
        <v>881</v>
      </c>
      <c r="G964" s="134">
        <v>93</v>
      </c>
      <c r="H964" s="134">
        <v>106</v>
      </c>
      <c r="I964" s="200">
        <v>0.16418856184399999</v>
      </c>
      <c r="J964" s="134">
        <v>987</v>
      </c>
      <c r="K964" s="134">
        <v>6011.3809933900002</v>
      </c>
      <c r="L964" s="42">
        <v>0.90358145864100003</v>
      </c>
      <c r="M964" s="42">
        <v>0.261083743842</v>
      </c>
      <c r="N964" s="134">
        <v>0</v>
      </c>
      <c r="O964" s="43" t="s">
        <v>666</v>
      </c>
      <c r="P964" s="43">
        <f t="shared" si="201"/>
        <v>16.623357025067101</v>
      </c>
      <c r="Q964" s="43">
        <f t="shared" si="202"/>
        <v>8.9695710000000008E-3</v>
      </c>
      <c r="R964" s="43">
        <f t="shared" si="203"/>
        <v>1.3457251E-2</v>
      </c>
      <c r="S964" s="43">
        <f t="shared" si="204"/>
        <v>0.90358145899999998</v>
      </c>
      <c r="T964" s="43">
        <f t="shared" si="205"/>
        <v>3.020056071</v>
      </c>
      <c r="U964" s="43">
        <f t="shared" si="206"/>
        <v>9.9588872399999993</v>
      </c>
      <c r="V964" s="43">
        <f t="shared" si="207"/>
        <v>1.6632140000000001E-3</v>
      </c>
      <c r="W964" s="230">
        <f t="shared" si="208"/>
        <v>3.5160923229552686E-2</v>
      </c>
      <c r="X964" s="43">
        <f t="shared" si="209"/>
        <v>0.92474687099999997</v>
      </c>
      <c r="Y964" s="43">
        <v>51.61654721</v>
      </c>
      <c r="Z964" s="43">
        <f t="shared" si="198"/>
        <v>0</v>
      </c>
      <c r="AA964" s="43">
        <f t="shared" si="199"/>
        <v>58427</v>
      </c>
      <c r="AB964" s="43">
        <f t="shared" si="200"/>
        <v>20964</v>
      </c>
      <c r="AC964" s="43">
        <f t="shared" si="210"/>
        <v>2.1965121632062434E-2</v>
      </c>
      <c r="AD964" s="43">
        <f t="shared" si="211"/>
        <v>0.90685301037719301</v>
      </c>
      <c r="AF964" s="43">
        <v>16.623357025067101</v>
      </c>
      <c r="AG964" s="43">
        <v>8.9695710000000008E-3</v>
      </c>
      <c r="AH964" s="43">
        <v>1.3457251E-2</v>
      </c>
      <c r="AI964" s="43">
        <v>0.90358145899999998</v>
      </c>
      <c r="AJ964" s="43">
        <v>3.020056071</v>
      </c>
      <c r="AK964" s="43">
        <v>9.9588872399999993</v>
      </c>
      <c r="AL964" s="43">
        <v>1.6632140000000001E-3</v>
      </c>
      <c r="AM964" s="230">
        <v>3.5160923229552686E-2</v>
      </c>
      <c r="AN964" s="43">
        <v>0.92474687099999997</v>
      </c>
    </row>
    <row r="965" spans="1:40" x14ac:dyDescent="0.25">
      <c r="A965" s="134">
        <v>955</v>
      </c>
      <c r="B965" s="134" t="s">
        <v>207</v>
      </c>
      <c r="C965" s="134" t="s">
        <v>205</v>
      </c>
      <c r="D965" s="134" t="s">
        <v>62</v>
      </c>
      <c r="E965" s="134">
        <v>409</v>
      </c>
      <c r="F965" s="134">
        <v>1202</v>
      </c>
      <c r="G965" s="134">
        <v>84</v>
      </c>
      <c r="H965" s="134">
        <v>0</v>
      </c>
      <c r="I965" s="200">
        <v>0.14783268369200001</v>
      </c>
      <c r="J965" s="134">
        <v>1202</v>
      </c>
      <c r="K965" s="134">
        <v>8130.8136332200002</v>
      </c>
      <c r="L965" s="42">
        <v>0.85859132716999997</v>
      </c>
      <c r="M965" s="42">
        <v>0</v>
      </c>
      <c r="N965" s="134">
        <v>0</v>
      </c>
      <c r="O965" s="43" t="s">
        <v>666</v>
      </c>
      <c r="P965" s="43">
        <f t="shared" si="201"/>
        <v>15.905313823010802</v>
      </c>
      <c r="Q965" s="43">
        <f t="shared" si="202"/>
        <v>2.1437860999999999E-2</v>
      </c>
      <c r="R965" s="43">
        <f t="shared" si="203"/>
        <v>1.5394302E-2</v>
      </c>
      <c r="S965" s="43">
        <f t="shared" si="204"/>
        <v>0.85859132699999996</v>
      </c>
      <c r="T965" s="43">
        <f t="shared" si="205"/>
        <v>2.72193437</v>
      </c>
      <c r="U965" s="43">
        <f t="shared" si="206"/>
        <v>8.9228488929999994</v>
      </c>
      <c r="V965" s="43">
        <f t="shared" si="207"/>
        <v>1.798617E-3</v>
      </c>
      <c r="W965" s="230">
        <f t="shared" si="208"/>
        <v>6.1711166930257071E-2</v>
      </c>
      <c r="X965" s="43">
        <f t="shared" si="209"/>
        <v>0.88507458100000003</v>
      </c>
      <c r="Y965" s="43">
        <v>54.095876769999997</v>
      </c>
      <c r="Z965" s="43">
        <f t="shared" si="198"/>
        <v>0</v>
      </c>
      <c r="AA965" s="43">
        <f t="shared" si="199"/>
        <v>58427</v>
      </c>
      <c r="AB965" s="43">
        <f t="shared" si="200"/>
        <v>20964</v>
      </c>
      <c r="AC965" s="43">
        <f t="shared" si="210"/>
        <v>2.1965121632062434E-2</v>
      </c>
      <c r="AD965" s="43">
        <f t="shared" si="211"/>
        <v>0.90685301037719301</v>
      </c>
      <c r="AF965" s="43">
        <v>15.905313823010802</v>
      </c>
      <c r="AG965" s="43">
        <v>2.1437860999999999E-2</v>
      </c>
      <c r="AH965" s="43">
        <v>1.5394302E-2</v>
      </c>
      <c r="AI965" s="43">
        <v>0.85859132699999996</v>
      </c>
      <c r="AJ965" s="43">
        <v>2.72193437</v>
      </c>
      <c r="AK965" s="43">
        <v>8.9228488929999994</v>
      </c>
      <c r="AL965" s="43">
        <v>1.798617E-3</v>
      </c>
      <c r="AM965" s="230">
        <v>6.1711166930257071E-2</v>
      </c>
      <c r="AN965" s="43">
        <v>0.88507458100000003</v>
      </c>
    </row>
    <row r="966" spans="1:40" x14ac:dyDescent="0.25">
      <c r="A966" s="134">
        <v>956</v>
      </c>
      <c r="B966" s="134" t="s">
        <v>207</v>
      </c>
      <c r="C966" s="134" t="s">
        <v>205</v>
      </c>
      <c r="D966" s="134" t="s">
        <v>62</v>
      </c>
      <c r="E966" s="134">
        <v>0</v>
      </c>
      <c r="F966" s="134">
        <v>0</v>
      </c>
      <c r="G966" s="134">
        <v>22</v>
      </c>
      <c r="H966" s="134">
        <v>352</v>
      </c>
      <c r="I966" s="200">
        <v>3.8739224514199998E-2</v>
      </c>
      <c r="J966" s="134">
        <v>352</v>
      </c>
      <c r="K966" s="134">
        <v>9086.3976864399992</v>
      </c>
      <c r="L966" s="42">
        <v>0.88050703896299998</v>
      </c>
      <c r="M966" s="42">
        <v>1</v>
      </c>
      <c r="N966" s="134">
        <v>1</v>
      </c>
      <c r="O966" s="43" t="s">
        <v>664</v>
      </c>
      <c r="P966" s="43">
        <f t="shared" si="201"/>
        <v>15.160780544618746</v>
      </c>
      <c r="Q966" s="43">
        <f t="shared" si="202"/>
        <v>1.5970558999999999E-2</v>
      </c>
      <c r="R966" s="43">
        <f t="shared" si="203"/>
        <v>7.5939019999999996E-3</v>
      </c>
      <c r="S966" s="43">
        <f t="shared" si="204"/>
        <v>0.88050703900000005</v>
      </c>
      <c r="T966" s="43">
        <f t="shared" si="205"/>
        <v>2.6279969059999999</v>
      </c>
      <c r="U966" s="43">
        <f t="shared" si="206"/>
        <v>8.0493987730000001</v>
      </c>
      <c r="V966" s="43">
        <f t="shared" si="207"/>
        <v>2.8504469999999999E-3</v>
      </c>
      <c r="W966" s="230">
        <f t="shared" si="208"/>
        <v>1.7862798505099132E-2</v>
      </c>
      <c r="X966" s="43">
        <f t="shared" si="209"/>
        <v>0.91024260499999998</v>
      </c>
      <c r="Y966" s="43">
        <v>51.838348400000001</v>
      </c>
      <c r="Z966" s="43">
        <f t="shared" si="198"/>
        <v>0</v>
      </c>
      <c r="AA966" s="43">
        <f t="shared" si="199"/>
        <v>58427</v>
      </c>
      <c r="AB966" s="43">
        <f t="shared" si="200"/>
        <v>20964</v>
      </c>
      <c r="AC966" s="43">
        <f t="shared" si="210"/>
        <v>2.1965121632062434E-2</v>
      </c>
      <c r="AD966" s="43">
        <f t="shared" si="211"/>
        <v>0.90685301037719301</v>
      </c>
      <c r="AF966" s="43">
        <v>15.160780544618746</v>
      </c>
      <c r="AG966" s="43">
        <v>1.5970558999999999E-2</v>
      </c>
      <c r="AH966" s="43">
        <v>7.5939019999999996E-3</v>
      </c>
      <c r="AI966" s="43">
        <v>0.88050703900000005</v>
      </c>
      <c r="AJ966" s="43">
        <v>2.6279969059999999</v>
      </c>
      <c r="AK966" s="43">
        <v>8.0493987730000001</v>
      </c>
      <c r="AL966" s="43">
        <v>2.8504469999999999E-3</v>
      </c>
      <c r="AM966" s="230">
        <v>1.7862798505099132E-2</v>
      </c>
      <c r="AN966" s="43">
        <v>0.91024260499999998</v>
      </c>
    </row>
    <row r="967" spans="1:40" x14ac:dyDescent="0.25">
      <c r="A967" s="134">
        <v>957</v>
      </c>
      <c r="B967" s="134" t="s">
        <v>207</v>
      </c>
      <c r="C967" s="134" t="s">
        <v>205</v>
      </c>
      <c r="D967" s="134" t="s">
        <v>62</v>
      </c>
      <c r="E967" s="134">
        <v>0</v>
      </c>
      <c r="F967" s="134">
        <v>0</v>
      </c>
      <c r="G967" s="134">
        <v>56</v>
      </c>
      <c r="H967" s="134">
        <v>1028</v>
      </c>
      <c r="I967" s="200">
        <v>9.8506667229700001E-2</v>
      </c>
      <c r="J967" s="134">
        <v>1028</v>
      </c>
      <c r="K967" s="134">
        <v>10435.8418461</v>
      </c>
      <c r="L967" s="42">
        <v>0.87163888650400001</v>
      </c>
      <c r="M967" s="42">
        <v>1</v>
      </c>
      <c r="N967" s="134">
        <v>1</v>
      </c>
      <c r="O967" s="43" t="s">
        <v>664</v>
      </c>
      <c r="P967" s="43">
        <f t="shared" si="201"/>
        <v>15.5053495934272</v>
      </c>
      <c r="Q967" s="43">
        <f t="shared" si="202"/>
        <v>2.0323059000000001E-2</v>
      </c>
      <c r="R967" s="43">
        <f t="shared" si="203"/>
        <v>7.596106E-3</v>
      </c>
      <c r="S967" s="43">
        <f t="shared" si="204"/>
        <v>0.87163888700000003</v>
      </c>
      <c r="T967" s="43">
        <f t="shared" si="205"/>
        <v>2.538995726</v>
      </c>
      <c r="U967" s="43">
        <f t="shared" si="206"/>
        <v>8.0116915219999996</v>
      </c>
      <c r="V967" s="43">
        <f t="shared" si="207"/>
        <v>3.7228909999999999E-3</v>
      </c>
      <c r="W967" s="230">
        <f t="shared" si="208"/>
        <v>3.2205252416515284E-2</v>
      </c>
      <c r="X967" s="43">
        <f t="shared" si="209"/>
        <v>0.91394738600000003</v>
      </c>
      <c r="Y967" s="43">
        <v>51.838348400000001</v>
      </c>
      <c r="Z967" s="43">
        <f t="shared" si="198"/>
        <v>0</v>
      </c>
      <c r="AA967" s="43">
        <f t="shared" si="199"/>
        <v>58427</v>
      </c>
      <c r="AB967" s="43">
        <f t="shared" si="200"/>
        <v>20964</v>
      </c>
      <c r="AC967" s="43">
        <f t="shared" si="210"/>
        <v>2.1965121632062434E-2</v>
      </c>
      <c r="AD967" s="43">
        <f t="shared" si="211"/>
        <v>0.90685301037719301</v>
      </c>
      <c r="AF967" s="43">
        <v>15.5053495934272</v>
      </c>
      <c r="AG967" s="43">
        <v>2.0323059000000001E-2</v>
      </c>
      <c r="AH967" s="43">
        <v>7.596106E-3</v>
      </c>
      <c r="AI967" s="43">
        <v>0.87163888700000003</v>
      </c>
      <c r="AJ967" s="43">
        <v>2.538995726</v>
      </c>
      <c r="AK967" s="43">
        <v>8.0116915219999996</v>
      </c>
      <c r="AL967" s="43">
        <v>3.7228909999999999E-3</v>
      </c>
      <c r="AM967" s="230">
        <v>3.2205252416515284E-2</v>
      </c>
      <c r="AN967" s="43">
        <v>0.91394738600000003</v>
      </c>
    </row>
    <row r="968" spans="1:40" x14ac:dyDescent="0.25">
      <c r="A968" s="134">
        <v>958</v>
      </c>
      <c r="B968" s="134" t="s">
        <v>207</v>
      </c>
      <c r="C968" s="134" t="s">
        <v>205</v>
      </c>
      <c r="D968" s="134" t="s">
        <v>62</v>
      </c>
      <c r="E968" s="134">
        <v>60</v>
      </c>
      <c r="F968" s="134">
        <v>177</v>
      </c>
      <c r="G968" s="134">
        <v>17</v>
      </c>
      <c r="H968" s="134">
        <v>317</v>
      </c>
      <c r="I968" s="200">
        <v>2.9697415060900002E-2</v>
      </c>
      <c r="J968" s="134">
        <v>494</v>
      </c>
      <c r="K968" s="134">
        <v>16634.444411600001</v>
      </c>
      <c r="L968" s="42">
        <v>0.85685239352200004</v>
      </c>
      <c r="M968" s="42">
        <v>0.84084880636600001</v>
      </c>
      <c r="N968" s="134">
        <v>1</v>
      </c>
      <c r="O968" s="43" t="s">
        <v>664</v>
      </c>
      <c r="P968" s="43">
        <f t="shared" si="201"/>
        <v>15.211592150494324</v>
      </c>
      <c r="Q968" s="43">
        <f t="shared" si="202"/>
        <v>1.9984661000000001E-2</v>
      </c>
      <c r="R968" s="43">
        <f t="shared" si="203"/>
        <v>9.5776560000000004E-3</v>
      </c>
      <c r="S968" s="43">
        <f t="shared" si="204"/>
        <v>0.85685239400000002</v>
      </c>
      <c r="T968" s="43">
        <f t="shared" si="205"/>
        <v>2.4459522699999998</v>
      </c>
      <c r="U968" s="43">
        <f t="shared" si="206"/>
        <v>7.745026556</v>
      </c>
      <c r="V968" s="43">
        <f t="shared" si="207"/>
        <v>3.278979E-3</v>
      </c>
      <c r="W968" s="230">
        <f t="shared" si="208"/>
        <v>3.2745480326125488E-2</v>
      </c>
      <c r="X968" s="43">
        <f t="shared" si="209"/>
        <v>0.88559021599999999</v>
      </c>
      <c r="Y968" s="43">
        <v>62.755689250000003</v>
      </c>
      <c r="Z968" s="43">
        <f t="shared" si="198"/>
        <v>0</v>
      </c>
      <c r="AA968" s="43">
        <f t="shared" si="199"/>
        <v>58427</v>
      </c>
      <c r="AB968" s="43">
        <f t="shared" si="200"/>
        <v>20964</v>
      </c>
      <c r="AC968" s="43">
        <f t="shared" si="210"/>
        <v>2.1965121632062434E-2</v>
      </c>
      <c r="AD968" s="43">
        <f t="shared" si="211"/>
        <v>0.90685301037719301</v>
      </c>
      <c r="AF968" s="43">
        <v>15.211592150494324</v>
      </c>
      <c r="AG968" s="43">
        <v>1.9984661000000001E-2</v>
      </c>
      <c r="AH968" s="43">
        <v>9.5776560000000004E-3</v>
      </c>
      <c r="AI968" s="43">
        <v>0.85685239400000002</v>
      </c>
      <c r="AJ968" s="43">
        <v>2.4459522699999998</v>
      </c>
      <c r="AK968" s="43">
        <v>7.745026556</v>
      </c>
      <c r="AL968" s="43">
        <v>3.278979E-3</v>
      </c>
      <c r="AM968" s="230">
        <v>3.2745480326125488E-2</v>
      </c>
      <c r="AN968" s="43">
        <v>0.88559021599999999</v>
      </c>
    </row>
    <row r="969" spans="1:40" x14ac:dyDescent="0.25">
      <c r="A969" s="134">
        <v>959</v>
      </c>
      <c r="B969" s="134" t="s">
        <v>207</v>
      </c>
      <c r="C969" s="134" t="s">
        <v>205</v>
      </c>
      <c r="D969" s="134" t="s">
        <v>62</v>
      </c>
      <c r="E969" s="134">
        <v>0</v>
      </c>
      <c r="F969" s="134">
        <v>0</v>
      </c>
      <c r="G969" s="134">
        <v>24</v>
      </c>
      <c r="H969" s="134">
        <v>390</v>
      </c>
      <c r="I969" s="200">
        <v>4.23627672786E-2</v>
      </c>
      <c r="J969" s="134">
        <v>390</v>
      </c>
      <c r="K969" s="134">
        <v>9206.1974477399999</v>
      </c>
      <c r="L969" s="42">
        <v>0.86578339206699995</v>
      </c>
      <c r="M969" s="42">
        <v>1</v>
      </c>
      <c r="N969" s="134">
        <v>1</v>
      </c>
      <c r="O969" s="43" t="s">
        <v>664</v>
      </c>
      <c r="P969" s="43">
        <f t="shared" si="201"/>
        <v>15.807666736769265</v>
      </c>
      <c r="Q969" s="43">
        <f t="shared" si="202"/>
        <v>2.1761181000000001E-2</v>
      </c>
      <c r="R969" s="43">
        <f t="shared" si="203"/>
        <v>7.2676700000000004E-3</v>
      </c>
      <c r="S969" s="43">
        <f t="shared" si="204"/>
        <v>0.86578339199999998</v>
      </c>
      <c r="T969" s="43">
        <f t="shared" si="205"/>
        <v>2.6464646460000001</v>
      </c>
      <c r="U969" s="43">
        <f t="shared" si="206"/>
        <v>7.8848529950000001</v>
      </c>
      <c r="V969" s="43">
        <f t="shared" si="207"/>
        <v>2.5108420000000001E-3</v>
      </c>
      <c r="W969" s="230">
        <f t="shared" si="208"/>
        <v>3.05295594613102E-2</v>
      </c>
      <c r="X969" s="43">
        <f t="shared" si="209"/>
        <v>0.89351746200000004</v>
      </c>
      <c r="Y969" s="43">
        <v>49.386845460000004</v>
      </c>
      <c r="Z969" s="43">
        <f t="shared" si="198"/>
        <v>0</v>
      </c>
      <c r="AA969" s="43">
        <f t="shared" si="199"/>
        <v>58427</v>
      </c>
      <c r="AB969" s="43">
        <f t="shared" si="200"/>
        <v>20964</v>
      </c>
      <c r="AC969" s="43">
        <f t="shared" si="210"/>
        <v>2.1965121632062434E-2</v>
      </c>
      <c r="AD969" s="43">
        <f t="shared" si="211"/>
        <v>0.90685301037719301</v>
      </c>
      <c r="AF969" s="43">
        <v>15.807666736769265</v>
      </c>
      <c r="AG969" s="43">
        <v>2.1761181000000001E-2</v>
      </c>
      <c r="AH969" s="43">
        <v>7.2676700000000004E-3</v>
      </c>
      <c r="AI969" s="43">
        <v>0.86578339199999998</v>
      </c>
      <c r="AJ969" s="43">
        <v>2.6464646460000001</v>
      </c>
      <c r="AK969" s="43">
        <v>7.8848529950000001</v>
      </c>
      <c r="AL969" s="43">
        <v>2.5108420000000001E-3</v>
      </c>
      <c r="AM969" s="230">
        <v>3.05295594613102E-2</v>
      </c>
      <c r="AN969" s="43">
        <v>0.89351746200000004</v>
      </c>
    </row>
    <row r="970" spans="1:40" x14ac:dyDescent="0.25">
      <c r="A970" s="134">
        <v>960</v>
      </c>
      <c r="B970" s="134" t="s">
        <v>207</v>
      </c>
      <c r="C970" s="134" t="s">
        <v>205</v>
      </c>
      <c r="D970" s="134" t="s">
        <v>62</v>
      </c>
      <c r="E970" s="134">
        <v>688</v>
      </c>
      <c r="F970" s="134">
        <v>2024</v>
      </c>
      <c r="G970" s="134">
        <v>63</v>
      </c>
      <c r="H970" s="134">
        <v>1732</v>
      </c>
      <c r="I970" s="200">
        <v>0.11033439626200001</v>
      </c>
      <c r="J970" s="134">
        <v>3756</v>
      </c>
      <c r="K970" s="134">
        <v>34041.968119099998</v>
      </c>
      <c r="L970" s="42">
        <v>0.85340542854300006</v>
      </c>
      <c r="M970" s="42">
        <v>0.715702479339</v>
      </c>
      <c r="N970" s="134">
        <v>1</v>
      </c>
      <c r="O970" s="43" t="s">
        <v>664</v>
      </c>
      <c r="P970" s="43">
        <f t="shared" si="201"/>
        <v>15.778216916668349</v>
      </c>
      <c r="Q970" s="43">
        <f t="shared" si="202"/>
        <v>3.0081076000000002E-2</v>
      </c>
      <c r="R970" s="43">
        <f t="shared" si="203"/>
        <v>1.1719458E-2</v>
      </c>
      <c r="S970" s="43">
        <f t="shared" si="204"/>
        <v>0.85340542900000005</v>
      </c>
      <c r="T970" s="43">
        <f t="shared" si="205"/>
        <v>2.7076931339999999</v>
      </c>
      <c r="U970" s="43">
        <f t="shared" si="206"/>
        <v>8.4766595299999992</v>
      </c>
      <c r="V970" s="43">
        <f t="shared" si="207"/>
        <v>6.3861810000000003E-3</v>
      </c>
      <c r="W970" s="230">
        <f t="shared" si="208"/>
        <v>6.6691971658409246E-2</v>
      </c>
      <c r="X970" s="43">
        <f t="shared" si="209"/>
        <v>0.883523787</v>
      </c>
      <c r="Y970" s="43">
        <v>51.723149470000003</v>
      </c>
      <c r="Z970" s="43">
        <f t="shared" si="198"/>
        <v>0</v>
      </c>
      <c r="AA970" s="43">
        <f t="shared" si="199"/>
        <v>58427</v>
      </c>
      <c r="AB970" s="43">
        <f t="shared" si="200"/>
        <v>20964</v>
      </c>
      <c r="AC970" s="43">
        <f t="shared" si="210"/>
        <v>2.1965121632062434E-2</v>
      </c>
      <c r="AD970" s="43">
        <f t="shared" si="211"/>
        <v>0.90685301037719301</v>
      </c>
      <c r="AF970" s="43">
        <v>15.778216916668349</v>
      </c>
      <c r="AG970" s="43">
        <v>3.0081076000000002E-2</v>
      </c>
      <c r="AH970" s="43">
        <v>1.1719458E-2</v>
      </c>
      <c r="AI970" s="43">
        <v>0.85340542900000005</v>
      </c>
      <c r="AJ970" s="43">
        <v>2.7076931339999999</v>
      </c>
      <c r="AK970" s="43">
        <v>8.4766595299999992</v>
      </c>
      <c r="AL970" s="43">
        <v>6.3861810000000003E-3</v>
      </c>
      <c r="AM970" s="230">
        <v>6.6691971658409246E-2</v>
      </c>
      <c r="AN970" s="43">
        <v>0.883523787</v>
      </c>
    </row>
    <row r="971" spans="1:40" x14ac:dyDescent="0.25">
      <c r="A971" s="134">
        <v>961</v>
      </c>
      <c r="B971" s="134" t="s">
        <v>207</v>
      </c>
      <c r="C971" s="134" t="s">
        <v>205</v>
      </c>
      <c r="D971" s="134" t="s">
        <v>62</v>
      </c>
      <c r="E971" s="134">
        <v>0</v>
      </c>
      <c r="F971" s="134">
        <v>0</v>
      </c>
      <c r="G971" s="134">
        <v>11</v>
      </c>
      <c r="H971" s="134">
        <v>284</v>
      </c>
      <c r="I971" s="200">
        <v>2.0744478800799999E-2</v>
      </c>
      <c r="J971" s="134">
        <v>284</v>
      </c>
      <c r="K971" s="134">
        <v>13690.389752700001</v>
      </c>
      <c r="L971" s="42">
        <v>0.86170566386799996</v>
      </c>
      <c r="M971" s="42">
        <v>1</v>
      </c>
      <c r="N971" s="134">
        <v>1</v>
      </c>
      <c r="O971" s="43" t="s">
        <v>664</v>
      </c>
      <c r="P971" s="43">
        <f t="shared" si="201"/>
        <v>15.786699554933785</v>
      </c>
      <c r="Q971" s="43">
        <f t="shared" si="202"/>
        <v>2.5768503000000002E-2</v>
      </c>
      <c r="R971" s="43">
        <f t="shared" si="203"/>
        <v>6.8359520000000002E-3</v>
      </c>
      <c r="S971" s="43">
        <f t="shared" si="204"/>
        <v>0.86170566400000004</v>
      </c>
      <c r="T971" s="43">
        <f t="shared" si="205"/>
        <v>2.615058324</v>
      </c>
      <c r="U971" s="43">
        <f t="shared" si="206"/>
        <v>8.1450509130000004</v>
      </c>
      <c r="V971" s="43">
        <f t="shared" si="207"/>
        <v>2.3840839999999999E-3</v>
      </c>
      <c r="W971" s="230">
        <f t="shared" si="208"/>
        <v>3.8474186122985858E-2</v>
      </c>
      <c r="X971" s="43">
        <f t="shared" si="209"/>
        <v>0.86912199899999998</v>
      </c>
      <c r="Y971" s="43">
        <v>51.838348400000001</v>
      </c>
      <c r="Z971" s="43">
        <f t="shared" ref="Z971:Z1034" si="212">IF(B971="Berkeley",1,0)</f>
        <v>0</v>
      </c>
      <c r="AA971" s="43">
        <f t="shared" ref="AA971:AA1034" si="213">SUMIFS(F:F,B:B,B971)</f>
        <v>58427</v>
      </c>
      <c r="AB971" s="43">
        <f t="shared" ref="AB971:AB1034" si="214">SUMIFS(E:E,B:B,B971)</f>
        <v>20964</v>
      </c>
      <c r="AC971" s="43">
        <f t="shared" si="210"/>
        <v>2.1965121632062434E-2</v>
      </c>
      <c r="AD971" s="43">
        <f t="shared" si="211"/>
        <v>0.90685301037719301</v>
      </c>
      <c r="AF971" s="43">
        <v>15.786699554933785</v>
      </c>
      <c r="AG971" s="43">
        <v>2.5768503000000002E-2</v>
      </c>
      <c r="AH971" s="43">
        <v>6.8359520000000002E-3</v>
      </c>
      <c r="AI971" s="43">
        <v>0.86170566400000004</v>
      </c>
      <c r="AJ971" s="43">
        <v>2.615058324</v>
      </c>
      <c r="AK971" s="43">
        <v>8.1450509130000004</v>
      </c>
      <c r="AL971" s="43">
        <v>2.3840839999999999E-3</v>
      </c>
      <c r="AM971" s="230">
        <v>3.8474186122985858E-2</v>
      </c>
      <c r="AN971" s="43">
        <v>0.86912199899999998</v>
      </c>
    </row>
    <row r="972" spans="1:40" x14ac:dyDescent="0.25">
      <c r="A972" s="134">
        <v>962</v>
      </c>
      <c r="B972" s="134" t="s">
        <v>207</v>
      </c>
      <c r="C972" s="134" t="s">
        <v>205</v>
      </c>
      <c r="D972" s="134" t="s">
        <v>62</v>
      </c>
      <c r="E972" s="134">
        <v>500</v>
      </c>
      <c r="F972" s="134">
        <v>1471</v>
      </c>
      <c r="G972" s="134">
        <v>12</v>
      </c>
      <c r="H972" s="134">
        <v>601</v>
      </c>
      <c r="I972" s="200">
        <v>2.1426478750500001E-2</v>
      </c>
      <c r="J972" s="134">
        <v>2072</v>
      </c>
      <c r="K972" s="134">
        <v>96702.777163100007</v>
      </c>
      <c r="L972" s="42">
        <v>0.824758807112</v>
      </c>
      <c r="M972" s="42">
        <v>0.54586739327900002</v>
      </c>
      <c r="N972" s="134">
        <v>1</v>
      </c>
      <c r="O972" s="43" t="s">
        <v>664</v>
      </c>
      <c r="P972" s="43">
        <f t="shared" ref="P972:P1035" si="215">IF(OR(IFERROR(AF972=0,TRUE),ISERROR(AF972)),AVERAGEIFS(AF:AF,$B:$B,$B972,AF:AF,"&gt;0"),AF972)</f>
        <v>16.141259582319872</v>
      </c>
      <c r="Q972" s="43">
        <f t="shared" ref="Q972:Q1035" si="216">IF(OR(IFERROR(AG972=0,TRUE),ISERROR(AG972)),AVERAGEIFS(AG:AG,$B:$B,$B972,AG:AG,"&gt;0"),AG972)</f>
        <v>3.6681341999999999E-2</v>
      </c>
      <c r="R972" s="43">
        <f t="shared" ref="R972:R1035" si="217">IF(OR(IFERROR(AH972=0,TRUE),ISERROR(AH972)),AVERAGEIFS(AH:AH,$B:$B,$B972,AH:AH,"&gt;0"),AH972)</f>
        <v>1.3413035E-2</v>
      </c>
      <c r="S972" s="43">
        <f t="shared" ref="S972:S1035" si="218">IF(OR(IFERROR(AI972=0,TRUE),ISERROR(AI972)),AVERAGEIFS(AI:AI,$B:$B,$B972,AI:AI,"&gt;0"),AI972)</f>
        <v>0.82475880700000004</v>
      </c>
      <c r="T972" s="43">
        <f t="shared" ref="T972:T1035" si="219">IF(OR(IFERROR(AJ972=0,TRUE),ISERROR(AJ972)),AVERAGEIFS(AJ:AJ,$B:$B,$B972,AJ:AJ,"&gt;0"),AJ972)</f>
        <v>2.6737963050000002</v>
      </c>
      <c r="U972" s="43">
        <f t="shared" ref="U972:U1035" si="220">IF(OR(IFERROR(AK972=0,TRUE),ISERROR(AK972)),AVERAGEIFS(AK:AK,$B:$B,$B972,AK:AK,"&gt;0"),AK972)</f>
        <v>8.4726715559999999</v>
      </c>
      <c r="V972" s="43">
        <f t="shared" ref="V972:V1035" si="221">IF(OR(IFERROR(AL972=0,TRUE),ISERROR(AL972)),AVERAGEIFS(AL:AL,$B:$B,$B972,AL:AL,"&gt;0"),AL972)</f>
        <v>9.0676550000000009E-3</v>
      </c>
      <c r="W972" s="230">
        <f t="shared" ref="W972:W1035" si="222">IF(OR(IFERROR(AM972=0,TRUE),ISERROR(AM972)),AVERAGEIFS(AM:AM,$B:$B,$B972,AM:AM,"&gt;0"),AM972)</f>
        <v>8.3390814508248548E-2</v>
      </c>
      <c r="X972" s="43">
        <f t="shared" ref="X972:X1035" si="223">IF(OR(IFERROR(AN972=0,TRUE),ISERROR(AN972)),AVERAGEIFS(AN:AN,$B:$B,$B972,AN:AN,"&gt;0"),AN972)</f>
        <v>0.84847962300000002</v>
      </c>
      <c r="Y972" s="43">
        <v>51.744383970000001</v>
      </c>
      <c r="Z972" s="43">
        <f t="shared" si="212"/>
        <v>0</v>
      </c>
      <c r="AA972" s="43">
        <f t="shared" si="213"/>
        <v>58427</v>
      </c>
      <c r="AB972" s="43">
        <f t="shared" si="214"/>
        <v>20964</v>
      </c>
      <c r="AC972" s="43">
        <f t="shared" ref="AC972:AC1035" si="224">AVERAGEIFS(Q:Q,B:B,B972,N:N,0,Q:Q,"&gt;0")</f>
        <v>2.1965121632062434E-2</v>
      </c>
      <c r="AD972" s="43">
        <f t="shared" ref="AD972:AD1035" si="225">AVERAGEIFS(S:S,B:B,B972,N:N,0,S:S,"&gt;0")</f>
        <v>0.90685301037719301</v>
      </c>
      <c r="AF972" s="43">
        <v>16.141259582319872</v>
      </c>
      <c r="AG972" s="43">
        <v>3.6681341999999999E-2</v>
      </c>
      <c r="AH972" s="43">
        <v>1.3413035E-2</v>
      </c>
      <c r="AI972" s="43">
        <v>0.82475880700000004</v>
      </c>
      <c r="AJ972" s="43">
        <v>2.6737963050000002</v>
      </c>
      <c r="AK972" s="43">
        <v>8.4726715559999999</v>
      </c>
      <c r="AL972" s="43">
        <v>9.0676550000000009E-3</v>
      </c>
      <c r="AM972" s="230">
        <v>8.3390814508248548E-2</v>
      </c>
      <c r="AN972" s="43">
        <v>0.84847962300000002</v>
      </c>
    </row>
    <row r="973" spans="1:40" x14ac:dyDescent="0.25">
      <c r="A973" s="134">
        <v>963</v>
      </c>
      <c r="B973" s="134" t="s">
        <v>207</v>
      </c>
      <c r="C973" s="134" t="s">
        <v>205</v>
      </c>
      <c r="D973" s="134" t="s">
        <v>62</v>
      </c>
      <c r="E973" s="134">
        <v>256</v>
      </c>
      <c r="F973" s="134">
        <v>753</v>
      </c>
      <c r="G973" s="134">
        <v>19</v>
      </c>
      <c r="H973" s="134">
        <v>119</v>
      </c>
      <c r="I973" s="200">
        <v>3.2880446797600001E-2</v>
      </c>
      <c r="J973" s="134">
        <v>872</v>
      </c>
      <c r="K973" s="134">
        <v>26520.320887599999</v>
      </c>
      <c r="L973" s="42">
        <v>0.84535267495400002</v>
      </c>
      <c r="M973" s="42">
        <v>0.31733333333300001</v>
      </c>
      <c r="N973" s="134">
        <v>0</v>
      </c>
      <c r="O973" s="43" t="s">
        <v>664</v>
      </c>
      <c r="P973" s="43">
        <f t="shared" si="215"/>
        <v>15.421224747126351</v>
      </c>
      <c r="Q973" s="43">
        <f t="shared" si="216"/>
        <v>2.1798850000000002E-2</v>
      </c>
      <c r="R973" s="43">
        <f t="shared" si="217"/>
        <v>1.3972607999999999E-2</v>
      </c>
      <c r="S973" s="43">
        <f t="shared" si="218"/>
        <v>0.845352675</v>
      </c>
      <c r="T973" s="43">
        <f t="shared" si="219"/>
        <v>2.5221698109999999</v>
      </c>
      <c r="U973" s="43">
        <f t="shared" si="220"/>
        <v>8.2420652990000001</v>
      </c>
      <c r="V973" s="43">
        <f t="shared" si="221"/>
        <v>4.3804109999999999E-3</v>
      </c>
      <c r="W973" s="230">
        <f t="shared" si="222"/>
        <v>5.2667602067006609E-2</v>
      </c>
      <c r="X973" s="43">
        <f t="shared" si="223"/>
        <v>0.87248896300000001</v>
      </c>
      <c r="Y973" s="43">
        <v>53.911646220000002</v>
      </c>
      <c r="Z973" s="43">
        <f t="shared" si="212"/>
        <v>0</v>
      </c>
      <c r="AA973" s="43">
        <f t="shared" si="213"/>
        <v>58427</v>
      </c>
      <c r="AB973" s="43">
        <f t="shared" si="214"/>
        <v>20964</v>
      </c>
      <c r="AC973" s="43">
        <f t="shared" si="224"/>
        <v>2.1965121632062434E-2</v>
      </c>
      <c r="AD973" s="43">
        <f t="shared" si="225"/>
        <v>0.90685301037719301</v>
      </c>
      <c r="AF973" s="43">
        <v>15.421224747126351</v>
      </c>
      <c r="AG973" s="43">
        <v>2.1798850000000002E-2</v>
      </c>
      <c r="AH973" s="43">
        <v>1.3972607999999999E-2</v>
      </c>
      <c r="AI973" s="43">
        <v>0.845352675</v>
      </c>
      <c r="AJ973" s="43">
        <v>2.5221698109999999</v>
      </c>
      <c r="AK973" s="43">
        <v>8.2420652990000001</v>
      </c>
      <c r="AL973" s="43">
        <v>4.3804109999999999E-3</v>
      </c>
      <c r="AM973" s="230">
        <v>5.2667602067006609E-2</v>
      </c>
      <c r="AN973" s="43">
        <v>0.87248896300000001</v>
      </c>
    </row>
    <row r="974" spans="1:40" x14ac:dyDescent="0.25">
      <c r="A974" s="134">
        <v>964</v>
      </c>
      <c r="B974" s="134" t="s">
        <v>207</v>
      </c>
      <c r="C974" s="134" t="s">
        <v>205</v>
      </c>
      <c r="D974" s="134" t="s">
        <v>62</v>
      </c>
      <c r="E974" s="134">
        <v>0</v>
      </c>
      <c r="F974" s="134">
        <v>0</v>
      </c>
      <c r="G974" s="134">
        <v>11</v>
      </c>
      <c r="H974" s="134">
        <v>155</v>
      </c>
      <c r="I974" s="200">
        <v>1.99520881595E-2</v>
      </c>
      <c r="J974" s="134">
        <v>155</v>
      </c>
      <c r="K974" s="134">
        <v>7768.6104211900001</v>
      </c>
      <c r="L974" s="42">
        <v>0.87439677926799997</v>
      </c>
      <c r="M974" s="42">
        <v>1</v>
      </c>
      <c r="N974" s="134">
        <v>0</v>
      </c>
      <c r="O974" s="43" t="s">
        <v>666</v>
      </c>
      <c r="P974" s="43">
        <f t="shared" si="215"/>
        <v>14.887930307192343</v>
      </c>
      <c r="Q974" s="43">
        <f t="shared" si="216"/>
        <v>1.2797611E-2</v>
      </c>
      <c r="R974" s="43">
        <f t="shared" si="217"/>
        <v>6.7987309999999997E-3</v>
      </c>
      <c r="S974" s="43">
        <f t="shared" si="218"/>
        <v>0.87439677900000001</v>
      </c>
      <c r="T974" s="43">
        <f t="shared" si="219"/>
        <v>2.691089109</v>
      </c>
      <c r="U974" s="43">
        <f t="shared" si="220"/>
        <v>7.9121518709999998</v>
      </c>
      <c r="V974" s="43">
        <f t="shared" si="221"/>
        <v>2.3158200000000001E-3</v>
      </c>
      <c r="W974" s="230">
        <f t="shared" si="222"/>
        <v>1.0421189752496743E-2</v>
      </c>
      <c r="X974" s="43">
        <f t="shared" si="223"/>
        <v>0.88941959800000003</v>
      </c>
      <c r="Y974" s="43">
        <v>58.004661339999998</v>
      </c>
      <c r="Z974" s="43">
        <f t="shared" si="212"/>
        <v>0</v>
      </c>
      <c r="AA974" s="43">
        <f t="shared" si="213"/>
        <v>58427</v>
      </c>
      <c r="AB974" s="43">
        <f t="shared" si="214"/>
        <v>20964</v>
      </c>
      <c r="AC974" s="43">
        <f t="shared" si="224"/>
        <v>2.1965121632062434E-2</v>
      </c>
      <c r="AD974" s="43">
        <f t="shared" si="225"/>
        <v>0.90685301037719301</v>
      </c>
      <c r="AF974" s="43">
        <v>14.887930307192343</v>
      </c>
      <c r="AG974" s="43">
        <v>1.2797611E-2</v>
      </c>
      <c r="AH974" s="43">
        <v>6.7987309999999997E-3</v>
      </c>
      <c r="AI974" s="43">
        <v>0.87439677900000001</v>
      </c>
      <c r="AJ974" s="43">
        <v>2.691089109</v>
      </c>
      <c r="AK974" s="43">
        <v>7.9121518709999998</v>
      </c>
      <c r="AL974" s="43">
        <v>2.3158200000000001E-3</v>
      </c>
      <c r="AM974" s="230">
        <v>1.0421189752496743E-2</v>
      </c>
      <c r="AN974" s="43">
        <v>0.88941959800000003</v>
      </c>
    </row>
    <row r="975" spans="1:40" x14ac:dyDescent="0.25">
      <c r="A975" s="134">
        <v>965</v>
      </c>
      <c r="B975" s="134" t="s">
        <v>207</v>
      </c>
      <c r="C975" s="134" t="s">
        <v>205</v>
      </c>
      <c r="D975" s="134" t="s">
        <v>62</v>
      </c>
      <c r="E975" s="134">
        <v>0</v>
      </c>
      <c r="F975" s="134">
        <v>0</v>
      </c>
      <c r="G975" s="134">
        <v>41</v>
      </c>
      <c r="H975" s="134">
        <v>559</v>
      </c>
      <c r="I975" s="200">
        <v>7.5628451150200005E-2</v>
      </c>
      <c r="J975" s="134">
        <v>559</v>
      </c>
      <c r="K975" s="134">
        <v>7391.3982304000001</v>
      </c>
      <c r="L975" s="42">
        <v>0.88259625792499996</v>
      </c>
      <c r="M975" s="42">
        <v>1</v>
      </c>
      <c r="N975" s="134">
        <v>1</v>
      </c>
      <c r="O975" s="43" t="s">
        <v>664</v>
      </c>
      <c r="P975" s="43">
        <f t="shared" si="215"/>
        <v>14.927151568741179</v>
      </c>
      <c r="Q975" s="43">
        <f t="shared" si="216"/>
        <v>1.7057755000000001E-2</v>
      </c>
      <c r="R975" s="43">
        <f t="shared" si="217"/>
        <v>1.8778026999999999E-2</v>
      </c>
      <c r="S975" s="43">
        <f t="shared" si="218"/>
        <v>0.88259625799999997</v>
      </c>
      <c r="T975" s="43">
        <f t="shared" si="219"/>
        <v>2.8662715790000002</v>
      </c>
      <c r="U975" s="43">
        <f t="shared" si="220"/>
        <v>8.2327687669999996</v>
      </c>
      <c r="V975" s="43">
        <f t="shared" si="221"/>
        <v>3.6673370000000001E-3</v>
      </c>
      <c r="W975" s="230">
        <f t="shared" si="222"/>
        <v>1.7863480421152253E-2</v>
      </c>
      <c r="X975" s="43">
        <f t="shared" si="223"/>
        <v>0.93442170400000002</v>
      </c>
      <c r="Y975" s="43">
        <v>64.277498640000005</v>
      </c>
      <c r="Z975" s="43">
        <f t="shared" si="212"/>
        <v>0</v>
      </c>
      <c r="AA975" s="43">
        <f t="shared" si="213"/>
        <v>58427</v>
      </c>
      <c r="AB975" s="43">
        <f t="shared" si="214"/>
        <v>20964</v>
      </c>
      <c r="AC975" s="43">
        <f t="shared" si="224"/>
        <v>2.1965121632062434E-2</v>
      </c>
      <c r="AD975" s="43">
        <f t="shared" si="225"/>
        <v>0.90685301037719301</v>
      </c>
      <c r="AF975" s="43">
        <v>14.927151568741179</v>
      </c>
      <c r="AG975" s="43">
        <v>1.7057755000000001E-2</v>
      </c>
      <c r="AH975" s="43">
        <v>1.8778026999999999E-2</v>
      </c>
      <c r="AI975" s="43">
        <v>0.88259625799999997</v>
      </c>
      <c r="AJ975" s="43">
        <v>2.8662715790000002</v>
      </c>
      <c r="AK975" s="43">
        <v>8.2327687669999996</v>
      </c>
      <c r="AL975" s="43">
        <v>3.6673370000000001E-3</v>
      </c>
      <c r="AM975" s="230">
        <v>1.7863480421152253E-2</v>
      </c>
      <c r="AN975" s="43">
        <v>0.93442170400000002</v>
      </c>
    </row>
    <row r="976" spans="1:40" x14ac:dyDescent="0.25">
      <c r="A976" s="134">
        <v>966</v>
      </c>
      <c r="B976" s="134" t="s">
        <v>207</v>
      </c>
      <c r="C976" s="134" t="s">
        <v>205</v>
      </c>
      <c r="D976" s="134" t="s">
        <v>62</v>
      </c>
      <c r="E976" s="134">
        <v>0</v>
      </c>
      <c r="F976" s="134">
        <v>0</v>
      </c>
      <c r="G976" s="134">
        <v>115</v>
      </c>
      <c r="H976" s="134">
        <v>2420</v>
      </c>
      <c r="I976" s="200">
        <v>0.215083157267</v>
      </c>
      <c r="J976" s="134">
        <v>2420</v>
      </c>
      <c r="K976" s="134">
        <v>11251.462135600001</v>
      </c>
      <c r="L976" s="42">
        <v>0.91087381682500002</v>
      </c>
      <c r="M976" s="42">
        <v>1</v>
      </c>
      <c r="N976" s="134">
        <v>0</v>
      </c>
      <c r="O976" s="43" t="s">
        <v>666</v>
      </c>
      <c r="P976" s="43">
        <f t="shared" si="215"/>
        <v>15.131548872760266</v>
      </c>
      <c r="Q976" s="43">
        <f t="shared" si="216"/>
        <v>1.8491707E-2</v>
      </c>
      <c r="R976" s="43">
        <f t="shared" si="217"/>
        <v>1.0523967E-2</v>
      </c>
      <c r="S976" s="43">
        <f t="shared" si="218"/>
        <v>0.91087381700000003</v>
      </c>
      <c r="T976" s="43">
        <f t="shared" si="219"/>
        <v>3.057155716</v>
      </c>
      <c r="U976" s="43">
        <f t="shared" si="220"/>
        <v>8.6795336919999997</v>
      </c>
      <c r="V976" s="43">
        <f t="shared" si="221"/>
        <v>4.3675160000000001E-3</v>
      </c>
      <c r="W976" s="230">
        <f t="shared" si="222"/>
        <v>2.5210322874033651E-2</v>
      </c>
      <c r="X976" s="43">
        <f t="shared" si="223"/>
        <v>0.951152039</v>
      </c>
      <c r="Y976" s="43">
        <v>66.671844320000005</v>
      </c>
      <c r="Z976" s="43">
        <f t="shared" si="212"/>
        <v>0</v>
      </c>
      <c r="AA976" s="43">
        <f t="shared" si="213"/>
        <v>58427</v>
      </c>
      <c r="AB976" s="43">
        <f t="shared" si="214"/>
        <v>20964</v>
      </c>
      <c r="AC976" s="43">
        <f t="shared" si="224"/>
        <v>2.1965121632062434E-2</v>
      </c>
      <c r="AD976" s="43">
        <f t="shared" si="225"/>
        <v>0.90685301037719301</v>
      </c>
      <c r="AF976" s="43">
        <v>15.131548872760266</v>
      </c>
      <c r="AG976" s="43">
        <v>1.8491707E-2</v>
      </c>
      <c r="AH976" s="43">
        <v>1.0523967E-2</v>
      </c>
      <c r="AI976" s="43">
        <v>0.91087381700000003</v>
      </c>
      <c r="AJ976" s="43">
        <v>3.057155716</v>
      </c>
      <c r="AK976" s="43">
        <v>8.6795336919999997</v>
      </c>
      <c r="AL976" s="43">
        <v>4.3675160000000001E-3</v>
      </c>
      <c r="AM976" s="230">
        <v>2.5210322874033651E-2</v>
      </c>
      <c r="AN976" s="43">
        <v>0.951152039</v>
      </c>
    </row>
    <row r="977" spans="1:40" x14ac:dyDescent="0.25">
      <c r="A977" s="134">
        <v>967</v>
      </c>
      <c r="B977" s="134" t="s">
        <v>207</v>
      </c>
      <c r="C977" s="134" t="s">
        <v>205</v>
      </c>
      <c r="D977" s="134" t="s">
        <v>62</v>
      </c>
      <c r="E977" s="134">
        <v>0</v>
      </c>
      <c r="F977" s="134">
        <v>0</v>
      </c>
      <c r="G977" s="134">
        <v>55</v>
      </c>
      <c r="H977" s="134">
        <v>559</v>
      </c>
      <c r="I977" s="200">
        <v>0.102267212653</v>
      </c>
      <c r="J977" s="134">
        <v>559</v>
      </c>
      <c r="K977" s="134">
        <v>5466.0725123599996</v>
      </c>
      <c r="L977" s="42">
        <v>0.88823630693900002</v>
      </c>
      <c r="M977" s="42">
        <v>1</v>
      </c>
      <c r="N977" s="134">
        <v>0</v>
      </c>
      <c r="O977" s="43" t="s">
        <v>666</v>
      </c>
      <c r="P977" s="43">
        <f t="shared" si="215"/>
        <v>14.985891238592165</v>
      </c>
      <c r="Q977" s="43">
        <f t="shared" si="216"/>
        <v>2.1178091E-2</v>
      </c>
      <c r="R977" s="43">
        <f t="shared" si="217"/>
        <v>1.8939755999999999E-2</v>
      </c>
      <c r="S977" s="43">
        <f t="shared" si="218"/>
        <v>0.888236307</v>
      </c>
      <c r="T977" s="43">
        <f t="shared" si="219"/>
        <v>2.928463094</v>
      </c>
      <c r="U977" s="43">
        <f t="shared" si="220"/>
        <v>8.3907697960000007</v>
      </c>
      <c r="V977" s="43">
        <f t="shared" si="221"/>
        <v>3.5924970000000001E-3</v>
      </c>
      <c r="W977" s="230">
        <f t="shared" si="222"/>
        <v>2.2727272727272728E-2</v>
      </c>
      <c r="X977" s="43">
        <f t="shared" si="223"/>
        <v>0.93302828599999998</v>
      </c>
      <c r="Y977" s="43">
        <v>65.051697219999994</v>
      </c>
      <c r="Z977" s="43">
        <f t="shared" si="212"/>
        <v>0</v>
      </c>
      <c r="AA977" s="43">
        <f t="shared" si="213"/>
        <v>58427</v>
      </c>
      <c r="AB977" s="43">
        <f t="shared" si="214"/>
        <v>20964</v>
      </c>
      <c r="AC977" s="43">
        <f t="shared" si="224"/>
        <v>2.1965121632062434E-2</v>
      </c>
      <c r="AD977" s="43">
        <f t="shared" si="225"/>
        <v>0.90685301037719301</v>
      </c>
      <c r="AF977" s="43">
        <v>14.985891238592165</v>
      </c>
      <c r="AG977" s="43">
        <v>2.1178091E-2</v>
      </c>
      <c r="AH977" s="43">
        <v>1.8939755999999999E-2</v>
      </c>
      <c r="AI977" s="43">
        <v>0.888236307</v>
      </c>
      <c r="AJ977" s="43">
        <v>2.928463094</v>
      </c>
      <c r="AK977" s="43">
        <v>8.3907697960000007</v>
      </c>
      <c r="AL977" s="43">
        <v>3.5924970000000001E-3</v>
      </c>
      <c r="AM977" s="230">
        <v>2.2727272727272728E-2</v>
      </c>
      <c r="AN977" s="43">
        <v>0.93302828599999998</v>
      </c>
    </row>
    <row r="978" spans="1:40" x14ac:dyDescent="0.25">
      <c r="A978" s="134">
        <v>968</v>
      </c>
      <c r="B978" s="134" t="s">
        <v>207</v>
      </c>
      <c r="C978" s="134" t="s">
        <v>205</v>
      </c>
      <c r="D978" s="134" t="s">
        <v>62</v>
      </c>
      <c r="E978" s="134">
        <v>0</v>
      </c>
      <c r="F978" s="134">
        <v>0</v>
      </c>
      <c r="G978" s="134">
        <v>28</v>
      </c>
      <c r="H978" s="134">
        <v>286</v>
      </c>
      <c r="I978" s="200">
        <v>5.3647751083299999E-2</v>
      </c>
      <c r="J978" s="134">
        <v>286</v>
      </c>
      <c r="K978" s="134">
        <v>5331.07155891</v>
      </c>
      <c r="L978" s="42">
        <v>0.84522912339400003</v>
      </c>
      <c r="M978" s="42">
        <v>1</v>
      </c>
      <c r="N978" s="134">
        <v>1</v>
      </c>
      <c r="O978" s="43" t="s">
        <v>666</v>
      </c>
      <c r="P978" s="43">
        <f t="shared" si="215"/>
        <v>14.023027160126675</v>
      </c>
      <c r="Q978" s="43">
        <f t="shared" si="216"/>
        <v>2.1028252000000001E-2</v>
      </c>
      <c r="R978" s="43">
        <f t="shared" si="217"/>
        <v>2.9557193999999998E-2</v>
      </c>
      <c r="S978" s="43">
        <f t="shared" si="218"/>
        <v>0.84522912299999997</v>
      </c>
      <c r="T978" s="43">
        <f t="shared" si="219"/>
        <v>2.7006845049999999</v>
      </c>
      <c r="U978" s="43">
        <f t="shared" si="220"/>
        <v>7.4897596200000001</v>
      </c>
      <c r="V978" s="43">
        <f t="shared" si="221"/>
        <v>3.649635E-3</v>
      </c>
      <c r="W978" s="230">
        <f t="shared" si="222"/>
        <v>1.9290928050052138E-2</v>
      </c>
      <c r="X978" s="43">
        <f t="shared" si="223"/>
        <v>0.88239237299999995</v>
      </c>
      <c r="Y978" s="43">
        <v>64.26327028</v>
      </c>
      <c r="Z978" s="43">
        <f t="shared" si="212"/>
        <v>0</v>
      </c>
      <c r="AA978" s="43">
        <f t="shared" si="213"/>
        <v>58427</v>
      </c>
      <c r="AB978" s="43">
        <f t="shared" si="214"/>
        <v>20964</v>
      </c>
      <c r="AC978" s="43">
        <f t="shared" si="224"/>
        <v>2.1965121632062434E-2</v>
      </c>
      <c r="AD978" s="43">
        <f t="shared" si="225"/>
        <v>0.90685301037719301</v>
      </c>
      <c r="AF978" s="43">
        <v>14.023027160126675</v>
      </c>
      <c r="AG978" s="43">
        <v>2.1028252000000001E-2</v>
      </c>
      <c r="AH978" s="43">
        <v>2.9557193999999998E-2</v>
      </c>
      <c r="AI978" s="43">
        <v>0.84522912299999997</v>
      </c>
      <c r="AJ978" s="43">
        <v>2.7006845049999999</v>
      </c>
      <c r="AK978" s="43">
        <v>7.4897596200000001</v>
      </c>
      <c r="AL978" s="43">
        <v>3.649635E-3</v>
      </c>
      <c r="AM978" s="230">
        <v>1.9290928050052138E-2</v>
      </c>
      <c r="AN978" s="43">
        <v>0.88239237299999995</v>
      </c>
    </row>
    <row r="979" spans="1:40" x14ac:dyDescent="0.25">
      <c r="A979" s="134">
        <v>969</v>
      </c>
      <c r="B979" s="134" t="s">
        <v>207</v>
      </c>
      <c r="C979" s="134" t="s">
        <v>205</v>
      </c>
      <c r="D979" s="134" t="s">
        <v>62</v>
      </c>
      <c r="E979" s="134">
        <v>0</v>
      </c>
      <c r="F979" s="134">
        <v>0</v>
      </c>
      <c r="G979" s="134">
        <v>29</v>
      </c>
      <c r="H979" s="134">
        <v>454</v>
      </c>
      <c r="I979" s="200">
        <v>5.5002348456499997E-2</v>
      </c>
      <c r="J979" s="134">
        <v>454</v>
      </c>
      <c r="K979" s="134">
        <v>8254.1930070399994</v>
      </c>
      <c r="L979" s="42">
        <v>0.88976519951400002</v>
      </c>
      <c r="M979" s="42">
        <v>1</v>
      </c>
      <c r="N979" s="134">
        <v>1</v>
      </c>
      <c r="O979" s="43" t="s">
        <v>666</v>
      </c>
      <c r="P979" s="43">
        <f t="shared" si="215"/>
        <v>14.681104953180796</v>
      </c>
      <c r="Q979" s="43">
        <f t="shared" si="216"/>
        <v>1.8646981999999999E-2</v>
      </c>
      <c r="R979" s="43">
        <f t="shared" si="217"/>
        <v>2.2181612999999999E-2</v>
      </c>
      <c r="S979" s="43">
        <f t="shared" si="218"/>
        <v>0.88976520000000003</v>
      </c>
      <c r="T979" s="43">
        <f t="shared" si="219"/>
        <v>2.9970181619999998</v>
      </c>
      <c r="U979" s="43">
        <f t="shared" si="220"/>
        <v>8.4285894510000006</v>
      </c>
      <c r="V979" s="43">
        <f t="shared" si="221"/>
        <v>3.7476879999999999E-3</v>
      </c>
      <c r="W979" s="230">
        <f t="shared" si="222"/>
        <v>1.9468509685583568E-2</v>
      </c>
      <c r="X979" s="43">
        <f t="shared" si="223"/>
        <v>0.92947532399999999</v>
      </c>
      <c r="Y979" s="43">
        <v>65.57417221</v>
      </c>
      <c r="Z979" s="43">
        <f t="shared" si="212"/>
        <v>0</v>
      </c>
      <c r="AA979" s="43">
        <f t="shared" si="213"/>
        <v>58427</v>
      </c>
      <c r="AB979" s="43">
        <f t="shared" si="214"/>
        <v>20964</v>
      </c>
      <c r="AC979" s="43">
        <f t="shared" si="224"/>
        <v>2.1965121632062434E-2</v>
      </c>
      <c r="AD979" s="43">
        <f t="shared" si="225"/>
        <v>0.90685301037719301</v>
      </c>
      <c r="AF979" s="43">
        <v>14.681104953180796</v>
      </c>
      <c r="AG979" s="43">
        <v>1.8646981999999999E-2</v>
      </c>
      <c r="AH979" s="43">
        <v>2.2181612999999999E-2</v>
      </c>
      <c r="AI979" s="43">
        <v>0.88976520000000003</v>
      </c>
      <c r="AJ979" s="43">
        <v>2.9970181619999998</v>
      </c>
      <c r="AK979" s="43">
        <v>8.4285894510000006</v>
      </c>
      <c r="AL979" s="43">
        <v>3.7476879999999999E-3</v>
      </c>
      <c r="AM979" s="230">
        <v>1.9468509685583568E-2</v>
      </c>
      <c r="AN979" s="43">
        <v>0.92947532399999999</v>
      </c>
    </row>
    <row r="980" spans="1:40" x14ac:dyDescent="0.25">
      <c r="A980" s="134">
        <v>970</v>
      </c>
      <c r="B980" s="134" t="s">
        <v>207</v>
      </c>
      <c r="C980" s="134" t="s">
        <v>205</v>
      </c>
      <c r="D980" s="134" t="s">
        <v>62</v>
      </c>
      <c r="E980" s="134">
        <v>164</v>
      </c>
      <c r="F980" s="134">
        <v>485</v>
      </c>
      <c r="G980" s="134">
        <v>32</v>
      </c>
      <c r="H980" s="134">
        <v>24</v>
      </c>
      <c r="I980" s="200">
        <v>6.11719611335E-2</v>
      </c>
      <c r="J980" s="134">
        <v>509</v>
      </c>
      <c r="K980" s="134">
        <v>8320.8056529200003</v>
      </c>
      <c r="L980" s="42">
        <v>0.87759943526999995</v>
      </c>
      <c r="M980" s="42">
        <v>0.127659574468</v>
      </c>
      <c r="N980" s="134">
        <v>0</v>
      </c>
      <c r="O980" s="43" t="s">
        <v>666</v>
      </c>
      <c r="P980" s="43">
        <f t="shared" si="215"/>
        <v>16.560946397242144</v>
      </c>
      <c r="Q980" s="43">
        <f t="shared" si="216"/>
        <v>1.0380383E-2</v>
      </c>
      <c r="R980" s="43">
        <f t="shared" si="217"/>
        <v>2.6593221E-2</v>
      </c>
      <c r="S980" s="43">
        <f t="shared" si="218"/>
        <v>0.87759943500000004</v>
      </c>
      <c r="T980" s="43">
        <f t="shared" si="219"/>
        <v>3.0091523210000002</v>
      </c>
      <c r="U980" s="43">
        <f t="shared" si="220"/>
        <v>9.3532423490000003</v>
      </c>
      <c r="V980" s="43">
        <f t="shared" si="221"/>
        <v>7.1980099999999995E-4</v>
      </c>
      <c r="W980" s="230">
        <f t="shared" si="222"/>
        <v>4.8292108362779744E-2</v>
      </c>
      <c r="X980" s="43">
        <f t="shared" si="223"/>
        <v>0.88692579500000002</v>
      </c>
      <c r="Y980" s="43">
        <v>72.08511627</v>
      </c>
      <c r="Z980" s="43">
        <f t="shared" si="212"/>
        <v>0</v>
      </c>
      <c r="AA980" s="43">
        <f t="shared" si="213"/>
        <v>58427</v>
      </c>
      <c r="AB980" s="43">
        <f t="shared" si="214"/>
        <v>20964</v>
      </c>
      <c r="AC980" s="43">
        <f t="shared" si="224"/>
        <v>2.1965121632062434E-2</v>
      </c>
      <c r="AD980" s="43">
        <f t="shared" si="225"/>
        <v>0.90685301037719301</v>
      </c>
      <c r="AF980" s="43">
        <v>16.560946397242144</v>
      </c>
      <c r="AG980" s="43">
        <v>1.0380383E-2</v>
      </c>
      <c r="AH980" s="43">
        <v>2.6593221E-2</v>
      </c>
      <c r="AI980" s="43">
        <v>0.87759943500000004</v>
      </c>
      <c r="AJ980" s="43">
        <v>3.0091523210000002</v>
      </c>
      <c r="AK980" s="43">
        <v>9.3532423490000003</v>
      </c>
      <c r="AL980" s="43">
        <v>7.1980099999999995E-4</v>
      </c>
      <c r="AM980" s="230">
        <v>4.8292108362779744E-2</v>
      </c>
      <c r="AN980" s="43">
        <v>0.88692579500000002</v>
      </c>
    </row>
    <row r="981" spans="1:40" x14ac:dyDescent="0.25">
      <c r="A981" s="134">
        <v>971</v>
      </c>
      <c r="B981" s="134" t="s">
        <v>207</v>
      </c>
      <c r="C981" s="134" t="s">
        <v>205</v>
      </c>
      <c r="D981" s="134" t="s">
        <v>62</v>
      </c>
      <c r="E981" s="134">
        <v>13</v>
      </c>
      <c r="F981" s="134">
        <v>38</v>
      </c>
      <c r="G981" s="134">
        <v>48</v>
      </c>
      <c r="H981" s="134">
        <v>0</v>
      </c>
      <c r="I981" s="200">
        <v>9.0954491762900005E-2</v>
      </c>
      <c r="J981" s="134">
        <v>38</v>
      </c>
      <c r="K981" s="134">
        <v>417.79135107500002</v>
      </c>
      <c r="L981" s="42">
        <v>0.70779822587100005</v>
      </c>
      <c r="M981" s="42">
        <v>0</v>
      </c>
      <c r="N981" s="134">
        <v>0</v>
      </c>
      <c r="O981" s="43" t="s">
        <v>666</v>
      </c>
      <c r="P981" s="43">
        <f t="shared" si="215"/>
        <v>13.831033373406255</v>
      </c>
      <c r="Q981" s="43">
        <f t="shared" si="216"/>
        <v>5.6931020000000002E-3</v>
      </c>
      <c r="R981" s="43">
        <f t="shared" si="217"/>
        <v>0.16615914200000001</v>
      </c>
      <c r="S981" s="43">
        <f t="shared" si="218"/>
        <v>0.70779822599999997</v>
      </c>
      <c r="T981" s="43">
        <f t="shared" si="219"/>
        <v>3.1549636799999998</v>
      </c>
      <c r="U981" s="43">
        <f t="shared" si="220"/>
        <v>6.6621686750000002</v>
      </c>
      <c r="V981" s="43">
        <f t="shared" si="221"/>
        <v>2.0287614424242431E-3</v>
      </c>
      <c r="W981" s="230">
        <f t="shared" si="222"/>
        <v>5.6768558951965066E-2</v>
      </c>
      <c r="X981" s="43">
        <f t="shared" si="223"/>
        <v>0.72343522599999999</v>
      </c>
      <c r="Y981" s="43">
        <v>71.788897879999993</v>
      </c>
      <c r="Z981" s="43">
        <f t="shared" si="212"/>
        <v>0</v>
      </c>
      <c r="AA981" s="43">
        <f t="shared" si="213"/>
        <v>58427</v>
      </c>
      <c r="AB981" s="43">
        <f t="shared" si="214"/>
        <v>20964</v>
      </c>
      <c r="AC981" s="43">
        <f t="shared" si="224"/>
        <v>2.1965121632062434E-2</v>
      </c>
      <c r="AD981" s="43">
        <f t="shared" si="225"/>
        <v>0.90685301037719301</v>
      </c>
      <c r="AF981" s="43">
        <v>13.831033373406255</v>
      </c>
      <c r="AG981" s="43">
        <v>5.6931020000000002E-3</v>
      </c>
      <c r="AH981" s="43">
        <v>0.16615914200000001</v>
      </c>
      <c r="AI981" s="43">
        <v>0.70779822599999997</v>
      </c>
      <c r="AJ981" s="43">
        <v>3.1549636799999998</v>
      </c>
      <c r="AK981" s="43">
        <v>6.6621686750000002</v>
      </c>
      <c r="AL981" s="43">
        <v>0</v>
      </c>
      <c r="AM981" s="230">
        <v>5.6768558951965066E-2</v>
      </c>
      <c r="AN981" s="43">
        <v>0.72343522599999999</v>
      </c>
    </row>
    <row r="982" spans="1:40" x14ac:dyDescent="0.25">
      <c r="A982" s="134">
        <v>972</v>
      </c>
      <c r="B982" s="134" t="s">
        <v>207</v>
      </c>
      <c r="C982" s="134" t="s">
        <v>205</v>
      </c>
      <c r="D982" s="134" t="s">
        <v>62</v>
      </c>
      <c r="E982" s="134">
        <v>0</v>
      </c>
      <c r="F982" s="134">
        <v>0</v>
      </c>
      <c r="G982" s="134">
        <v>12</v>
      </c>
      <c r="H982" s="134">
        <v>176</v>
      </c>
      <c r="I982" s="200">
        <v>2.18392366897E-2</v>
      </c>
      <c r="J982" s="134">
        <v>176</v>
      </c>
      <c r="K982" s="134">
        <v>8058.8897176700002</v>
      </c>
      <c r="L982" s="42">
        <v>0.85002507448599995</v>
      </c>
      <c r="M982" s="42">
        <v>1</v>
      </c>
      <c r="N982" s="134">
        <v>0</v>
      </c>
      <c r="O982" s="43" t="s">
        <v>666</v>
      </c>
      <c r="P982" s="43">
        <f t="shared" si="215"/>
        <v>14.835867189886505</v>
      </c>
      <c r="Q982" s="43">
        <f t="shared" si="216"/>
        <v>1.0383787E-2</v>
      </c>
      <c r="R982" s="43">
        <f t="shared" si="217"/>
        <v>4.1004158999999998E-2</v>
      </c>
      <c r="S982" s="43">
        <f t="shared" si="218"/>
        <v>0.85002507400000005</v>
      </c>
      <c r="T982" s="43">
        <f t="shared" si="219"/>
        <v>2.8655583660000001</v>
      </c>
      <c r="U982" s="43">
        <f t="shared" si="220"/>
        <v>7.7205869829999996</v>
      </c>
      <c r="V982" s="43">
        <f t="shared" si="221"/>
        <v>2.5464730000000001E-3</v>
      </c>
      <c r="W982" s="230">
        <f t="shared" si="222"/>
        <v>7.7667430608607075E-3</v>
      </c>
      <c r="X982" s="43">
        <f t="shared" si="223"/>
        <v>0.90412528599999997</v>
      </c>
      <c r="Y982" s="43">
        <v>73.717922700000003</v>
      </c>
      <c r="Z982" s="43">
        <f t="shared" si="212"/>
        <v>0</v>
      </c>
      <c r="AA982" s="43">
        <f t="shared" si="213"/>
        <v>58427</v>
      </c>
      <c r="AB982" s="43">
        <f t="shared" si="214"/>
        <v>20964</v>
      </c>
      <c r="AC982" s="43">
        <f t="shared" si="224"/>
        <v>2.1965121632062434E-2</v>
      </c>
      <c r="AD982" s="43">
        <f t="shared" si="225"/>
        <v>0.90685301037719301</v>
      </c>
      <c r="AF982" s="43">
        <v>14.835867189886505</v>
      </c>
      <c r="AG982" s="43">
        <v>1.0383787E-2</v>
      </c>
      <c r="AH982" s="43">
        <v>4.1004158999999998E-2</v>
      </c>
      <c r="AI982" s="43">
        <v>0.85002507400000005</v>
      </c>
      <c r="AJ982" s="43">
        <v>2.8655583660000001</v>
      </c>
      <c r="AK982" s="43">
        <v>7.7205869829999996</v>
      </c>
      <c r="AL982" s="43">
        <v>2.5464730000000001E-3</v>
      </c>
      <c r="AM982" s="230">
        <v>7.7667430608607075E-3</v>
      </c>
      <c r="AN982" s="43">
        <v>0.90412528599999997</v>
      </c>
    </row>
    <row r="983" spans="1:40" x14ac:dyDescent="0.25">
      <c r="A983" s="134">
        <v>973</v>
      </c>
      <c r="B983" s="134" t="s">
        <v>207</v>
      </c>
      <c r="C983" s="134" t="s">
        <v>205</v>
      </c>
      <c r="D983" s="134" t="s">
        <v>62</v>
      </c>
      <c r="E983" s="134">
        <v>195</v>
      </c>
      <c r="F983" s="134">
        <v>577</v>
      </c>
      <c r="G983" s="134">
        <v>111</v>
      </c>
      <c r="H983" s="134">
        <v>1</v>
      </c>
      <c r="I983" s="200">
        <v>5.3026530230999999E-2</v>
      </c>
      <c r="J983" s="134">
        <v>578</v>
      </c>
      <c r="K983" s="134">
        <v>10900.2040579</v>
      </c>
      <c r="L983" s="42">
        <v>0.890870995306</v>
      </c>
      <c r="M983" s="42">
        <v>5.1020408163299997E-3</v>
      </c>
      <c r="N983" s="134">
        <v>0</v>
      </c>
      <c r="O983" s="43" t="s">
        <v>666</v>
      </c>
      <c r="P983" s="43">
        <f t="shared" si="215"/>
        <v>16.81063496964628</v>
      </c>
      <c r="Q983" s="43">
        <f t="shared" si="216"/>
        <v>1.1869228000000001E-2</v>
      </c>
      <c r="R983" s="43">
        <f t="shared" si="217"/>
        <v>2.735541E-2</v>
      </c>
      <c r="S983" s="43">
        <f t="shared" si="218"/>
        <v>0.890870995</v>
      </c>
      <c r="T983" s="43">
        <f t="shared" si="219"/>
        <v>3.1627757550000002</v>
      </c>
      <c r="U983" s="43">
        <f t="shared" si="220"/>
        <v>9.9925084940000009</v>
      </c>
      <c r="V983" s="43">
        <f t="shared" si="221"/>
        <v>2.0287614424242431E-3</v>
      </c>
      <c r="W983" s="230">
        <f t="shared" si="222"/>
        <v>5.3444487527465417E-2</v>
      </c>
      <c r="X983" s="43">
        <f t="shared" si="223"/>
        <v>0.885291457</v>
      </c>
      <c r="Y983" s="43">
        <v>71.413463910000004</v>
      </c>
      <c r="Z983" s="43">
        <f t="shared" si="212"/>
        <v>0</v>
      </c>
      <c r="AA983" s="43">
        <f t="shared" si="213"/>
        <v>58427</v>
      </c>
      <c r="AB983" s="43">
        <f t="shared" si="214"/>
        <v>20964</v>
      </c>
      <c r="AC983" s="43">
        <f t="shared" si="224"/>
        <v>2.1965121632062434E-2</v>
      </c>
      <c r="AD983" s="43">
        <f t="shared" si="225"/>
        <v>0.90685301037719301</v>
      </c>
      <c r="AF983" s="43">
        <v>16.81063496964628</v>
      </c>
      <c r="AG983" s="43">
        <v>1.1869228000000001E-2</v>
      </c>
      <c r="AH983" s="43">
        <v>2.735541E-2</v>
      </c>
      <c r="AI983" s="43">
        <v>0.890870995</v>
      </c>
      <c r="AJ983" s="43">
        <v>3.1627757550000002</v>
      </c>
      <c r="AK983" s="43">
        <v>9.9925084940000009</v>
      </c>
      <c r="AL983" s="43">
        <v>0</v>
      </c>
      <c r="AM983" s="230">
        <v>5.3444487527465417E-2</v>
      </c>
      <c r="AN983" s="43">
        <v>0.885291457</v>
      </c>
    </row>
    <row r="984" spans="1:40" x14ac:dyDescent="0.25">
      <c r="A984" s="134">
        <v>974</v>
      </c>
      <c r="B984" s="134" t="s">
        <v>207</v>
      </c>
      <c r="C984" s="134" t="s">
        <v>205</v>
      </c>
      <c r="D984" s="134" t="s">
        <v>62</v>
      </c>
      <c r="E984" s="134">
        <v>0</v>
      </c>
      <c r="F984" s="134">
        <v>0</v>
      </c>
      <c r="G984" s="134">
        <v>7</v>
      </c>
      <c r="H984" s="134">
        <v>165</v>
      </c>
      <c r="I984" s="200">
        <v>1.3499849319099999E-2</v>
      </c>
      <c r="J984" s="134">
        <v>165</v>
      </c>
      <c r="K984" s="134">
        <v>12222.358642699999</v>
      </c>
      <c r="L984" s="42">
        <v>0.84517931998100004</v>
      </c>
      <c r="M984" s="42">
        <v>1</v>
      </c>
      <c r="N984" s="134">
        <v>0</v>
      </c>
      <c r="O984" s="43" t="s">
        <v>664</v>
      </c>
      <c r="P984" s="43">
        <f t="shared" si="215"/>
        <v>14.456045093923761</v>
      </c>
      <c r="Q984" s="43">
        <f t="shared" si="216"/>
        <v>1.6239713999999999E-2</v>
      </c>
      <c r="R984" s="43">
        <f t="shared" si="217"/>
        <v>4.3595715E-2</v>
      </c>
      <c r="S984" s="43">
        <f t="shared" si="218"/>
        <v>0.84517931999999996</v>
      </c>
      <c r="T984" s="43">
        <f t="shared" si="219"/>
        <v>2.8656876790000001</v>
      </c>
      <c r="U984" s="43">
        <f t="shared" si="220"/>
        <v>7.743391302</v>
      </c>
      <c r="V984" s="43">
        <f t="shared" si="221"/>
        <v>1.9824410000000002E-3</v>
      </c>
      <c r="W984" s="230">
        <f t="shared" si="222"/>
        <v>1.6001132823562726E-2</v>
      </c>
      <c r="X984" s="43">
        <f t="shared" si="223"/>
        <v>0.89436420299999997</v>
      </c>
      <c r="Y984" s="43">
        <v>65.754882800000004</v>
      </c>
      <c r="Z984" s="43">
        <f t="shared" si="212"/>
        <v>0</v>
      </c>
      <c r="AA984" s="43">
        <f t="shared" si="213"/>
        <v>58427</v>
      </c>
      <c r="AB984" s="43">
        <f t="shared" si="214"/>
        <v>20964</v>
      </c>
      <c r="AC984" s="43">
        <f t="shared" si="224"/>
        <v>2.1965121632062434E-2</v>
      </c>
      <c r="AD984" s="43">
        <f t="shared" si="225"/>
        <v>0.90685301037719301</v>
      </c>
      <c r="AF984" s="43">
        <v>14.456045093923761</v>
      </c>
      <c r="AG984" s="43">
        <v>1.6239713999999999E-2</v>
      </c>
      <c r="AH984" s="43">
        <v>4.3595715E-2</v>
      </c>
      <c r="AI984" s="43">
        <v>0.84517931999999996</v>
      </c>
      <c r="AJ984" s="43">
        <v>2.8656876790000001</v>
      </c>
      <c r="AK984" s="43">
        <v>7.743391302</v>
      </c>
      <c r="AL984" s="43">
        <v>1.9824410000000002E-3</v>
      </c>
      <c r="AM984" s="230">
        <v>1.6001132823562726E-2</v>
      </c>
      <c r="AN984" s="43">
        <v>0.89436420299999997</v>
      </c>
    </row>
    <row r="985" spans="1:40" x14ac:dyDescent="0.25">
      <c r="A985" s="134">
        <v>975</v>
      </c>
      <c r="B985" s="134" t="s">
        <v>207</v>
      </c>
      <c r="C985" s="134" t="s">
        <v>205</v>
      </c>
      <c r="D985" s="134" t="s">
        <v>62</v>
      </c>
      <c r="E985" s="134">
        <v>376</v>
      </c>
      <c r="F985" s="134">
        <v>1113</v>
      </c>
      <c r="G985" s="134">
        <v>140</v>
      </c>
      <c r="H985" s="134">
        <v>0</v>
      </c>
      <c r="I985" s="200">
        <v>0.17110681403799999</v>
      </c>
      <c r="J985" s="134">
        <v>1113</v>
      </c>
      <c r="K985" s="134">
        <v>6504.7088057600004</v>
      </c>
      <c r="L985" s="42">
        <v>0.90227937308100004</v>
      </c>
      <c r="M985" s="42">
        <v>0</v>
      </c>
      <c r="N985" s="134">
        <v>0</v>
      </c>
      <c r="O985" s="43" t="s">
        <v>666</v>
      </c>
      <c r="P985" s="43">
        <f t="shared" si="215"/>
        <v>17.03851460971244</v>
      </c>
      <c r="Q985" s="43">
        <f t="shared" si="216"/>
        <v>1.2657066E-2</v>
      </c>
      <c r="R985" s="43">
        <f t="shared" si="217"/>
        <v>2.1411179999999998E-2</v>
      </c>
      <c r="S985" s="43">
        <f t="shared" si="218"/>
        <v>0.90227937300000005</v>
      </c>
      <c r="T985" s="43">
        <f t="shared" si="219"/>
        <v>3.2293066480000001</v>
      </c>
      <c r="U985" s="43">
        <f t="shared" si="220"/>
        <v>10.413554639999999</v>
      </c>
      <c r="V985" s="43">
        <f t="shared" si="221"/>
        <v>1.0628759999999999E-3</v>
      </c>
      <c r="W985" s="230">
        <f t="shared" si="222"/>
        <v>5.4970604842727609E-2</v>
      </c>
      <c r="X985" s="43">
        <f t="shared" si="223"/>
        <v>0.90583585200000005</v>
      </c>
      <c r="Y985" s="43">
        <v>65.793708229999993</v>
      </c>
      <c r="Z985" s="43">
        <f t="shared" si="212"/>
        <v>0</v>
      </c>
      <c r="AA985" s="43">
        <f t="shared" si="213"/>
        <v>58427</v>
      </c>
      <c r="AB985" s="43">
        <f t="shared" si="214"/>
        <v>20964</v>
      </c>
      <c r="AC985" s="43">
        <f t="shared" si="224"/>
        <v>2.1965121632062434E-2</v>
      </c>
      <c r="AD985" s="43">
        <f t="shared" si="225"/>
        <v>0.90685301037719301</v>
      </c>
      <c r="AF985" s="43">
        <v>17.03851460971244</v>
      </c>
      <c r="AG985" s="43">
        <v>1.2657066E-2</v>
      </c>
      <c r="AH985" s="43">
        <v>2.1411179999999998E-2</v>
      </c>
      <c r="AI985" s="43">
        <v>0.90227937300000005</v>
      </c>
      <c r="AJ985" s="43">
        <v>3.2293066480000001</v>
      </c>
      <c r="AK985" s="43">
        <v>10.413554639999999</v>
      </c>
      <c r="AL985" s="43">
        <v>1.0628759999999999E-3</v>
      </c>
      <c r="AM985" s="230">
        <v>5.4970604842727609E-2</v>
      </c>
      <c r="AN985" s="43">
        <v>0.90583585200000005</v>
      </c>
    </row>
    <row r="986" spans="1:40" x14ac:dyDescent="0.25">
      <c r="A986" s="134">
        <v>976</v>
      </c>
      <c r="B986" s="134" t="s">
        <v>207</v>
      </c>
      <c r="C986" s="134" t="s">
        <v>205</v>
      </c>
      <c r="D986" s="134" t="s">
        <v>62</v>
      </c>
      <c r="E986" s="134">
        <v>135</v>
      </c>
      <c r="F986" s="134">
        <v>400</v>
      </c>
      <c r="G986" s="134">
        <v>18</v>
      </c>
      <c r="H986" s="134">
        <v>261</v>
      </c>
      <c r="I986" s="200">
        <v>3.3724344896300003E-2</v>
      </c>
      <c r="J986" s="134">
        <v>661</v>
      </c>
      <c r="K986" s="134">
        <v>19600.084213099999</v>
      </c>
      <c r="L986" s="42">
        <v>0.86904981365</v>
      </c>
      <c r="M986" s="42">
        <v>0.65909090909099999</v>
      </c>
      <c r="N986" s="134">
        <v>0</v>
      </c>
      <c r="O986" s="43" t="s">
        <v>664</v>
      </c>
      <c r="P986" s="43">
        <f t="shared" si="215"/>
        <v>15.061975765969327</v>
      </c>
      <c r="Q986" s="43">
        <f t="shared" si="216"/>
        <v>2.0350258E-2</v>
      </c>
      <c r="R986" s="43">
        <f t="shared" si="217"/>
        <v>2.1969302E-2</v>
      </c>
      <c r="S986" s="43">
        <f t="shared" si="218"/>
        <v>0.86904981400000003</v>
      </c>
      <c r="T986" s="43">
        <f t="shared" si="219"/>
        <v>2.8781911010000001</v>
      </c>
      <c r="U986" s="43">
        <f t="shared" si="220"/>
        <v>8.2277899360000006</v>
      </c>
      <c r="V986" s="43">
        <f t="shared" si="221"/>
        <v>4.572492E-3</v>
      </c>
      <c r="W986" s="230">
        <f t="shared" si="222"/>
        <v>3.7025047545826084E-2</v>
      </c>
      <c r="X986" s="43">
        <f t="shared" si="223"/>
        <v>0.89430664000000004</v>
      </c>
      <c r="Y986" s="43">
        <v>65.04909997</v>
      </c>
      <c r="Z986" s="43">
        <f t="shared" si="212"/>
        <v>0</v>
      </c>
      <c r="AA986" s="43">
        <f t="shared" si="213"/>
        <v>58427</v>
      </c>
      <c r="AB986" s="43">
        <f t="shared" si="214"/>
        <v>20964</v>
      </c>
      <c r="AC986" s="43">
        <f t="shared" si="224"/>
        <v>2.1965121632062434E-2</v>
      </c>
      <c r="AD986" s="43">
        <f t="shared" si="225"/>
        <v>0.90685301037719301</v>
      </c>
      <c r="AF986" s="43">
        <v>15.061975765969327</v>
      </c>
      <c r="AG986" s="43">
        <v>2.0350258E-2</v>
      </c>
      <c r="AH986" s="43">
        <v>2.1969302E-2</v>
      </c>
      <c r="AI986" s="43">
        <v>0.86904981400000003</v>
      </c>
      <c r="AJ986" s="43">
        <v>2.8781911010000001</v>
      </c>
      <c r="AK986" s="43">
        <v>8.2277899360000006</v>
      </c>
      <c r="AL986" s="43">
        <v>4.572492E-3</v>
      </c>
      <c r="AM986" s="230">
        <v>3.7025047545826084E-2</v>
      </c>
      <c r="AN986" s="43">
        <v>0.89430664000000004</v>
      </c>
    </row>
    <row r="987" spans="1:40" x14ac:dyDescent="0.25">
      <c r="A987" s="134">
        <v>977</v>
      </c>
      <c r="B987" s="134" t="s">
        <v>207</v>
      </c>
      <c r="C987" s="134" t="s">
        <v>205</v>
      </c>
      <c r="D987" s="134" t="s">
        <v>62</v>
      </c>
      <c r="E987" s="134">
        <v>0</v>
      </c>
      <c r="F987" s="134">
        <v>0</v>
      </c>
      <c r="G987" s="134">
        <v>16</v>
      </c>
      <c r="H987" s="134">
        <v>319</v>
      </c>
      <c r="I987" s="200">
        <v>2.9993520108799999E-2</v>
      </c>
      <c r="J987" s="134">
        <v>319</v>
      </c>
      <c r="K987" s="134">
        <v>10635.630590999999</v>
      </c>
      <c r="L987" s="42">
        <v>0.87580012564300003</v>
      </c>
      <c r="M987" s="42">
        <v>1</v>
      </c>
      <c r="N987" s="134">
        <v>1</v>
      </c>
      <c r="O987" s="43" t="s">
        <v>666</v>
      </c>
      <c r="P987" s="43">
        <f t="shared" si="215"/>
        <v>14.499257240027736</v>
      </c>
      <c r="Q987" s="43">
        <f t="shared" si="216"/>
        <v>1.8303139E-2</v>
      </c>
      <c r="R987" s="43">
        <f t="shared" si="217"/>
        <v>2.8167818000000001E-2</v>
      </c>
      <c r="S987" s="43">
        <f t="shared" si="218"/>
        <v>0.87580012600000001</v>
      </c>
      <c r="T987" s="43">
        <f t="shared" si="219"/>
        <v>2.945350242</v>
      </c>
      <c r="U987" s="43">
        <f t="shared" si="220"/>
        <v>8.0470026390000005</v>
      </c>
      <c r="V987" s="43">
        <f t="shared" si="221"/>
        <v>3.0476740000000002E-3</v>
      </c>
      <c r="W987" s="230">
        <f t="shared" si="222"/>
        <v>2.0317828894855235E-2</v>
      </c>
      <c r="X987" s="43">
        <f t="shared" si="223"/>
        <v>0.91364922699999995</v>
      </c>
      <c r="Y987" s="43">
        <v>65.572890459999996</v>
      </c>
      <c r="Z987" s="43">
        <f t="shared" si="212"/>
        <v>0</v>
      </c>
      <c r="AA987" s="43">
        <f t="shared" si="213"/>
        <v>58427</v>
      </c>
      <c r="AB987" s="43">
        <f t="shared" si="214"/>
        <v>20964</v>
      </c>
      <c r="AC987" s="43">
        <f t="shared" si="224"/>
        <v>2.1965121632062434E-2</v>
      </c>
      <c r="AD987" s="43">
        <f t="shared" si="225"/>
        <v>0.90685301037719301</v>
      </c>
      <c r="AF987" s="43">
        <v>14.499257240027736</v>
      </c>
      <c r="AG987" s="43">
        <v>1.8303139E-2</v>
      </c>
      <c r="AH987" s="43">
        <v>2.8167818000000001E-2</v>
      </c>
      <c r="AI987" s="43">
        <v>0.87580012600000001</v>
      </c>
      <c r="AJ987" s="43">
        <v>2.945350242</v>
      </c>
      <c r="AK987" s="43">
        <v>8.0470026390000005</v>
      </c>
      <c r="AL987" s="43">
        <v>3.0476740000000002E-3</v>
      </c>
      <c r="AM987" s="230">
        <v>2.0317828894855235E-2</v>
      </c>
      <c r="AN987" s="43">
        <v>0.91364922699999995</v>
      </c>
    </row>
    <row r="988" spans="1:40" x14ac:dyDescent="0.25">
      <c r="A988" s="134">
        <v>978</v>
      </c>
      <c r="B988" s="134" t="s">
        <v>207</v>
      </c>
      <c r="C988" s="134" t="s">
        <v>205</v>
      </c>
      <c r="D988" s="134" t="s">
        <v>62</v>
      </c>
      <c r="E988" s="134">
        <v>623</v>
      </c>
      <c r="F988" s="134">
        <v>1326</v>
      </c>
      <c r="G988" s="134">
        <v>172</v>
      </c>
      <c r="H988" s="134">
        <v>0</v>
      </c>
      <c r="I988" s="200">
        <v>0.26478795689000001</v>
      </c>
      <c r="J988" s="134">
        <v>1326</v>
      </c>
      <c r="K988" s="134">
        <v>5007.7806240600003</v>
      </c>
      <c r="L988" s="42">
        <v>0.92554558905100004</v>
      </c>
      <c r="M988" s="42">
        <v>0</v>
      </c>
      <c r="N988" s="134">
        <v>0</v>
      </c>
      <c r="O988" s="43" t="s">
        <v>666</v>
      </c>
      <c r="P988" s="43">
        <f t="shared" si="215"/>
        <v>17.851855658637845</v>
      </c>
      <c r="Q988" s="43">
        <f t="shared" si="216"/>
        <v>1.3094137E-2</v>
      </c>
      <c r="R988" s="43">
        <f t="shared" si="217"/>
        <v>1.3510263999999999E-2</v>
      </c>
      <c r="S988" s="43">
        <f t="shared" si="218"/>
        <v>0.92554558899999995</v>
      </c>
      <c r="T988" s="43">
        <f t="shared" si="219"/>
        <v>3.5998975409999998</v>
      </c>
      <c r="U988" s="43">
        <f t="shared" si="220"/>
        <v>11.207634990000001</v>
      </c>
      <c r="V988" s="43">
        <f t="shared" si="221"/>
        <v>2.0121750000000002E-3</v>
      </c>
      <c r="W988" s="230">
        <f t="shared" si="222"/>
        <v>5.2724077328646743E-2</v>
      </c>
      <c r="X988" s="43">
        <f t="shared" si="223"/>
        <v>0.91673671099999998</v>
      </c>
      <c r="Y988" s="43">
        <v>57.54343755</v>
      </c>
      <c r="Z988" s="43">
        <f t="shared" si="212"/>
        <v>0</v>
      </c>
      <c r="AA988" s="43">
        <f t="shared" si="213"/>
        <v>58427</v>
      </c>
      <c r="AB988" s="43">
        <f t="shared" si="214"/>
        <v>20964</v>
      </c>
      <c r="AC988" s="43">
        <f t="shared" si="224"/>
        <v>2.1965121632062434E-2</v>
      </c>
      <c r="AD988" s="43">
        <f t="shared" si="225"/>
        <v>0.90685301037719301</v>
      </c>
      <c r="AF988" s="43">
        <v>17.851855658637845</v>
      </c>
      <c r="AG988" s="43">
        <v>1.3094137E-2</v>
      </c>
      <c r="AH988" s="43">
        <v>1.3510263999999999E-2</v>
      </c>
      <c r="AI988" s="43">
        <v>0.92554558899999995</v>
      </c>
      <c r="AJ988" s="43">
        <v>3.5998975409999998</v>
      </c>
      <c r="AK988" s="43">
        <v>11.207634990000001</v>
      </c>
      <c r="AL988" s="43">
        <v>2.0121750000000002E-3</v>
      </c>
      <c r="AM988" s="230">
        <v>5.2724077328646743E-2</v>
      </c>
      <c r="AN988" s="43">
        <v>0.91673671099999998</v>
      </c>
    </row>
    <row r="989" spans="1:40" x14ac:dyDescent="0.25">
      <c r="A989" s="134">
        <v>979</v>
      </c>
      <c r="B989" s="134" t="s">
        <v>207</v>
      </c>
      <c r="C989" s="134" t="s">
        <v>205</v>
      </c>
      <c r="D989" s="134" t="s">
        <v>62</v>
      </c>
      <c r="E989" s="134">
        <v>950</v>
      </c>
      <c r="F989" s="134">
        <v>2024</v>
      </c>
      <c r="G989" s="134">
        <v>162</v>
      </c>
      <c r="H989" s="134">
        <v>0</v>
      </c>
      <c r="I989" s="200">
        <v>0.24883718392199999</v>
      </c>
      <c r="J989" s="134">
        <v>2024</v>
      </c>
      <c r="K989" s="134">
        <v>8133.83260531</v>
      </c>
      <c r="L989" s="42">
        <v>0.92484852931299999</v>
      </c>
      <c r="M989" s="42">
        <v>0</v>
      </c>
      <c r="N989" s="134">
        <v>0</v>
      </c>
      <c r="O989" s="43" t="s">
        <v>665</v>
      </c>
      <c r="P989" s="43">
        <f t="shared" si="215"/>
        <v>17.815404002238441</v>
      </c>
      <c r="Q989" s="43">
        <f t="shared" si="216"/>
        <v>1.3685858E-2</v>
      </c>
      <c r="R989" s="43">
        <f t="shared" si="217"/>
        <v>1.3847875000000001E-2</v>
      </c>
      <c r="S989" s="43">
        <f t="shared" si="218"/>
        <v>0.92484852900000003</v>
      </c>
      <c r="T989" s="43">
        <f t="shared" si="219"/>
        <v>3.7037529060000001</v>
      </c>
      <c r="U989" s="43">
        <f t="shared" si="220"/>
        <v>11.188448940000001</v>
      </c>
      <c r="V989" s="43">
        <f t="shared" si="221"/>
        <v>2.625067E-3</v>
      </c>
      <c r="W989" s="230">
        <f t="shared" si="222"/>
        <v>5.4139914392723379E-2</v>
      </c>
      <c r="X989" s="43">
        <f t="shared" si="223"/>
        <v>0.92312065300000001</v>
      </c>
      <c r="Y989" s="43">
        <v>109.42032740000001</v>
      </c>
      <c r="Z989" s="43">
        <f t="shared" si="212"/>
        <v>0</v>
      </c>
      <c r="AA989" s="43">
        <f t="shared" si="213"/>
        <v>58427</v>
      </c>
      <c r="AB989" s="43">
        <f t="shared" si="214"/>
        <v>20964</v>
      </c>
      <c r="AC989" s="43">
        <f t="shared" si="224"/>
        <v>2.1965121632062434E-2</v>
      </c>
      <c r="AD989" s="43">
        <f t="shared" si="225"/>
        <v>0.90685301037719301</v>
      </c>
      <c r="AF989" s="43">
        <v>17.815404002238441</v>
      </c>
      <c r="AG989" s="43">
        <v>1.3685858E-2</v>
      </c>
      <c r="AH989" s="43">
        <v>1.3847875000000001E-2</v>
      </c>
      <c r="AI989" s="43">
        <v>0.92484852900000003</v>
      </c>
      <c r="AJ989" s="43">
        <v>3.7037529060000001</v>
      </c>
      <c r="AK989" s="43">
        <v>11.188448940000001</v>
      </c>
      <c r="AL989" s="43">
        <v>2.625067E-3</v>
      </c>
      <c r="AM989" s="230">
        <v>5.4139914392723379E-2</v>
      </c>
      <c r="AN989" s="43">
        <v>0.92312065300000001</v>
      </c>
    </row>
    <row r="990" spans="1:40" x14ac:dyDescent="0.25">
      <c r="A990" s="134">
        <v>980</v>
      </c>
      <c r="B990" s="134" t="s">
        <v>207</v>
      </c>
      <c r="C990" s="134" t="s">
        <v>205</v>
      </c>
      <c r="D990" s="134" t="s">
        <v>62</v>
      </c>
      <c r="E990" s="134">
        <v>83</v>
      </c>
      <c r="F990" s="134">
        <v>177</v>
      </c>
      <c r="G990" s="134">
        <v>46</v>
      </c>
      <c r="H990" s="134">
        <v>227</v>
      </c>
      <c r="I990" s="200">
        <v>7.0273368715800005E-2</v>
      </c>
      <c r="J990" s="134">
        <v>404</v>
      </c>
      <c r="K990" s="134">
        <v>5748.9772780599997</v>
      </c>
      <c r="L990" s="42">
        <v>0.90865117570800003</v>
      </c>
      <c r="M990" s="42">
        <v>0.73225806451599995</v>
      </c>
      <c r="N990" s="134">
        <v>0</v>
      </c>
      <c r="O990" s="43" t="s">
        <v>666</v>
      </c>
      <c r="P990" s="43">
        <f t="shared" si="215"/>
        <v>14.551813223968869</v>
      </c>
      <c r="Q990" s="43">
        <f t="shared" si="216"/>
        <v>1.28217E-2</v>
      </c>
      <c r="R990" s="43">
        <f t="shared" si="217"/>
        <v>1.0530457E-2</v>
      </c>
      <c r="S990" s="43">
        <f t="shared" si="218"/>
        <v>0.908651176</v>
      </c>
      <c r="T990" s="43">
        <f t="shared" si="219"/>
        <v>3.1272827890000001</v>
      </c>
      <c r="U990" s="43">
        <f t="shared" si="220"/>
        <v>8.6743718790000006</v>
      </c>
      <c r="V990" s="43">
        <f t="shared" si="221"/>
        <v>3.2087280000000001E-3</v>
      </c>
      <c r="W990" s="230">
        <f t="shared" si="222"/>
        <v>2.0428899941173324E-2</v>
      </c>
      <c r="X990" s="43">
        <f t="shared" si="223"/>
        <v>0.91662655800000004</v>
      </c>
      <c r="Y990" s="43">
        <v>102.9425626</v>
      </c>
      <c r="Z990" s="43">
        <f t="shared" si="212"/>
        <v>0</v>
      </c>
      <c r="AA990" s="43">
        <f t="shared" si="213"/>
        <v>58427</v>
      </c>
      <c r="AB990" s="43">
        <f t="shared" si="214"/>
        <v>20964</v>
      </c>
      <c r="AC990" s="43">
        <f t="shared" si="224"/>
        <v>2.1965121632062434E-2</v>
      </c>
      <c r="AD990" s="43">
        <f t="shared" si="225"/>
        <v>0.90685301037719301</v>
      </c>
      <c r="AF990" s="43">
        <v>14.551813223968869</v>
      </c>
      <c r="AG990" s="43">
        <v>1.28217E-2</v>
      </c>
      <c r="AH990" s="43">
        <v>1.0530457E-2</v>
      </c>
      <c r="AI990" s="43">
        <v>0.908651176</v>
      </c>
      <c r="AJ990" s="43">
        <v>3.1272827890000001</v>
      </c>
      <c r="AK990" s="43">
        <v>8.6743718790000006</v>
      </c>
      <c r="AL990" s="43">
        <v>3.2087280000000001E-3</v>
      </c>
      <c r="AM990" s="230">
        <v>2.0428899941173324E-2</v>
      </c>
      <c r="AN990" s="43">
        <v>0.91662655800000004</v>
      </c>
    </row>
    <row r="991" spans="1:40" x14ac:dyDescent="0.25">
      <c r="A991" s="134">
        <v>981</v>
      </c>
      <c r="B991" s="134" t="s">
        <v>207</v>
      </c>
      <c r="C991" s="134" t="s">
        <v>205</v>
      </c>
      <c r="D991" s="134" t="s">
        <v>62</v>
      </c>
      <c r="E991" s="134">
        <v>279</v>
      </c>
      <c r="F991" s="134">
        <v>594</v>
      </c>
      <c r="G991" s="134">
        <v>20</v>
      </c>
      <c r="H991" s="134">
        <v>0</v>
      </c>
      <c r="I991" s="200">
        <v>3.0731381192400001E-2</v>
      </c>
      <c r="J991" s="134">
        <v>594</v>
      </c>
      <c r="K991" s="134">
        <v>19328.7765454</v>
      </c>
      <c r="L991" s="42">
        <v>0.90353572930500003</v>
      </c>
      <c r="M991" s="42">
        <v>0</v>
      </c>
      <c r="N991" s="134">
        <v>0</v>
      </c>
      <c r="O991" s="43" t="s">
        <v>666</v>
      </c>
      <c r="P991" s="43">
        <f t="shared" si="215"/>
        <v>17.237392858265963</v>
      </c>
      <c r="Q991" s="43">
        <f t="shared" si="216"/>
        <v>1.2885625E-2</v>
      </c>
      <c r="R991" s="43">
        <f t="shared" si="217"/>
        <v>1.4050184E-2</v>
      </c>
      <c r="S991" s="43">
        <f t="shared" si="218"/>
        <v>0.90353572900000001</v>
      </c>
      <c r="T991" s="43">
        <f t="shared" si="219"/>
        <v>3.3229007629999998</v>
      </c>
      <c r="U991" s="43">
        <f t="shared" si="220"/>
        <v>10.222496659999999</v>
      </c>
      <c r="V991" s="43">
        <f t="shared" si="221"/>
        <v>2.821605E-3</v>
      </c>
      <c r="W991" s="230">
        <f t="shared" si="222"/>
        <v>4.8888632960958196E-2</v>
      </c>
      <c r="X991" s="43">
        <f t="shared" si="223"/>
        <v>0.88932396599999997</v>
      </c>
      <c r="Y991" s="43">
        <v>102.9426929</v>
      </c>
      <c r="Z991" s="43">
        <f t="shared" si="212"/>
        <v>0</v>
      </c>
      <c r="AA991" s="43">
        <f t="shared" si="213"/>
        <v>58427</v>
      </c>
      <c r="AB991" s="43">
        <f t="shared" si="214"/>
        <v>20964</v>
      </c>
      <c r="AC991" s="43">
        <f t="shared" si="224"/>
        <v>2.1965121632062434E-2</v>
      </c>
      <c r="AD991" s="43">
        <f t="shared" si="225"/>
        <v>0.90685301037719301</v>
      </c>
      <c r="AF991" s="43">
        <v>17.237392858265963</v>
      </c>
      <c r="AG991" s="43">
        <v>1.2885625E-2</v>
      </c>
      <c r="AH991" s="43">
        <v>1.4050184E-2</v>
      </c>
      <c r="AI991" s="43">
        <v>0.90353572900000001</v>
      </c>
      <c r="AJ991" s="43">
        <v>3.3229007629999998</v>
      </c>
      <c r="AK991" s="43">
        <v>10.222496659999999</v>
      </c>
      <c r="AL991" s="43">
        <v>2.821605E-3</v>
      </c>
      <c r="AM991" s="230">
        <v>4.8888632960958196E-2</v>
      </c>
      <c r="AN991" s="43">
        <v>0.88932396599999997</v>
      </c>
    </row>
    <row r="992" spans="1:40" x14ac:dyDescent="0.25">
      <c r="A992" s="134">
        <v>982</v>
      </c>
      <c r="B992" s="134" t="s">
        <v>207</v>
      </c>
      <c r="C992" s="134" t="s">
        <v>205</v>
      </c>
      <c r="D992" s="134" t="s">
        <v>62</v>
      </c>
      <c r="E992" s="134">
        <v>0</v>
      </c>
      <c r="F992" s="134">
        <v>0</v>
      </c>
      <c r="G992" s="134">
        <v>44</v>
      </c>
      <c r="H992" s="134">
        <v>1220</v>
      </c>
      <c r="I992" s="200">
        <v>9.6331494304700005E-2</v>
      </c>
      <c r="J992" s="134">
        <v>1220</v>
      </c>
      <c r="K992" s="134">
        <v>12664.6016322</v>
      </c>
      <c r="L992" s="42">
        <v>0.89647158632000001</v>
      </c>
      <c r="M992" s="42">
        <v>1</v>
      </c>
      <c r="N992" s="134">
        <v>0</v>
      </c>
      <c r="O992" s="43" t="s">
        <v>666</v>
      </c>
      <c r="P992" s="43">
        <f t="shared" si="215"/>
        <v>15.29615444712354</v>
      </c>
      <c r="Q992" s="43">
        <f t="shared" si="216"/>
        <v>1.8086561000000001E-2</v>
      </c>
      <c r="R992" s="43">
        <f t="shared" si="217"/>
        <v>7.6804710000000003E-3</v>
      </c>
      <c r="S992" s="43">
        <f t="shared" si="218"/>
        <v>0.89647158599999999</v>
      </c>
      <c r="T992" s="43">
        <f t="shared" si="219"/>
        <v>2.9026184169999998</v>
      </c>
      <c r="U992" s="43">
        <f t="shared" si="220"/>
        <v>9.1194732789999993</v>
      </c>
      <c r="V992" s="43">
        <f t="shared" si="221"/>
        <v>4.1232070000000003E-3</v>
      </c>
      <c r="W992" s="230">
        <f t="shared" si="222"/>
        <v>2.7186805738599992E-2</v>
      </c>
      <c r="X992" s="43">
        <f t="shared" si="223"/>
        <v>0.926855443</v>
      </c>
      <c r="Y992" s="43">
        <v>134.3912928</v>
      </c>
      <c r="Z992" s="43">
        <f t="shared" si="212"/>
        <v>0</v>
      </c>
      <c r="AA992" s="43">
        <f t="shared" si="213"/>
        <v>58427</v>
      </c>
      <c r="AB992" s="43">
        <f t="shared" si="214"/>
        <v>20964</v>
      </c>
      <c r="AC992" s="43">
        <f t="shared" si="224"/>
        <v>2.1965121632062434E-2</v>
      </c>
      <c r="AD992" s="43">
        <f t="shared" si="225"/>
        <v>0.90685301037719301</v>
      </c>
      <c r="AF992" s="43">
        <v>15.29615444712354</v>
      </c>
      <c r="AG992" s="43">
        <v>1.8086561000000001E-2</v>
      </c>
      <c r="AH992" s="43">
        <v>7.6804710000000003E-3</v>
      </c>
      <c r="AI992" s="43">
        <v>0.89647158599999999</v>
      </c>
      <c r="AJ992" s="43">
        <v>2.9026184169999998</v>
      </c>
      <c r="AK992" s="43">
        <v>9.1194732789999993</v>
      </c>
      <c r="AL992" s="43">
        <v>4.1232070000000003E-3</v>
      </c>
      <c r="AM992" s="230">
        <v>2.7186805738599992E-2</v>
      </c>
      <c r="AN992" s="43">
        <v>0.926855443</v>
      </c>
    </row>
    <row r="993" spans="1:40" x14ac:dyDescent="0.25">
      <c r="A993" s="134">
        <v>983</v>
      </c>
      <c r="B993" s="134" t="s">
        <v>207</v>
      </c>
      <c r="C993" s="134" t="s">
        <v>205</v>
      </c>
      <c r="D993" s="134" t="s">
        <v>62</v>
      </c>
      <c r="E993" s="134">
        <v>1449</v>
      </c>
      <c r="F993" s="134">
        <v>4136</v>
      </c>
      <c r="G993" s="134">
        <v>27</v>
      </c>
      <c r="H993" s="134">
        <v>777</v>
      </c>
      <c r="I993" s="200">
        <v>5.9967356680099997E-2</v>
      </c>
      <c r="J993" s="134">
        <v>4913</v>
      </c>
      <c r="K993" s="134">
        <v>81927.906647700001</v>
      </c>
      <c r="L993" s="42">
        <v>0.83910917415099995</v>
      </c>
      <c r="M993" s="42">
        <v>0.349056603774</v>
      </c>
      <c r="N993" s="134">
        <v>1</v>
      </c>
      <c r="O993" s="43" t="s">
        <v>664</v>
      </c>
      <c r="P993" s="43">
        <f t="shared" si="215"/>
        <v>15.716142077671647</v>
      </c>
      <c r="Q993" s="43">
        <f t="shared" si="216"/>
        <v>3.8063412999999997E-2</v>
      </c>
      <c r="R993" s="43">
        <f t="shared" si="217"/>
        <v>1.0486051E-2</v>
      </c>
      <c r="S993" s="43">
        <f t="shared" si="218"/>
        <v>0.83910917399999996</v>
      </c>
      <c r="T993" s="43">
        <f t="shared" si="219"/>
        <v>2.9097013610000002</v>
      </c>
      <c r="U993" s="43">
        <f t="shared" si="220"/>
        <v>9.1092788870000003</v>
      </c>
      <c r="V993" s="43">
        <f t="shared" si="221"/>
        <v>9.895259E-3</v>
      </c>
      <c r="W993" s="230">
        <f t="shared" si="222"/>
        <v>9.364014062000639E-2</v>
      </c>
      <c r="X993" s="43">
        <f t="shared" si="223"/>
        <v>0.83193738399999995</v>
      </c>
      <c r="Y993" s="43">
        <v>32.844037780000001</v>
      </c>
      <c r="Z993" s="43">
        <f t="shared" si="212"/>
        <v>0</v>
      </c>
      <c r="AA993" s="43">
        <f t="shared" si="213"/>
        <v>58427</v>
      </c>
      <c r="AB993" s="43">
        <f t="shared" si="214"/>
        <v>20964</v>
      </c>
      <c r="AC993" s="43">
        <f t="shared" si="224"/>
        <v>2.1965121632062434E-2</v>
      </c>
      <c r="AD993" s="43">
        <f t="shared" si="225"/>
        <v>0.90685301037719301</v>
      </c>
      <c r="AF993" s="43">
        <v>15.716142077671647</v>
      </c>
      <c r="AG993" s="43">
        <v>3.8063412999999997E-2</v>
      </c>
      <c r="AH993" s="43">
        <v>1.0486051E-2</v>
      </c>
      <c r="AI993" s="43">
        <v>0.83910917399999996</v>
      </c>
      <c r="AJ993" s="43">
        <v>2.9097013610000002</v>
      </c>
      <c r="AK993" s="43">
        <v>9.1092788870000003</v>
      </c>
      <c r="AL993" s="43">
        <v>9.895259E-3</v>
      </c>
      <c r="AM993" s="230">
        <v>9.364014062000639E-2</v>
      </c>
      <c r="AN993" s="43">
        <v>0.83193738399999995</v>
      </c>
    </row>
    <row r="994" spans="1:40" x14ac:dyDescent="0.25">
      <c r="A994" s="134">
        <v>984</v>
      </c>
      <c r="B994" s="134" t="s">
        <v>207</v>
      </c>
      <c r="C994" s="134" t="s">
        <v>205</v>
      </c>
      <c r="D994" s="134" t="s">
        <v>62</v>
      </c>
      <c r="E994" s="134">
        <v>0</v>
      </c>
      <c r="F994" s="134">
        <v>0</v>
      </c>
      <c r="G994" s="134">
        <v>29</v>
      </c>
      <c r="H994" s="134">
        <v>938</v>
      </c>
      <c r="I994" s="200">
        <v>3.8170468524800001E-2</v>
      </c>
      <c r="J994" s="134">
        <v>938</v>
      </c>
      <c r="K994" s="134">
        <v>24573.9713515</v>
      </c>
      <c r="L994" s="42">
        <v>0.87161587888000003</v>
      </c>
      <c r="M994" s="42">
        <v>1</v>
      </c>
      <c r="N994" s="134">
        <v>1</v>
      </c>
      <c r="O994" s="43" t="s">
        <v>664</v>
      </c>
      <c r="P994" s="43">
        <f t="shared" si="215"/>
        <v>14.607740639573866</v>
      </c>
      <c r="Q994" s="43">
        <f t="shared" si="216"/>
        <v>2.8880478000000001E-2</v>
      </c>
      <c r="R994" s="43">
        <f t="shared" si="217"/>
        <v>7.1507089999999999E-3</v>
      </c>
      <c r="S994" s="43">
        <f t="shared" si="218"/>
        <v>0.87161587900000004</v>
      </c>
      <c r="T994" s="43">
        <f t="shared" si="219"/>
        <v>2.6818000799999999</v>
      </c>
      <c r="U994" s="43">
        <f t="shared" si="220"/>
        <v>9.0487272779999994</v>
      </c>
      <c r="V994" s="43">
        <f t="shared" si="221"/>
        <v>3.9702870000000003E-3</v>
      </c>
      <c r="W994" s="230">
        <f t="shared" si="222"/>
        <v>4.198258196721312E-2</v>
      </c>
      <c r="X994" s="43">
        <f t="shared" si="223"/>
        <v>0.88665471299999998</v>
      </c>
      <c r="Y994" s="43">
        <v>32.908498659999999</v>
      </c>
      <c r="Z994" s="43">
        <f t="shared" si="212"/>
        <v>0</v>
      </c>
      <c r="AA994" s="43">
        <f t="shared" si="213"/>
        <v>58427</v>
      </c>
      <c r="AB994" s="43">
        <f t="shared" si="214"/>
        <v>20964</v>
      </c>
      <c r="AC994" s="43">
        <f t="shared" si="224"/>
        <v>2.1965121632062434E-2</v>
      </c>
      <c r="AD994" s="43">
        <f t="shared" si="225"/>
        <v>0.90685301037719301</v>
      </c>
      <c r="AF994" s="43">
        <v>14.607740639573866</v>
      </c>
      <c r="AG994" s="43">
        <v>2.8880478000000001E-2</v>
      </c>
      <c r="AH994" s="43">
        <v>7.1507089999999999E-3</v>
      </c>
      <c r="AI994" s="43">
        <v>0.87161587900000004</v>
      </c>
      <c r="AJ994" s="43">
        <v>2.6818000799999999</v>
      </c>
      <c r="AK994" s="43">
        <v>9.0487272779999994</v>
      </c>
      <c r="AL994" s="43">
        <v>3.9702870000000003E-3</v>
      </c>
      <c r="AM994" s="230">
        <v>4.198258196721312E-2</v>
      </c>
      <c r="AN994" s="43">
        <v>0.88665471299999998</v>
      </c>
    </row>
    <row r="995" spans="1:40" x14ac:dyDescent="0.25">
      <c r="A995" s="134">
        <v>985</v>
      </c>
      <c r="B995" s="134" t="s">
        <v>207</v>
      </c>
      <c r="C995" s="134" t="s">
        <v>205</v>
      </c>
      <c r="D995" s="134" t="s">
        <v>62</v>
      </c>
      <c r="E995" s="134">
        <v>0</v>
      </c>
      <c r="F995" s="134">
        <v>0</v>
      </c>
      <c r="G995" s="134">
        <v>578</v>
      </c>
      <c r="H995" s="134">
        <v>0</v>
      </c>
      <c r="I995" s="200">
        <v>0.124583891547</v>
      </c>
      <c r="J995" s="134">
        <v>0</v>
      </c>
      <c r="K995" s="134">
        <v>0</v>
      </c>
      <c r="L995" s="42">
        <v>0.95386687619300004</v>
      </c>
      <c r="M995" s="42">
        <v>0</v>
      </c>
      <c r="N995" s="134">
        <v>0</v>
      </c>
      <c r="O995" s="43" t="s">
        <v>665</v>
      </c>
      <c r="P995" s="43">
        <f t="shared" si="215"/>
        <v>16.949272386598746</v>
      </c>
      <c r="Q995" s="43">
        <f t="shared" si="216"/>
        <v>4.3663711000000001E-2</v>
      </c>
      <c r="R995" s="43">
        <f t="shared" si="217"/>
        <v>2.2449199999999999E-4</v>
      </c>
      <c r="S995" s="43">
        <f t="shared" si="218"/>
        <v>0.95386687599999997</v>
      </c>
      <c r="T995" s="43">
        <f t="shared" si="219"/>
        <v>9</v>
      </c>
      <c r="U995" s="43">
        <f t="shared" si="220"/>
        <v>32.105500450000001</v>
      </c>
      <c r="V995" s="43">
        <f t="shared" si="221"/>
        <v>2.0287614424242431E-3</v>
      </c>
      <c r="W995" s="230">
        <f t="shared" si="222"/>
        <v>4.8707337327105672E-2</v>
      </c>
      <c r="X995" s="43">
        <f t="shared" si="223"/>
        <v>0.88538289384112134</v>
      </c>
      <c r="Y995" s="43">
        <v>28.22484897</v>
      </c>
      <c r="Z995" s="43">
        <f t="shared" si="212"/>
        <v>0</v>
      </c>
      <c r="AA995" s="43">
        <f t="shared" si="213"/>
        <v>58427</v>
      </c>
      <c r="AB995" s="43">
        <f t="shared" si="214"/>
        <v>20964</v>
      </c>
      <c r="AC995" s="43">
        <f t="shared" si="224"/>
        <v>2.1965121632062434E-2</v>
      </c>
      <c r="AD995" s="43">
        <f t="shared" si="225"/>
        <v>0.90685301037719301</v>
      </c>
      <c r="AF995" s="43" t="e">
        <v>#DIV/0!</v>
      </c>
      <c r="AG995" s="43">
        <v>4.3663711000000001E-2</v>
      </c>
      <c r="AH995" s="43">
        <v>2.2449199999999999E-4</v>
      </c>
      <c r="AI995" s="43">
        <v>0.95386687599999997</v>
      </c>
      <c r="AJ995" s="43">
        <v>9</v>
      </c>
      <c r="AK995" s="43">
        <v>32.105500450000001</v>
      </c>
      <c r="AL995" s="43" t="e">
        <v>#DIV/0!</v>
      </c>
      <c r="AM995" s="230" t="e">
        <v>#DIV/0!</v>
      </c>
      <c r="AN995" s="43" t="e">
        <v>#DIV/0!</v>
      </c>
    </row>
    <row r="996" spans="1:40" x14ac:dyDescent="0.25">
      <c r="A996" s="134">
        <v>986</v>
      </c>
      <c r="B996" s="134" t="s">
        <v>207</v>
      </c>
      <c r="C996" s="134" t="s">
        <v>205</v>
      </c>
      <c r="D996" s="134" t="s">
        <v>62</v>
      </c>
      <c r="E996" s="134">
        <v>0</v>
      </c>
      <c r="F996" s="134">
        <v>0</v>
      </c>
      <c r="G996" s="134">
        <v>25</v>
      </c>
      <c r="H996" s="134">
        <v>302</v>
      </c>
      <c r="I996" s="200">
        <v>5.7127384592700003E-2</v>
      </c>
      <c r="J996" s="134">
        <v>302</v>
      </c>
      <c r="K996" s="134">
        <v>5286.4314050599996</v>
      </c>
      <c r="L996" s="42">
        <v>0.89450739691500003</v>
      </c>
      <c r="M996" s="42">
        <v>1</v>
      </c>
      <c r="N996" s="134">
        <v>1</v>
      </c>
      <c r="O996" s="43" t="s">
        <v>664</v>
      </c>
      <c r="P996" s="43">
        <f t="shared" si="215"/>
        <v>14.714830170884589</v>
      </c>
      <c r="Q996" s="43">
        <f t="shared" si="216"/>
        <v>1.9798552000000001E-2</v>
      </c>
      <c r="R996" s="43">
        <f t="shared" si="217"/>
        <v>6.3424609999999998E-3</v>
      </c>
      <c r="S996" s="43">
        <f t="shared" si="218"/>
        <v>0.89450739700000004</v>
      </c>
      <c r="T996" s="43">
        <f t="shared" si="219"/>
        <v>2.8774752480000001</v>
      </c>
      <c r="U996" s="43">
        <f t="shared" si="220"/>
        <v>10.31521691</v>
      </c>
      <c r="V996" s="43">
        <f t="shared" si="221"/>
        <v>3.6775520000000002E-3</v>
      </c>
      <c r="W996" s="230">
        <f t="shared" si="222"/>
        <v>1.1179758752574286E-2</v>
      </c>
      <c r="X996" s="43">
        <f t="shared" si="223"/>
        <v>0.911150338</v>
      </c>
      <c r="Y996" s="43">
        <v>32.896500359999997</v>
      </c>
      <c r="Z996" s="43">
        <f t="shared" si="212"/>
        <v>0</v>
      </c>
      <c r="AA996" s="43">
        <f t="shared" si="213"/>
        <v>58427</v>
      </c>
      <c r="AB996" s="43">
        <f t="shared" si="214"/>
        <v>20964</v>
      </c>
      <c r="AC996" s="43">
        <f t="shared" si="224"/>
        <v>2.1965121632062434E-2</v>
      </c>
      <c r="AD996" s="43">
        <f t="shared" si="225"/>
        <v>0.90685301037719301</v>
      </c>
      <c r="AF996" s="43">
        <v>14.714830170884589</v>
      </c>
      <c r="AG996" s="43">
        <v>1.9798552000000001E-2</v>
      </c>
      <c r="AH996" s="43">
        <v>6.3424609999999998E-3</v>
      </c>
      <c r="AI996" s="43">
        <v>0.89450739700000004</v>
      </c>
      <c r="AJ996" s="43">
        <v>2.8774752480000001</v>
      </c>
      <c r="AK996" s="43">
        <v>10.31521691</v>
      </c>
      <c r="AL996" s="43">
        <v>3.6775520000000002E-3</v>
      </c>
      <c r="AM996" s="230">
        <v>1.1179758752574286E-2</v>
      </c>
      <c r="AN996" s="43">
        <v>0.911150338</v>
      </c>
    </row>
    <row r="997" spans="1:40" x14ac:dyDescent="0.25">
      <c r="A997" s="134">
        <v>987</v>
      </c>
      <c r="B997" s="134" t="s">
        <v>207</v>
      </c>
      <c r="C997" s="134" t="s">
        <v>205</v>
      </c>
      <c r="D997" s="134" t="s">
        <v>62</v>
      </c>
      <c r="E997" s="134">
        <v>0</v>
      </c>
      <c r="F997" s="134">
        <v>0</v>
      </c>
      <c r="G997" s="134">
        <v>14</v>
      </c>
      <c r="H997" s="134">
        <v>329</v>
      </c>
      <c r="I997" s="200">
        <v>3.13747804851E-2</v>
      </c>
      <c r="J997" s="134">
        <v>329</v>
      </c>
      <c r="K997" s="134">
        <v>10486.129143</v>
      </c>
      <c r="L997" s="42">
        <v>0.888266591991</v>
      </c>
      <c r="M997" s="42">
        <v>1</v>
      </c>
      <c r="N997" s="134">
        <v>1</v>
      </c>
      <c r="O997" s="43" t="s">
        <v>666</v>
      </c>
      <c r="P997" s="43">
        <f t="shared" si="215"/>
        <v>14.746057855410365</v>
      </c>
      <c r="Q997" s="43">
        <f t="shared" si="216"/>
        <v>2.0943566E-2</v>
      </c>
      <c r="R997" s="43">
        <f t="shared" si="217"/>
        <v>6.4407730000000003E-3</v>
      </c>
      <c r="S997" s="43">
        <f t="shared" si="218"/>
        <v>0.88826659200000002</v>
      </c>
      <c r="T997" s="43">
        <f t="shared" si="219"/>
        <v>2.7689694220000001</v>
      </c>
      <c r="U997" s="43">
        <f t="shared" si="220"/>
        <v>10.060095560000001</v>
      </c>
      <c r="V997" s="43">
        <f t="shared" si="221"/>
        <v>3.5355679999999998E-3</v>
      </c>
      <c r="W997" s="230">
        <f t="shared" si="222"/>
        <v>1.7324282279734128E-2</v>
      </c>
      <c r="X997" s="43">
        <f t="shared" si="223"/>
        <v>0.901286947</v>
      </c>
      <c r="Y997" s="43">
        <v>32.854061100000003</v>
      </c>
      <c r="Z997" s="43">
        <f t="shared" si="212"/>
        <v>0</v>
      </c>
      <c r="AA997" s="43">
        <f t="shared" si="213"/>
        <v>58427</v>
      </c>
      <c r="AB997" s="43">
        <f t="shared" si="214"/>
        <v>20964</v>
      </c>
      <c r="AC997" s="43">
        <f t="shared" si="224"/>
        <v>2.1965121632062434E-2</v>
      </c>
      <c r="AD997" s="43">
        <f t="shared" si="225"/>
        <v>0.90685301037719301</v>
      </c>
      <c r="AF997" s="43">
        <v>14.746057855410365</v>
      </c>
      <c r="AG997" s="43">
        <v>2.0943566E-2</v>
      </c>
      <c r="AH997" s="43">
        <v>6.4407730000000003E-3</v>
      </c>
      <c r="AI997" s="43">
        <v>0.88826659200000002</v>
      </c>
      <c r="AJ997" s="43">
        <v>2.7689694220000001</v>
      </c>
      <c r="AK997" s="43">
        <v>10.060095560000001</v>
      </c>
      <c r="AL997" s="43">
        <v>3.5355679999999998E-3</v>
      </c>
      <c r="AM997" s="230">
        <v>1.7324282279734128E-2</v>
      </c>
      <c r="AN997" s="43">
        <v>0.901286947</v>
      </c>
    </row>
    <row r="998" spans="1:40" x14ac:dyDescent="0.25">
      <c r="A998" s="134">
        <v>988</v>
      </c>
      <c r="B998" s="134" t="s">
        <v>207</v>
      </c>
      <c r="C998" s="134" t="s">
        <v>205</v>
      </c>
      <c r="D998" s="134" t="s">
        <v>62</v>
      </c>
      <c r="E998" s="134">
        <v>390</v>
      </c>
      <c r="F998" s="134">
        <v>1113</v>
      </c>
      <c r="G998" s="134">
        <v>17</v>
      </c>
      <c r="H998" s="134">
        <v>149</v>
      </c>
      <c r="I998" s="200">
        <v>3.7495765271700003E-2</v>
      </c>
      <c r="J998" s="134">
        <v>1262</v>
      </c>
      <c r="K998" s="134">
        <v>33657.134101800002</v>
      </c>
      <c r="L998" s="42">
        <v>0.87365190953100003</v>
      </c>
      <c r="M998" s="42">
        <v>0.27643784786600001</v>
      </c>
      <c r="N998" s="134">
        <v>0</v>
      </c>
      <c r="O998" s="43" t="s">
        <v>664</v>
      </c>
      <c r="P998" s="43">
        <f t="shared" si="215"/>
        <v>16.654222935485951</v>
      </c>
      <c r="Q998" s="43">
        <f t="shared" si="216"/>
        <v>2.4628644000000002E-2</v>
      </c>
      <c r="R998" s="43">
        <f t="shared" si="217"/>
        <v>9.7649920000000001E-3</v>
      </c>
      <c r="S998" s="43">
        <f t="shared" si="218"/>
        <v>0.87365190999999998</v>
      </c>
      <c r="T998" s="43">
        <f t="shared" si="219"/>
        <v>3.0154477430000002</v>
      </c>
      <c r="U998" s="43">
        <f t="shared" si="220"/>
        <v>9.5523381450000002</v>
      </c>
      <c r="V998" s="43">
        <f t="shared" si="221"/>
        <v>4.8288560000000003E-3</v>
      </c>
      <c r="W998" s="230">
        <f t="shared" si="222"/>
        <v>6.349384601563203E-2</v>
      </c>
      <c r="X998" s="43">
        <f t="shared" si="223"/>
        <v>0.88215344500000004</v>
      </c>
      <c r="Y998" s="43">
        <v>32.869233970000003</v>
      </c>
      <c r="Z998" s="43">
        <f t="shared" si="212"/>
        <v>0</v>
      </c>
      <c r="AA998" s="43">
        <f t="shared" si="213"/>
        <v>58427</v>
      </c>
      <c r="AB998" s="43">
        <f t="shared" si="214"/>
        <v>20964</v>
      </c>
      <c r="AC998" s="43">
        <f t="shared" si="224"/>
        <v>2.1965121632062434E-2</v>
      </c>
      <c r="AD998" s="43">
        <f t="shared" si="225"/>
        <v>0.90685301037719301</v>
      </c>
      <c r="AF998" s="43">
        <v>16.654222935485951</v>
      </c>
      <c r="AG998" s="43">
        <v>2.4628644000000002E-2</v>
      </c>
      <c r="AH998" s="43">
        <v>9.7649920000000001E-3</v>
      </c>
      <c r="AI998" s="43">
        <v>0.87365190999999998</v>
      </c>
      <c r="AJ998" s="43">
        <v>3.0154477430000002</v>
      </c>
      <c r="AK998" s="43">
        <v>9.5523381450000002</v>
      </c>
      <c r="AL998" s="43">
        <v>4.8288560000000003E-3</v>
      </c>
      <c r="AM998" s="230">
        <v>6.349384601563203E-2</v>
      </c>
      <c r="AN998" s="43">
        <v>0.88215344500000004</v>
      </c>
    </row>
    <row r="999" spans="1:40" x14ac:dyDescent="0.25">
      <c r="A999" s="134">
        <v>989</v>
      </c>
      <c r="B999" s="134" t="s">
        <v>207</v>
      </c>
      <c r="C999" s="134" t="s">
        <v>205</v>
      </c>
      <c r="D999" s="134" t="s">
        <v>62</v>
      </c>
      <c r="E999" s="134">
        <v>246</v>
      </c>
      <c r="F999" s="134">
        <v>702</v>
      </c>
      <c r="G999" s="134">
        <v>25</v>
      </c>
      <c r="H999" s="134">
        <v>0</v>
      </c>
      <c r="I999" s="200">
        <v>5.6955286544100002E-2</v>
      </c>
      <c r="J999" s="134">
        <v>702</v>
      </c>
      <c r="K999" s="134">
        <v>12325.458137400001</v>
      </c>
      <c r="L999" s="42">
        <v>0.87924159817699998</v>
      </c>
      <c r="M999" s="42">
        <v>0</v>
      </c>
      <c r="N999" s="134">
        <v>0</v>
      </c>
      <c r="O999" s="43" t="s">
        <v>666</v>
      </c>
      <c r="P999" s="43">
        <f t="shared" si="215"/>
        <v>17.053367158763283</v>
      </c>
      <c r="Q999" s="43">
        <f t="shared" si="216"/>
        <v>2.8043372E-2</v>
      </c>
      <c r="R999" s="43">
        <f t="shared" si="217"/>
        <v>9.4495080000000006E-3</v>
      </c>
      <c r="S999" s="43">
        <f t="shared" si="218"/>
        <v>0.87924159800000001</v>
      </c>
      <c r="T999" s="43">
        <f t="shared" si="219"/>
        <v>3.450406504</v>
      </c>
      <c r="U999" s="43">
        <f t="shared" si="220"/>
        <v>10.228364210000001</v>
      </c>
      <c r="V999" s="43">
        <f t="shared" si="221"/>
        <v>1.486673E-3</v>
      </c>
      <c r="W999" s="230">
        <f t="shared" si="222"/>
        <v>8.6333227142402047E-2</v>
      </c>
      <c r="X999" s="43">
        <f t="shared" si="223"/>
        <v>0.84602314999999995</v>
      </c>
      <c r="Y999" s="43">
        <v>32.854061100000003</v>
      </c>
      <c r="Z999" s="43">
        <f t="shared" si="212"/>
        <v>0</v>
      </c>
      <c r="AA999" s="43">
        <f t="shared" si="213"/>
        <v>58427</v>
      </c>
      <c r="AB999" s="43">
        <f t="shared" si="214"/>
        <v>20964</v>
      </c>
      <c r="AC999" s="43">
        <f t="shared" si="224"/>
        <v>2.1965121632062434E-2</v>
      </c>
      <c r="AD999" s="43">
        <f t="shared" si="225"/>
        <v>0.90685301037719301</v>
      </c>
      <c r="AF999" s="43">
        <v>17.053367158763283</v>
      </c>
      <c r="AG999" s="43">
        <v>2.8043372E-2</v>
      </c>
      <c r="AH999" s="43">
        <v>9.4495080000000006E-3</v>
      </c>
      <c r="AI999" s="43">
        <v>0.87924159800000001</v>
      </c>
      <c r="AJ999" s="43">
        <v>3.450406504</v>
      </c>
      <c r="AK999" s="43">
        <v>10.228364210000001</v>
      </c>
      <c r="AL999" s="43">
        <v>1.486673E-3</v>
      </c>
      <c r="AM999" s="230">
        <v>8.6333227142402047E-2</v>
      </c>
      <c r="AN999" s="43">
        <v>0.84602314999999995</v>
      </c>
    </row>
    <row r="1000" spans="1:40" x14ac:dyDescent="0.25">
      <c r="A1000" s="134">
        <v>990</v>
      </c>
      <c r="B1000" s="134" t="s">
        <v>207</v>
      </c>
      <c r="C1000" s="134" t="s">
        <v>205</v>
      </c>
      <c r="D1000" s="134" t="s">
        <v>62</v>
      </c>
      <c r="E1000" s="134">
        <v>225</v>
      </c>
      <c r="F1000" s="134">
        <v>642</v>
      </c>
      <c r="G1000" s="134">
        <v>38</v>
      </c>
      <c r="H1000" s="134">
        <v>0</v>
      </c>
      <c r="I1000" s="200">
        <v>8.5165758057700006E-2</v>
      </c>
      <c r="J1000" s="134">
        <v>642</v>
      </c>
      <c r="K1000" s="134">
        <v>7538.2408921300002</v>
      </c>
      <c r="L1000" s="42">
        <v>0.89702884743199995</v>
      </c>
      <c r="M1000" s="42">
        <v>0</v>
      </c>
      <c r="N1000" s="134">
        <v>0</v>
      </c>
      <c r="O1000" s="43" t="s">
        <v>666</v>
      </c>
      <c r="P1000" s="43">
        <f t="shared" si="215"/>
        <v>16.991107143893871</v>
      </c>
      <c r="Q1000" s="43">
        <f t="shared" si="216"/>
        <v>2.4837152000000001E-2</v>
      </c>
      <c r="R1000" s="43">
        <f t="shared" si="217"/>
        <v>9.1172949999999992E-3</v>
      </c>
      <c r="S1000" s="43">
        <f t="shared" si="218"/>
        <v>0.89702884699999996</v>
      </c>
      <c r="T1000" s="43">
        <f t="shared" si="219"/>
        <v>3.70747889</v>
      </c>
      <c r="U1000" s="43">
        <f t="shared" si="220"/>
        <v>10.817411249999999</v>
      </c>
      <c r="V1000" s="43">
        <f t="shared" si="221"/>
        <v>1.0040159999999999E-3</v>
      </c>
      <c r="W1000" s="230">
        <f t="shared" si="222"/>
        <v>7.5537443893219938E-2</v>
      </c>
      <c r="X1000" s="43">
        <f t="shared" si="223"/>
        <v>0.85193715999999997</v>
      </c>
      <c r="Y1000" s="43">
        <v>135.89271550000001</v>
      </c>
      <c r="Z1000" s="43">
        <f t="shared" si="212"/>
        <v>0</v>
      </c>
      <c r="AA1000" s="43">
        <f t="shared" si="213"/>
        <v>58427</v>
      </c>
      <c r="AB1000" s="43">
        <f t="shared" si="214"/>
        <v>20964</v>
      </c>
      <c r="AC1000" s="43">
        <f t="shared" si="224"/>
        <v>2.1965121632062434E-2</v>
      </c>
      <c r="AD1000" s="43">
        <f t="shared" si="225"/>
        <v>0.90685301037719301</v>
      </c>
      <c r="AF1000" s="43">
        <v>16.991107143893871</v>
      </c>
      <c r="AG1000" s="43">
        <v>2.4837152000000001E-2</v>
      </c>
      <c r="AH1000" s="43">
        <v>9.1172949999999992E-3</v>
      </c>
      <c r="AI1000" s="43">
        <v>0.89702884699999996</v>
      </c>
      <c r="AJ1000" s="43">
        <v>3.70747889</v>
      </c>
      <c r="AK1000" s="43">
        <v>10.817411249999999</v>
      </c>
      <c r="AL1000" s="43">
        <v>1.0040159999999999E-3</v>
      </c>
      <c r="AM1000" s="230">
        <v>7.5537443893219938E-2</v>
      </c>
      <c r="AN1000" s="43">
        <v>0.85193715999999997</v>
      </c>
    </row>
    <row r="1001" spans="1:40" x14ac:dyDescent="0.25">
      <c r="A1001" s="134">
        <v>991</v>
      </c>
      <c r="B1001" s="134" t="s">
        <v>207</v>
      </c>
      <c r="C1001" s="134" t="s">
        <v>205</v>
      </c>
      <c r="D1001" s="134" t="s">
        <v>62</v>
      </c>
      <c r="E1001" s="134">
        <v>0</v>
      </c>
      <c r="F1001" s="134">
        <v>0</v>
      </c>
      <c r="G1001" s="134">
        <v>41</v>
      </c>
      <c r="H1001" s="134">
        <v>0</v>
      </c>
      <c r="I1001" s="200">
        <v>9.0975721579799995E-2</v>
      </c>
      <c r="J1001" s="134">
        <v>0</v>
      </c>
      <c r="K1001" s="134">
        <v>0</v>
      </c>
      <c r="L1001" s="42">
        <v>0.94370370370400003</v>
      </c>
      <c r="M1001" s="42">
        <v>0</v>
      </c>
      <c r="N1001" s="134">
        <v>0</v>
      </c>
      <c r="O1001" s="43" t="s">
        <v>666</v>
      </c>
      <c r="P1001" s="43">
        <f t="shared" si="215"/>
        <v>16.949272386598746</v>
      </c>
      <c r="Q1001" s="43">
        <f t="shared" si="216"/>
        <v>4.1481481000000001E-2</v>
      </c>
      <c r="R1001" s="43">
        <f t="shared" si="217"/>
        <v>7.4074099999999995E-4</v>
      </c>
      <c r="S1001" s="43">
        <f t="shared" si="218"/>
        <v>0.94370370400000003</v>
      </c>
      <c r="T1001" s="43">
        <f t="shared" si="219"/>
        <v>8</v>
      </c>
      <c r="U1001" s="43">
        <f t="shared" si="220"/>
        <v>27.76976977</v>
      </c>
      <c r="V1001" s="43">
        <f t="shared" si="221"/>
        <v>2.0287614424242431E-3</v>
      </c>
      <c r="W1001" s="230">
        <f t="shared" si="222"/>
        <v>4.8707337327105672E-2</v>
      </c>
      <c r="X1001" s="43">
        <f t="shared" si="223"/>
        <v>0.88538289384112134</v>
      </c>
      <c r="Y1001" s="43">
        <v>133.5602811</v>
      </c>
      <c r="Z1001" s="43">
        <f t="shared" si="212"/>
        <v>0</v>
      </c>
      <c r="AA1001" s="43">
        <f t="shared" si="213"/>
        <v>58427</v>
      </c>
      <c r="AB1001" s="43">
        <f t="shared" si="214"/>
        <v>20964</v>
      </c>
      <c r="AC1001" s="43">
        <f t="shared" si="224"/>
        <v>2.1965121632062434E-2</v>
      </c>
      <c r="AD1001" s="43">
        <f t="shared" si="225"/>
        <v>0.90685301037719301</v>
      </c>
      <c r="AF1001" s="43" t="e">
        <v>#DIV/0!</v>
      </c>
      <c r="AG1001" s="43">
        <v>4.1481481000000001E-2</v>
      </c>
      <c r="AH1001" s="43">
        <v>7.4074099999999995E-4</v>
      </c>
      <c r="AI1001" s="43">
        <v>0.94370370400000003</v>
      </c>
      <c r="AJ1001" s="43">
        <v>8</v>
      </c>
      <c r="AK1001" s="43">
        <v>27.76976977</v>
      </c>
      <c r="AL1001" s="43" t="e">
        <v>#DIV/0!</v>
      </c>
      <c r="AM1001" s="230" t="e">
        <v>#DIV/0!</v>
      </c>
      <c r="AN1001" s="43" t="e">
        <v>#DIV/0!</v>
      </c>
    </row>
    <row r="1002" spans="1:40" x14ac:dyDescent="0.25">
      <c r="A1002" s="134">
        <v>992</v>
      </c>
      <c r="B1002" s="134" t="s">
        <v>207</v>
      </c>
      <c r="C1002" s="134" t="s">
        <v>205</v>
      </c>
      <c r="D1002" s="134" t="s">
        <v>62</v>
      </c>
      <c r="E1002" s="134">
        <v>0</v>
      </c>
      <c r="F1002" s="134">
        <v>0</v>
      </c>
      <c r="G1002" s="134">
        <v>336</v>
      </c>
      <c r="H1002" s="134">
        <v>0</v>
      </c>
      <c r="I1002" s="200">
        <v>0.46904570667899997</v>
      </c>
      <c r="J1002" s="134">
        <v>0</v>
      </c>
      <c r="K1002" s="134">
        <v>0</v>
      </c>
      <c r="L1002" s="42">
        <v>0.95414201183400005</v>
      </c>
      <c r="M1002" s="42">
        <v>0</v>
      </c>
      <c r="N1002" s="134">
        <v>0</v>
      </c>
      <c r="O1002" s="43" t="s">
        <v>665</v>
      </c>
      <c r="P1002" s="43">
        <f t="shared" si="215"/>
        <v>16.949272386598746</v>
      </c>
      <c r="Q1002" s="43">
        <f t="shared" si="216"/>
        <v>3.4763313999999997E-2</v>
      </c>
      <c r="R1002" s="43">
        <f t="shared" si="217"/>
        <v>1.2755221068376069E-2</v>
      </c>
      <c r="S1002" s="43">
        <f t="shared" si="218"/>
        <v>0.95414201200000004</v>
      </c>
      <c r="T1002" s="43">
        <f t="shared" si="219"/>
        <v>5</v>
      </c>
      <c r="U1002" s="43">
        <f t="shared" si="220"/>
        <v>32.281809150000001</v>
      </c>
      <c r="V1002" s="43">
        <f t="shared" si="221"/>
        <v>2.0287614424242431E-3</v>
      </c>
      <c r="W1002" s="230">
        <f t="shared" si="222"/>
        <v>4.8707337327105672E-2</v>
      </c>
      <c r="X1002" s="43">
        <f t="shared" si="223"/>
        <v>0.88538289384112134</v>
      </c>
      <c r="Y1002" s="43">
        <v>28.224547919999999</v>
      </c>
      <c r="Z1002" s="43">
        <f t="shared" si="212"/>
        <v>0</v>
      </c>
      <c r="AA1002" s="43">
        <f t="shared" si="213"/>
        <v>58427</v>
      </c>
      <c r="AB1002" s="43">
        <f t="shared" si="214"/>
        <v>20964</v>
      </c>
      <c r="AC1002" s="43">
        <f t="shared" si="224"/>
        <v>2.1965121632062434E-2</v>
      </c>
      <c r="AD1002" s="43">
        <f t="shared" si="225"/>
        <v>0.90685301037719301</v>
      </c>
      <c r="AF1002" s="43" t="e">
        <v>#DIV/0!</v>
      </c>
      <c r="AG1002" s="43">
        <v>3.4763313999999997E-2</v>
      </c>
      <c r="AH1002" s="43">
        <v>0</v>
      </c>
      <c r="AI1002" s="43">
        <v>0.95414201200000004</v>
      </c>
      <c r="AJ1002" s="43">
        <v>5</v>
      </c>
      <c r="AK1002" s="43">
        <v>32.281809150000001</v>
      </c>
      <c r="AL1002" s="43" t="e">
        <v>#DIV/0!</v>
      </c>
      <c r="AM1002" s="230" t="e">
        <v>#DIV/0!</v>
      </c>
      <c r="AN1002" s="43" t="e">
        <v>#DIV/0!</v>
      </c>
    </row>
    <row r="1003" spans="1:40" x14ac:dyDescent="0.25">
      <c r="A1003" s="134">
        <v>993</v>
      </c>
      <c r="B1003" s="134" t="s">
        <v>207</v>
      </c>
      <c r="C1003" s="134" t="s">
        <v>205</v>
      </c>
      <c r="D1003" s="134" t="s">
        <v>62</v>
      </c>
      <c r="E1003" s="134">
        <v>0</v>
      </c>
      <c r="F1003" s="134">
        <v>0</v>
      </c>
      <c r="G1003" s="134">
        <v>35</v>
      </c>
      <c r="H1003" s="134">
        <v>518</v>
      </c>
      <c r="I1003" s="200">
        <v>7.7785019785400006E-2</v>
      </c>
      <c r="J1003" s="134">
        <v>518</v>
      </c>
      <c r="K1003" s="134">
        <v>6659.3799349700002</v>
      </c>
      <c r="L1003" s="42">
        <v>0.91119380894000002</v>
      </c>
      <c r="M1003" s="42">
        <v>1</v>
      </c>
      <c r="N1003" s="134">
        <v>0</v>
      </c>
      <c r="O1003" s="43" t="s">
        <v>666</v>
      </c>
      <c r="P1003" s="43">
        <f t="shared" si="215"/>
        <v>15.649514488856674</v>
      </c>
      <c r="Q1003" s="43">
        <f t="shared" si="216"/>
        <v>1.4029264E-2</v>
      </c>
      <c r="R1003" s="43">
        <f t="shared" si="217"/>
        <v>7.3053659999999998E-3</v>
      </c>
      <c r="S1003" s="43">
        <f t="shared" si="218"/>
        <v>0.91119380900000002</v>
      </c>
      <c r="T1003" s="43">
        <f t="shared" si="219"/>
        <v>3.1775568179999998</v>
      </c>
      <c r="U1003" s="43">
        <f t="shared" si="220"/>
        <v>9.5335721259999993</v>
      </c>
      <c r="V1003" s="43">
        <f t="shared" si="221"/>
        <v>3.2452280000000002E-3</v>
      </c>
      <c r="W1003" s="230">
        <f t="shared" si="222"/>
        <v>1.3450617020368077E-2</v>
      </c>
      <c r="X1003" s="43">
        <f t="shared" si="223"/>
        <v>0.93436952900000003</v>
      </c>
      <c r="Y1003" s="43">
        <v>135.31409400000001</v>
      </c>
      <c r="Z1003" s="43">
        <f t="shared" si="212"/>
        <v>0</v>
      </c>
      <c r="AA1003" s="43">
        <f t="shared" si="213"/>
        <v>58427</v>
      </c>
      <c r="AB1003" s="43">
        <f t="shared" si="214"/>
        <v>20964</v>
      </c>
      <c r="AC1003" s="43">
        <f t="shared" si="224"/>
        <v>2.1965121632062434E-2</v>
      </c>
      <c r="AD1003" s="43">
        <f t="shared" si="225"/>
        <v>0.90685301037719301</v>
      </c>
      <c r="AF1003" s="43">
        <v>15.649514488856674</v>
      </c>
      <c r="AG1003" s="43">
        <v>1.4029264E-2</v>
      </c>
      <c r="AH1003" s="43">
        <v>7.3053659999999998E-3</v>
      </c>
      <c r="AI1003" s="43">
        <v>0.91119380900000002</v>
      </c>
      <c r="AJ1003" s="43">
        <v>3.1775568179999998</v>
      </c>
      <c r="AK1003" s="43">
        <v>9.5335721259999993</v>
      </c>
      <c r="AL1003" s="43">
        <v>3.2452280000000002E-3</v>
      </c>
      <c r="AM1003" s="230">
        <v>1.3450617020368077E-2</v>
      </c>
      <c r="AN1003" s="43">
        <v>0.93436952900000003</v>
      </c>
    </row>
    <row r="1004" spans="1:40" x14ac:dyDescent="0.25">
      <c r="A1004" s="134">
        <v>994</v>
      </c>
      <c r="B1004" s="134" t="s">
        <v>207</v>
      </c>
      <c r="C1004" s="134" t="s">
        <v>205</v>
      </c>
      <c r="D1004" s="134" t="s">
        <v>62</v>
      </c>
      <c r="E1004" s="134">
        <v>0</v>
      </c>
      <c r="F1004" s="134">
        <v>0</v>
      </c>
      <c r="G1004" s="134">
        <v>96</v>
      </c>
      <c r="H1004" s="134">
        <v>0</v>
      </c>
      <c r="I1004" s="200">
        <v>0.21344350942000001</v>
      </c>
      <c r="J1004" s="134">
        <v>0</v>
      </c>
      <c r="K1004" s="134">
        <v>0</v>
      </c>
      <c r="L1004" s="42">
        <v>0.94896449704100005</v>
      </c>
      <c r="M1004" s="42">
        <v>0</v>
      </c>
      <c r="N1004" s="134">
        <v>0</v>
      </c>
      <c r="O1004" s="43" t="s">
        <v>665</v>
      </c>
      <c r="P1004" s="43">
        <f t="shared" si="215"/>
        <v>16.949272386598746</v>
      </c>
      <c r="Q1004" s="43">
        <f t="shared" si="216"/>
        <v>3.9201183000000001E-2</v>
      </c>
      <c r="R1004" s="43">
        <f t="shared" si="217"/>
        <v>1.2755221068376069E-2</v>
      </c>
      <c r="S1004" s="43">
        <f t="shared" si="218"/>
        <v>0.94896449699999996</v>
      </c>
      <c r="T1004" s="43">
        <f t="shared" si="219"/>
        <v>3.8086837425284572</v>
      </c>
      <c r="U1004" s="43">
        <f t="shared" si="220"/>
        <v>32.25698603</v>
      </c>
      <c r="V1004" s="43">
        <f t="shared" si="221"/>
        <v>2.0287614424242431E-3</v>
      </c>
      <c r="W1004" s="230">
        <f t="shared" si="222"/>
        <v>4.8707337327105672E-2</v>
      </c>
      <c r="X1004" s="43">
        <f t="shared" si="223"/>
        <v>0.88538289384112134</v>
      </c>
      <c r="Y1004" s="43">
        <v>2.7853431070000001</v>
      </c>
      <c r="Z1004" s="43">
        <f t="shared" si="212"/>
        <v>0</v>
      </c>
      <c r="AA1004" s="43">
        <f t="shared" si="213"/>
        <v>58427</v>
      </c>
      <c r="AB1004" s="43">
        <f t="shared" si="214"/>
        <v>20964</v>
      </c>
      <c r="AC1004" s="43">
        <f t="shared" si="224"/>
        <v>2.1965121632062434E-2</v>
      </c>
      <c r="AD1004" s="43">
        <f t="shared" si="225"/>
        <v>0.90685301037719301</v>
      </c>
      <c r="AF1004" s="43" t="e">
        <v>#DIV/0!</v>
      </c>
      <c r="AG1004" s="43">
        <v>3.9201183000000001E-2</v>
      </c>
      <c r="AH1004" s="43">
        <v>0</v>
      </c>
      <c r="AI1004" s="43">
        <v>0.94896449699999996</v>
      </c>
      <c r="AJ1004" s="43" t="e">
        <v>#DIV/0!</v>
      </c>
      <c r="AK1004" s="43">
        <v>32.25698603</v>
      </c>
      <c r="AL1004" s="43" t="e">
        <v>#DIV/0!</v>
      </c>
      <c r="AM1004" s="230" t="e">
        <v>#DIV/0!</v>
      </c>
      <c r="AN1004" s="43" t="e">
        <v>#DIV/0!</v>
      </c>
    </row>
    <row r="1005" spans="1:40" x14ac:dyDescent="0.25">
      <c r="A1005" s="134">
        <v>995</v>
      </c>
      <c r="B1005" s="134" t="s">
        <v>207</v>
      </c>
      <c r="C1005" s="134" t="s">
        <v>205</v>
      </c>
      <c r="D1005" s="134" t="s">
        <v>62</v>
      </c>
      <c r="E1005" s="134">
        <v>0</v>
      </c>
      <c r="F1005" s="134">
        <v>0</v>
      </c>
      <c r="G1005" s="134">
        <v>79</v>
      </c>
      <c r="H1005" s="134">
        <v>0</v>
      </c>
      <c r="I1005" s="200">
        <v>0.177571907808</v>
      </c>
      <c r="J1005" s="134">
        <v>0</v>
      </c>
      <c r="K1005" s="134">
        <v>0</v>
      </c>
      <c r="L1005" s="42">
        <v>0.95188749074800005</v>
      </c>
      <c r="M1005" s="42">
        <v>0</v>
      </c>
      <c r="N1005" s="134">
        <v>0</v>
      </c>
      <c r="O1005" s="43" t="s">
        <v>665</v>
      </c>
      <c r="P1005" s="43">
        <f t="shared" si="215"/>
        <v>16.949272386598746</v>
      </c>
      <c r="Q1005" s="43">
        <f t="shared" si="216"/>
        <v>3.7749814999999999E-2</v>
      </c>
      <c r="R1005" s="43">
        <f t="shared" si="217"/>
        <v>1.2755221068376069E-2</v>
      </c>
      <c r="S1005" s="43">
        <f t="shared" si="218"/>
        <v>0.95188749100000003</v>
      </c>
      <c r="T1005" s="43">
        <f t="shared" si="219"/>
        <v>6</v>
      </c>
      <c r="U1005" s="43">
        <f t="shared" si="220"/>
        <v>30.50896414</v>
      </c>
      <c r="V1005" s="43">
        <f t="shared" si="221"/>
        <v>2.0287614424242431E-3</v>
      </c>
      <c r="W1005" s="230">
        <f t="shared" si="222"/>
        <v>4.8707337327105672E-2</v>
      </c>
      <c r="X1005" s="43">
        <f t="shared" si="223"/>
        <v>0.88538289384112134</v>
      </c>
      <c r="Y1005" s="43">
        <v>9.2615381770000003</v>
      </c>
      <c r="Z1005" s="43">
        <f t="shared" si="212"/>
        <v>0</v>
      </c>
      <c r="AA1005" s="43">
        <f t="shared" si="213"/>
        <v>58427</v>
      </c>
      <c r="AB1005" s="43">
        <f t="shared" si="214"/>
        <v>20964</v>
      </c>
      <c r="AC1005" s="43">
        <f t="shared" si="224"/>
        <v>2.1965121632062434E-2</v>
      </c>
      <c r="AD1005" s="43">
        <f t="shared" si="225"/>
        <v>0.90685301037719301</v>
      </c>
      <c r="AF1005" s="43" t="e">
        <v>#DIV/0!</v>
      </c>
      <c r="AG1005" s="43">
        <v>3.7749814999999999E-2</v>
      </c>
      <c r="AH1005" s="43">
        <v>0</v>
      </c>
      <c r="AI1005" s="43">
        <v>0.95188749100000003</v>
      </c>
      <c r="AJ1005" s="43">
        <v>6</v>
      </c>
      <c r="AK1005" s="43">
        <v>30.50896414</v>
      </c>
      <c r="AL1005" s="43" t="e">
        <v>#DIV/0!</v>
      </c>
      <c r="AM1005" s="230" t="e">
        <v>#DIV/0!</v>
      </c>
      <c r="AN1005" s="43" t="e">
        <v>#DIV/0!</v>
      </c>
    </row>
    <row r="1006" spans="1:40" x14ac:dyDescent="0.25">
      <c r="A1006" s="134">
        <v>996</v>
      </c>
      <c r="B1006" s="134" t="s">
        <v>207</v>
      </c>
      <c r="C1006" s="134" t="s">
        <v>205</v>
      </c>
      <c r="D1006" s="134" t="s">
        <v>62</v>
      </c>
      <c r="E1006" s="134">
        <v>0</v>
      </c>
      <c r="F1006" s="134">
        <v>0</v>
      </c>
      <c r="G1006" s="134">
        <v>40</v>
      </c>
      <c r="H1006" s="134">
        <v>0</v>
      </c>
      <c r="I1006" s="200">
        <v>8.8704926937899997E-2</v>
      </c>
      <c r="J1006" s="134">
        <v>0</v>
      </c>
      <c r="K1006" s="134">
        <v>0</v>
      </c>
      <c r="L1006" s="42">
        <v>0.94822485207100005</v>
      </c>
      <c r="M1006" s="42">
        <v>0</v>
      </c>
      <c r="N1006" s="134">
        <v>0</v>
      </c>
      <c r="O1006" s="43" t="s">
        <v>665</v>
      </c>
      <c r="P1006" s="43">
        <f t="shared" si="215"/>
        <v>16.949272386598746</v>
      </c>
      <c r="Q1006" s="43">
        <f t="shared" si="216"/>
        <v>3.9201183000000001E-2</v>
      </c>
      <c r="R1006" s="43">
        <f t="shared" si="217"/>
        <v>1.2755221068376069E-2</v>
      </c>
      <c r="S1006" s="43">
        <f t="shared" si="218"/>
        <v>0.94822485199999995</v>
      </c>
      <c r="T1006" s="43">
        <f t="shared" si="219"/>
        <v>7</v>
      </c>
      <c r="U1006" s="43">
        <f t="shared" si="220"/>
        <v>29.36390828</v>
      </c>
      <c r="V1006" s="43">
        <f t="shared" si="221"/>
        <v>2.0287614424242431E-3</v>
      </c>
      <c r="W1006" s="230">
        <f t="shared" si="222"/>
        <v>4.8707337327105672E-2</v>
      </c>
      <c r="X1006" s="43">
        <f t="shared" si="223"/>
        <v>0.88538289384112134</v>
      </c>
      <c r="Y1006" s="43">
        <v>135.0392411</v>
      </c>
      <c r="Z1006" s="43">
        <f t="shared" si="212"/>
        <v>0</v>
      </c>
      <c r="AA1006" s="43">
        <f t="shared" si="213"/>
        <v>58427</v>
      </c>
      <c r="AB1006" s="43">
        <f t="shared" si="214"/>
        <v>20964</v>
      </c>
      <c r="AC1006" s="43">
        <f t="shared" si="224"/>
        <v>2.1965121632062434E-2</v>
      </c>
      <c r="AD1006" s="43">
        <f t="shared" si="225"/>
        <v>0.90685301037719301</v>
      </c>
      <c r="AF1006" s="43" t="e">
        <v>#DIV/0!</v>
      </c>
      <c r="AG1006" s="43">
        <v>3.9201183000000001E-2</v>
      </c>
      <c r="AH1006" s="43">
        <v>0</v>
      </c>
      <c r="AI1006" s="43">
        <v>0.94822485199999995</v>
      </c>
      <c r="AJ1006" s="43">
        <v>7</v>
      </c>
      <c r="AK1006" s="43">
        <v>29.36390828</v>
      </c>
      <c r="AL1006" s="43" t="e">
        <v>#DIV/0!</v>
      </c>
      <c r="AM1006" s="230" t="e">
        <v>#DIV/0!</v>
      </c>
      <c r="AN1006" s="43" t="e">
        <v>#DIV/0!</v>
      </c>
    </row>
    <row r="1007" spans="1:40" x14ac:dyDescent="0.25">
      <c r="A1007" s="134">
        <v>997</v>
      </c>
      <c r="B1007" s="134" t="s">
        <v>207</v>
      </c>
      <c r="C1007" s="134" t="s">
        <v>205</v>
      </c>
      <c r="D1007" s="134" t="s">
        <v>62</v>
      </c>
      <c r="E1007" s="134">
        <v>204</v>
      </c>
      <c r="F1007" s="134">
        <v>582</v>
      </c>
      <c r="G1007" s="134">
        <v>20</v>
      </c>
      <c r="H1007" s="134">
        <v>0</v>
      </c>
      <c r="I1007" s="200">
        <v>4.45251517887E-2</v>
      </c>
      <c r="J1007" s="134">
        <v>582</v>
      </c>
      <c r="K1007" s="134">
        <v>13071.263693000001</v>
      </c>
      <c r="L1007" s="42">
        <v>0.90269629412300001</v>
      </c>
      <c r="M1007" s="42">
        <v>0</v>
      </c>
      <c r="N1007" s="134">
        <v>0</v>
      </c>
      <c r="O1007" s="43" t="s">
        <v>666</v>
      </c>
      <c r="P1007" s="43">
        <f t="shared" si="215"/>
        <v>17.733494215217544</v>
      </c>
      <c r="Q1007" s="43">
        <f t="shared" si="216"/>
        <v>2.6009582E-2</v>
      </c>
      <c r="R1007" s="43">
        <f t="shared" si="217"/>
        <v>8.9835729999999999E-3</v>
      </c>
      <c r="S1007" s="43">
        <f t="shared" si="218"/>
        <v>0.90269629399999995</v>
      </c>
      <c r="T1007" s="43">
        <f t="shared" si="219"/>
        <v>4.060041408</v>
      </c>
      <c r="U1007" s="43">
        <f t="shared" si="220"/>
        <v>11.503823540000001</v>
      </c>
      <c r="V1007" s="43">
        <f t="shared" si="221"/>
        <v>1.2056600000000001E-3</v>
      </c>
      <c r="W1007" s="230">
        <f t="shared" si="222"/>
        <v>8.5601878291769781E-2</v>
      </c>
      <c r="X1007" s="43">
        <f t="shared" si="223"/>
        <v>0.85189415599999996</v>
      </c>
      <c r="Y1007" s="43">
        <v>135.89271550000001</v>
      </c>
      <c r="Z1007" s="43">
        <f t="shared" si="212"/>
        <v>0</v>
      </c>
      <c r="AA1007" s="43">
        <f t="shared" si="213"/>
        <v>58427</v>
      </c>
      <c r="AB1007" s="43">
        <f t="shared" si="214"/>
        <v>20964</v>
      </c>
      <c r="AC1007" s="43">
        <f t="shared" si="224"/>
        <v>2.1965121632062434E-2</v>
      </c>
      <c r="AD1007" s="43">
        <f t="shared" si="225"/>
        <v>0.90685301037719301</v>
      </c>
      <c r="AF1007" s="43">
        <v>17.733494215217544</v>
      </c>
      <c r="AG1007" s="43">
        <v>2.6009582E-2</v>
      </c>
      <c r="AH1007" s="43">
        <v>8.9835729999999999E-3</v>
      </c>
      <c r="AI1007" s="43">
        <v>0.90269629399999995</v>
      </c>
      <c r="AJ1007" s="43">
        <v>4.060041408</v>
      </c>
      <c r="AK1007" s="43">
        <v>11.503823540000001</v>
      </c>
      <c r="AL1007" s="43">
        <v>1.2056600000000001E-3</v>
      </c>
      <c r="AM1007" s="230">
        <v>8.5601878291769781E-2</v>
      </c>
      <c r="AN1007" s="43">
        <v>0.85189415599999996</v>
      </c>
    </row>
    <row r="1008" spans="1:40" x14ac:dyDescent="0.25">
      <c r="A1008" s="134">
        <v>998</v>
      </c>
      <c r="B1008" s="134" t="s">
        <v>207</v>
      </c>
      <c r="C1008" s="134" t="s">
        <v>205</v>
      </c>
      <c r="D1008" s="134" t="s">
        <v>62</v>
      </c>
      <c r="E1008" s="134">
        <v>0</v>
      </c>
      <c r="F1008" s="134">
        <v>0</v>
      </c>
      <c r="G1008" s="134">
        <v>6</v>
      </c>
      <c r="H1008" s="134">
        <v>0</v>
      </c>
      <c r="I1008" s="200">
        <v>1.1743408426400001E-2</v>
      </c>
      <c r="J1008" s="134">
        <v>0</v>
      </c>
      <c r="K1008" s="134">
        <v>0</v>
      </c>
      <c r="L1008" s="42">
        <v>0.93701996927800002</v>
      </c>
      <c r="M1008" s="42">
        <v>0</v>
      </c>
      <c r="N1008" s="134">
        <v>1</v>
      </c>
      <c r="O1008" s="43" t="s">
        <v>666</v>
      </c>
      <c r="P1008" s="43">
        <f t="shared" si="215"/>
        <v>16.949272386598746</v>
      </c>
      <c r="Q1008" s="43">
        <f t="shared" si="216"/>
        <v>4.8387096999999997E-2</v>
      </c>
      <c r="R1008" s="43">
        <f t="shared" si="217"/>
        <v>1.2755221068376069E-2</v>
      </c>
      <c r="S1008" s="43">
        <f t="shared" si="218"/>
        <v>0.93701996899999995</v>
      </c>
      <c r="T1008" s="43">
        <f t="shared" si="219"/>
        <v>5</v>
      </c>
      <c r="U1008" s="43">
        <f t="shared" si="220"/>
        <v>29.675818369999998</v>
      </c>
      <c r="V1008" s="43">
        <f t="shared" si="221"/>
        <v>2.0287614424242431E-3</v>
      </c>
      <c r="W1008" s="230">
        <f t="shared" si="222"/>
        <v>4.8707337327105672E-2</v>
      </c>
      <c r="X1008" s="43">
        <f t="shared" si="223"/>
        <v>0.88538289384112134</v>
      </c>
      <c r="Y1008" s="43">
        <v>28.295010380000001</v>
      </c>
      <c r="Z1008" s="43">
        <f t="shared" si="212"/>
        <v>0</v>
      </c>
      <c r="AA1008" s="43">
        <f t="shared" si="213"/>
        <v>58427</v>
      </c>
      <c r="AB1008" s="43">
        <f t="shared" si="214"/>
        <v>20964</v>
      </c>
      <c r="AC1008" s="43">
        <f t="shared" si="224"/>
        <v>2.1965121632062434E-2</v>
      </c>
      <c r="AD1008" s="43">
        <f t="shared" si="225"/>
        <v>0.90685301037719301</v>
      </c>
      <c r="AF1008" s="43" t="e">
        <v>#DIV/0!</v>
      </c>
      <c r="AG1008" s="43">
        <v>4.8387096999999997E-2</v>
      </c>
      <c r="AH1008" s="43">
        <v>0</v>
      </c>
      <c r="AI1008" s="43">
        <v>0.93701996899999995</v>
      </c>
      <c r="AJ1008" s="43">
        <v>5</v>
      </c>
      <c r="AK1008" s="43">
        <v>29.675818369999998</v>
      </c>
      <c r="AL1008" s="43" t="e">
        <v>#DIV/0!</v>
      </c>
      <c r="AM1008" s="230" t="e">
        <v>#DIV/0!</v>
      </c>
      <c r="AN1008" s="43" t="e">
        <v>#DIV/0!</v>
      </c>
    </row>
    <row r="1009" spans="1:40" x14ac:dyDescent="0.25">
      <c r="A1009" s="134">
        <v>999</v>
      </c>
      <c r="B1009" s="134" t="s">
        <v>207</v>
      </c>
      <c r="C1009" s="134" t="s">
        <v>205</v>
      </c>
      <c r="D1009" s="134" t="s">
        <v>62</v>
      </c>
      <c r="E1009" s="134">
        <v>141</v>
      </c>
      <c r="F1009" s="134">
        <v>403</v>
      </c>
      <c r="G1009" s="134">
        <v>23</v>
      </c>
      <c r="H1009" s="134">
        <v>0</v>
      </c>
      <c r="I1009" s="200">
        <v>5.1075469672299999E-2</v>
      </c>
      <c r="J1009" s="134">
        <v>403</v>
      </c>
      <c r="K1009" s="134">
        <v>7890.2847606799996</v>
      </c>
      <c r="L1009" s="42">
        <v>0.92352835606600003</v>
      </c>
      <c r="M1009" s="42">
        <v>0</v>
      </c>
      <c r="N1009" s="134">
        <v>0</v>
      </c>
      <c r="O1009" s="43" t="s">
        <v>665</v>
      </c>
      <c r="P1009" s="43">
        <f t="shared" si="215"/>
        <v>18.605163648465652</v>
      </c>
      <c r="Q1009" s="43">
        <f t="shared" si="216"/>
        <v>1.8269921000000001E-2</v>
      </c>
      <c r="R1009" s="43">
        <f t="shared" si="217"/>
        <v>8.0402010000000003E-3</v>
      </c>
      <c r="S1009" s="43">
        <f t="shared" si="218"/>
        <v>0.92352835600000005</v>
      </c>
      <c r="T1009" s="43">
        <f t="shared" si="219"/>
        <v>4.7147613760000002</v>
      </c>
      <c r="U1009" s="43">
        <f t="shared" si="220"/>
        <v>12.567879789999999</v>
      </c>
      <c r="V1009" s="43">
        <f t="shared" si="221"/>
        <v>3.8288500000000002E-4</v>
      </c>
      <c r="W1009" s="230">
        <f t="shared" si="222"/>
        <v>7.1216617210682495E-2</v>
      </c>
      <c r="X1009" s="43">
        <f t="shared" si="223"/>
        <v>0.85727960199999997</v>
      </c>
      <c r="Y1009" s="43">
        <v>126.8869267</v>
      </c>
      <c r="Z1009" s="43">
        <f t="shared" si="212"/>
        <v>0</v>
      </c>
      <c r="AA1009" s="43">
        <f t="shared" si="213"/>
        <v>58427</v>
      </c>
      <c r="AB1009" s="43">
        <f t="shared" si="214"/>
        <v>20964</v>
      </c>
      <c r="AC1009" s="43">
        <f t="shared" si="224"/>
        <v>2.1965121632062434E-2</v>
      </c>
      <c r="AD1009" s="43">
        <f t="shared" si="225"/>
        <v>0.90685301037719301</v>
      </c>
      <c r="AF1009" s="43">
        <v>18.605163648465652</v>
      </c>
      <c r="AG1009" s="43">
        <v>1.8269921000000001E-2</v>
      </c>
      <c r="AH1009" s="43">
        <v>8.0402010000000003E-3</v>
      </c>
      <c r="AI1009" s="43">
        <v>0.92352835600000005</v>
      </c>
      <c r="AJ1009" s="43">
        <v>4.7147613760000002</v>
      </c>
      <c r="AK1009" s="43">
        <v>12.567879789999999</v>
      </c>
      <c r="AL1009" s="43">
        <v>3.8288500000000002E-4</v>
      </c>
      <c r="AM1009" s="230">
        <v>7.1216617210682495E-2</v>
      </c>
      <c r="AN1009" s="43">
        <v>0.85727960199999997</v>
      </c>
    </row>
    <row r="1010" spans="1:40" x14ac:dyDescent="0.25">
      <c r="A1010" s="134">
        <v>1000</v>
      </c>
      <c r="B1010" s="134" t="s">
        <v>207</v>
      </c>
      <c r="C1010" s="134" t="s">
        <v>205</v>
      </c>
      <c r="D1010" s="134" t="s">
        <v>62</v>
      </c>
      <c r="E1010" s="134">
        <v>225</v>
      </c>
      <c r="F1010" s="134">
        <v>642</v>
      </c>
      <c r="G1010" s="134">
        <v>27</v>
      </c>
      <c r="H1010" s="134">
        <v>0</v>
      </c>
      <c r="I1010" s="200">
        <v>6.0368593493500003E-2</v>
      </c>
      <c r="J1010" s="134">
        <v>642</v>
      </c>
      <c r="K1010" s="134">
        <v>10634.668837699999</v>
      </c>
      <c r="L1010" s="42">
        <v>0.91861838440099997</v>
      </c>
      <c r="M1010" s="42">
        <v>0</v>
      </c>
      <c r="N1010" s="134">
        <v>0</v>
      </c>
      <c r="O1010" s="43" t="s">
        <v>665</v>
      </c>
      <c r="P1010" s="43">
        <f t="shared" si="215"/>
        <v>18.431984091237432</v>
      </c>
      <c r="Q1010" s="43">
        <f t="shared" si="216"/>
        <v>2.1448467999999998E-2</v>
      </c>
      <c r="R1010" s="43">
        <f t="shared" si="217"/>
        <v>8.8022280000000005E-3</v>
      </c>
      <c r="S1010" s="43">
        <f t="shared" si="218"/>
        <v>0.91861838399999995</v>
      </c>
      <c r="T1010" s="43">
        <f t="shared" si="219"/>
        <v>4.3645038170000001</v>
      </c>
      <c r="U1010" s="43">
        <f t="shared" si="220"/>
        <v>12.341803090000001</v>
      </c>
      <c r="V1010" s="43">
        <f t="shared" si="221"/>
        <v>1.223848E-3</v>
      </c>
      <c r="W1010" s="230">
        <f t="shared" si="222"/>
        <v>7.9025584241505908E-2</v>
      </c>
      <c r="X1010" s="43">
        <f t="shared" si="223"/>
        <v>0.86607611200000001</v>
      </c>
      <c r="Y1010" s="43">
        <v>135.34177080000001</v>
      </c>
      <c r="Z1010" s="43">
        <f t="shared" si="212"/>
        <v>0</v>
      </c>
      <c r="AA1010" s="43">
        <f t="shared" si="213"/>
        <v>58427</v>
      </c>
      <c r="AB1010" s="43">
        <f t="shared" si="214"/>
        <v>20964</v>
      </c>
      <c r="AC1010" s="43">
        <f t="shared" si="224"/>
        <v>2.1965121632062434E-2</v>
      </c>
      <c r="AD1010" s="43">
        <f t="shared" si="225"/>
        <v>0.90685301037719301</v>
      </c>
      <c r="AF1010" s="43">
        <v>18.431984091237432</v>
      </c>
      <c r="AG1010" s="43">
        <v>2.1448467999999998E-2</v>
      </c>
      <c r="AH1010" s="43">
        <v>8.8022280000000005E-3</v>
      </c>
      <c r="AI1010" s="43">
        <v>0.91861838399999995</v>
      </c>
      <c r="AJ1010" s="43">
        <v>4.3645038170000001</v>
      </c>
      <c r="AK1010" s="43">
        <v>12.341803090000001</v>
      </c>
      <c r="AL1010" s="43">
        <v>1.223848E-3</v>
      </c>
      <c r="AM1010" s="230">
        <v>7.9025584241505908E-2</v>
      </c>
      <c r="AN1010" s="43">
        <v>0.86607611200000001</v>
      </c>
    </row>
    <row r="1011" spans="1:40" x14ac:dyDescent="0.25">
      <c r="A1011" s="134">
        <v>1001</v>
      </c>
      <c r="B1011" s="134" t="s">
        <v>207</v>
      </c>
      <c r="C1011" s="134" t="s">
        <v>205</v>
      </c>
      <c r="D1011" s="134" t="s">
        <v>62</v>
      </c>
      <c r="E1011" s="134">
        <v>0</v>
      </c>
      <c r="F1011" s="134">
        <v>0</v>
      </c>
      <c r="G1011" s="134">
        <v>138</v>
      </c>
      <c r="H1011" s="134">
        <v>0</v>
      </c>
      <c r="I1011" s="200">
        <v>8.7433323662199997E-2</v>
      </c>
      <c r="J1011" s="134">
        <v>0</v>
      </c>
      <c r="K1011" s="134">
        <v>0</v>
      </c>
      <c r="L1011" s="42">
        <v>0.95188749074800005</v>
      </c>
      <c r="M1011" s="42">
        <v>0</v>
      </c>
      <c r="N1011" s="134">
        <v>0</v>
      </c>
      <c r="O1011" s="43" t="s">
        <v>666</v>
      </c>
      <c r="P1011" s="43">
        <f t="shared" si="215"/>
        <v>16.949272386598746</v>
      </c>
      <c r="Q1011" s="43">
        <f t="shared" si="216"/>
        <v>3.4789044999999998E-2</v>
      </c>
      <c r="R1011" s="43">
        <f t="shared" si="217"/>
        <v>1.2755221068376069E-2</v>
      </c>
      <c r="S1011" s="43">
        <f t="shared" si="218"/>
        <v>0.95188749100000003</v>
      </c>
      <c r="T1011" s="43">
        <f t="shared" si="219"/>
        <v>3.8086837425284572</v>
      </c>
      <c r="U1011" s="43">
        <f t="shared" si="220"/>
        <v>32.958125619999997</v>
      </c>
      <c r="V1011" s="43">
        <f t="shared" si="221"/>
        <v>2.0287614424242431E-3</v>
      </c>
      <c r="W1011" s="230">
        <f t="shared" si="222"/>
        <v>4.8707337327105672E-2</v>
      </c>
      <c r="X1011" s="43">
        <f t="shared" si="223"/>
        <v>0.88538289384112134</v>
      </c>
      <c r="Y1011" s="43">
        <v>30.401217970000001</v>
      </c>
      <c r="Z1011" s="43">
        <f t="shared" si="212"/>
        <v>0</v>
      </c>
      <c r="AA1011" s="43">
        <f t="shared" si="213"/>
        <v>58427</v>
      </c>
      <c r="AB1011" s="43">
        <f t="shared" si="214"/>
        <v>20964</v>
      </c>
      <c r="AC1011" s="43">
        <f t="shared" si="224"/>
        <v>2.1965121632062434E-2</v>
      </c>
      <c r="AD1011" s="43">
        <f t="shared" si="225"/>
        <v>0.90685301037719301</v>
      </c>
      <c r="AF1011" s="43" t="e">
        <v>#DIV/0!</v>
      </c>
      <c r="AG1011" s="43">
        <v>3.4789044999999998E-2</v>
      </c>
      <c r="AH1011" s="43">
        <v>0</v>
      </c>
      <c r="AI1011" s="43">
        <v>0.95188749100000003</v>
      </c>
      <c r="AJ1011" s="43" t="e">
        <v>#DIV/0!</v>
      </c>
      <c r="AK1011" s="43">
        <v>32.958125619999997</v>
      </c>
      <c r="AL1011" s="43" t="e">
        <v>#DIV/0!</v>
      </c>
      <c r="AM1011" s="230" t="e">
        <v>#DIV/0!</v>
      </c>
      <c r="AN1011" s="43" t="e">
        <v>#DIV/0!</v>
      </c>
    </row>
    <row r="1012" spans="1:40" x14ac:dyDescent="0.25">
      <c r="A1012" s="134">
        <v>1002</v>
      </c>
      <c r="B1012" s="134" t="s">
        <v>207</v>
      </c>
      <c r="C1012" s="134" t="s">
        <v>205</v>
      </c>
      <c r="D1012" s="134" t="s">
        <v>62</v>
      </c>
      <c r="E1012" s="134">
        <v>100</v>
      </c>
      <c r="F1012" s="134">
        <v>285</v>
      </c>
      <c r="G1012" s="134">
        <v>127</v>
      </c>
      <c r="H1012" s="134">
        <v>0</v>
      </c>
      <c r="I1012" s="200">
        <v>0.111544586365</v>
      </c>
      <c r="J1012" s="134">
        <v>285</v>
      </c>
      <c r="K1012" s="134">
        <v>2555.0321112699999</v>
      </c>
      <c r="L1012" s="42">
        <v>0.89904649562600003</v>
      </c>
      <c r="M1012" s="42">
        <v>0</v>
      </c>
      <c r="N1012" s="134">
        <v>1</v>
      </c>
      <c r="O1012" s="43" t="s">
        <v>666</v>
      </c>
      <c r="P1012" s="43">
        <f t="shared" si="215"/>
        <v>16.385055898961841</v>
      </c>
      <c r="Q1012" s="43">
        <f t="shared" si="216"/>
        <v>2.0421704999999998E-2</v>
      </c>
      <c r="R1012" s="43">
        <f t="shared" si="217"/>
        <v>8.3308759999999992E-3</v>
      </c>
      <c r="S1012" s="43">
        <f t="shared" si="218"/>
        <v>0.89904649599999997</v>
      </c>
      <c r="T1012" s="43">
        <f t="shared" si="219"/>
        <v>3.4842578710000001</v>
      </c>
      <c r="U1012" s="43">
        <f t="shared" si="220"/>
        <v>9.4933131639999999</v>
      </c>
      <c r="V1012" s="43">
        <f t="shared" si="221"/>
        <v>1.33511E-4</v>
      </c>
      <c r="W1012" s="230">
        <f t="shared" si="222"/>
        <v>7.2763684913217622E-2</v>
      </c>
      <c r="X1012" s="43">
        <f t="shared" si="223"/>
        <v>0.82483311100000001</v>
      </c>
      <c r="Y1012" s="43">
        <v>28.587296080000002</v>
      </c>
      <c r="Z1012" s="43">
        <f t="shared" si="212"/>
        <v>0</v>
      </c>
      <c r="AA1012" s="43">
        <f t="shared" si="213"/>
        <v>58427</v>
      </c>
      <c r="AB1012" s="43">
        <f t="shared" si="214"/>
        <v>20964</v>
      </c>
      <c r="AC1012" s="43">
        <f t="shared" si="224"/>
        <v>2.1965121632062434E-2</v>
      </c>
      <c r="AD1012" s="43">
        <f t="shared" si="225"/>
        <v>0.90685301037719301</v>
      </c>
      <c r="AF1012" s="43">
        <v>16.385055898961841</v>
      </c>
      <c r="AG1012" s="43">
        <v>2.0421704999999998E-2</v>
      </c>
      <c r="AH1012" s="43">
        <v>8.3308759999999992E-3</v>
      </c>
      <c r="AI1012" s="43">
        <v>0.89904649599999997</v>
      </c>
      <c r="AJ1012" s="43">
        <v>3.4842578710000001</v>
      </c>
      <c r="AK1012" s="43">
        <v>9.4933131639999999</v>
      </c>
      <c r="AL1012" s="43">
        <v>1.33511E-4</v>
      </c>
      <c r="AM1012" s="230">
        <v>7.2763684913217622E-2</v>
      </c>
      <c r="AN1012" s="43">
        <v>0.82483311100000001</v>
      </c>
    </row>
    <row r="1013" spans="1:40" x14ac:dyDescent="0.25">
      <c r="A1013" s="134">
        <v>1003</v>
      </c>
      <c r="B1013" s="134" t="s">
        <v>207</v>
      </c>
      <c r="C1013" s="134" t="s">
        <v>205</v>
      </c>
      <c r="D1013" s="134" t="s">
        <v>62</v>
      </c>
      <c r="E1013" s="134">
        <v>0</v>
      </c>
      <c r="F1013" s="134">
        <v>0</v>
      </c>
      <c r="G1013" s="134">
        <v>10</v>
      </c>
      <c r="H1013" s="134">
        <v>542</v>
      </c>
      <c r="I1013" s="200">
        <v>2.1947602397199999E-2</v>
      </c>
      <c r="J1013" s="134">
        <v>542</v>
      </c>
      <c r="K1013" s="134">
        <v>24695.180375100001</v>
      </c>
      <c r="L1013" s="42">
        <v>0.87530267591300004</v>
      </c>
      <c r="M1013" s="42">
        <v>1</v>
      </c>
      <c r="N1013" s="134">
        <v>0</v>
      </c>
      <c r="O1013" s="43" t="s">
        <v>664</v>
      </c>
      <c r="P1013" s="43">
        <f t="shared" si="215"/>
        <v>14.95517847456478</v>
      </c>
      <c r="Q1013" s="43">
        <f t="shared" si="216"/>
        <v>1.9247612000000001E-2</v>
      </c>
      <c r="R1013" s="43">
        <f t="shared" si="217"/>
        <v>7.4599949999999996E-3</v>
      </c>
      <c r="S1013" s="43">
        <f t="shared" si="218"/>
        <v>0.875302676</v>
      </c>
      <c r="T1013" s="43">
        <f t="shared" si="219"/>
        <v>2.6536885250000002</v>
      </c>
      <c r="U1013" s="43">
        <f t="shared" si="220"/>
        <v>8.3603678620000004</v>
      </c>
      <c r="V1013" s="43">
        <f t="shared" si="221"/>
        <v>3.472686E-3</v>
      </c>
      <c r="W1013" s="230">
        <f t="shared" si="222"/>
        <v>3.0586349672766126E-2</v>
      </c>
      <c r="X1013" s="43">
        <f t="shared" si="223"/>
        <v>0.89363786099999998</v>
      </c>
      <c r="Y1013" s="43">
        <v>32.854061100000003</v>
      </c>
      <c r="Z1013" s="43">
        <f t="shared" si="212"/>
        <v>0</v>
      </c>
      <c r="AA1013" s="43">
        <f t="shared" si="213"/>
        <v>58427</v>
      </c>
      <c r="AB1013" s="43">
        <f t="shared" si="214"/>
        <v>20964</v>
      </c>
      <c r="AC1013" s="43">
        <f t="shared" si="224"/>
        <v>2.1965121632062434E-2</v>
      </c>
      <c r="AD1013" s="43">
        <f t="shared" si="225"/>
        <v>0.90685301037719301</v>
      </c>
      <c r="AF1013" s="43">
        <v>14.95517847456478</v>
      </c>
      <c r="AG1013" s="43">
        <v>1.9247612000000001E-2</v>
      </c>
      <c r="AH1013" s="43">
        <v>7.4599949999999996E-3</v>
      </c>
      <c r="AI1013" s="43">
        <v>0.875302676</v>
      </c>
      <c r="AJ1013" s="43">
        <v>2.6536885250000002</v>
      </c>
      <c r="AK1013" s="43">
        <v>8.3603678620000004</v>
      </c>
      <c r="AL1013" s="43">
        <v>3.472686E-3</v>
      </c>
      <c r="AM1013" s="230">
        <v>3.0586349672766126E-2</v>
      </c>
      <c r="AN1013" s="43">
        <v>0.89363786099999998</v>
      </c>
    </row>
    <row r="1014" spans="1:40" x14ac:dyDescent="0.25">
      <c r="A1014" s="134">
        <v>1004</v>
      </c>
      <c r="B1014" s="134" t="s">
        <v>207</v>
      </c>
      <c r="C1014" s="134" t="s">
        <v>205</v>
      </c>
      <c r="D1014" s="134" t="s">
        <v>62</v>
      </c>
      <c r="E1014" s="134">
        <v>0</v>
      </c>
      <c r="F1014" s="134">
        <v>0</v>
      </c>
      <c r="G1014" s="134">
        <v>13</v>
      </c>
      <c r="H1014" s="134">
        <v>335</v>
      </c>
      <c r="I1014" s="200">
        <v>2.86716335489E-2</v>
      </c>
      <c r="J1014" s="134">
        <v>335</v>
      </c>
      <c r="K1014" s="134">
        <v>11684.022099</v>
      </c>
      <c r="L1014" s="42">
        <v>0.88200220710599997</v>
      </c>
      <c r="M1014" s="42">
        <v>1</v>
      </c>
      <c r="N1014" s="134">
        <v>0</v>
      </c>
      <c r="O1014" s="43" t="s">
        <v>664</v>
      </c>
      <c r="P1014" s="43">
        <f t="shared" si="215"/>
        <v>14.557428608741077</v>
      </c>
      <c r="Q1014" s="43">
        <f t="shared" si="216"/>
        <v>1.5350913000000001E-2</v>
      </c>
      <c r="R1014" s="43">
        <f t="shared" si="217"/>
        <v>7.4119219999999996E-3</v>
      </c>
      <c r="S1014" s="43">
        <f t="shared" si="218"/>
        <v>0.88200220699999998</v>
      </c>
      <c r="T1014" s="43">
        <f t="shared" si="219"/>
        <v>2.8051511759999999</v>
      </c>
      <c r="U1014" s="43">
        <f t="shared" si="220"/>
        <v>8.2798250029999991</v>
      </c>
      <c r="V1014" s="43">
        <f t="shared" si="221"/>
        <v>3.3096599999999999E-3</v>
      </c>
      <c r="W1014" s="230">
        <f t="shared" si="222"/>
        <v>1.5720885334068815E-2</v>
      </c>
      <c r="X1014" s="43">
        <f t="shared" si="223"/>
        <v>0.90264083299999998</v>
      </c>
      <c r="Y1014" s="43">
        <v>32.795790420000003</v>
      </c>
      <c r="Z1014" s="43">
        <f t="shared" si="212"/>
        <v>0</v>
      </c>
      <c r="AA1014" s="43">
        <f t="shared" si="213"/>
        <v>58427</v>
      </c>
      <c r="AB1014" s="43">
        <f t="shared" si="214"/>
        <v>20964</v>
      </c>
      <c r="AC1014" s="43">
        <f t="shared" si="224"/>
        <v>2.1965121632062434E-2</v>
      </c>
      <c r="AD1014" s="43">
        <f t="shared" si="225"/>
        <v>0.90685301037719301</v>
      </c>
      <c r="AF1014" s="43">
        <v>14.557428608741077</v>
      </c>
      <c r="AG1014" s="43">
        <v>1.5350913000000001E-2</v>
      </c>
      <c r="AH1014" s="43">
        <v>7.4119219999999996E-3</v>
      </c>
      <c r="AI1014" s="43">
        <v>0.88200220699999998</v>
      </c>
      <c r="AJ1014" s="43">
        <v>2.8051511759999999</v>
      </c>
      <c r="AK1014" s="43">
        <v>8.2798250029999991</v>
      </c>
      <c r="AL1014" s="43">
        <v>3.3096599999999999E-3</v>
      </c>
      <c r="AM1014" s="230">
        <v>1.5720885334068815E-2</v>
      </c>
      <c r="AN1014" s="43">
        <v>0.90264083299999998</v>
      </c>
    </row>
    <row r="1015" spans="1:40" x14ac:dyDescent="0.25">
      <c r="A1015" s="134">
        <v>1005</v>
      </c>
      <c r="B1015" s="134" t="s">
        <v>207</v>
      </c>
      <c r="C1015" s="134" t="s">
        <v>205</v>
      </c>
      <c r="D1015" s="134" t="s">
        <v>62</v>
      </c>
      <c r="E1015" s="134">
        <v>277</v>
      </c>
      <c r="F1015" s="134">
        <v>791</v>
      </c>
      <c r="G1015" s="134">
        <v>28</v>
      </c>
      <c r="H1015" s="134">
        <v>0</v>
      </c>
      <c r="I1015" s="200">
        <v>6.22512396775E-2</v>
      </c>
      <c r="J1015" s="134">
        <v>791</v>
      </c>
      <c r="K1015" s="134">
        <v>12706.5742642</v>
      </c>
      <c r="L1015" s="42">
        <v>0.88437360078799998</v>
      </c>
      <c r="M1015" s="42">
        <v>0</v>
      </c>
      <c r="N1015" s="134">
        <v>0</v>
      </c>
      <c r="O1015" s="43" t="s">
        <v>666</v>
      </c>
      <c r="P1015" s="43">
        <f t="shared" si="215"/>
        <v>16.652409125716773</v>
      </c>
      <c r="Q1015" s="43">
        <f t="shared" si="216"/>
        <v>3.0312527999999998E-2</v>
      </c>
      <c r="R1015" s="43">
        <f t="shared" si="217"/>
        <v>9.2325600000000008E-3</v>
      </c>
      <c r="S1015" s="43">
        <f t="shared" si="218"/>
        <v>0.88437360099999995</v>
      </c>
      <c r="T1015" s="43">
        <f t="shared" si="219"/>
        <v>3.4251090639999999</v>
      </c>
      <c r="U1015" s="43">
        <f t="shared" si="220"/>
        <v>10.117317829999999</v>
      </c>
      <c r="V1015" s="43">
        <f t="shared" si="221"/>
        <v>1.684526E-3</v>
      </c>
      <c r="W1015" s="230">
        <f t="shared" si="222"/>
        <v>8.9607411913340498E-2</v>
      </c>
      <c r="X1015" s="43">
        <f t="shared" si="223"/>
        <v>0.84535117699999995</v>
      </c>
      <c r="Y1015" s="43">
        <v>32.854061100000003</v>
      </c>
      <c r="Z1015" s="43">
        <f t="shared" si="212"/>
        <v>0</v>
      </c>
      <c r="AA1015" s="43">
        <f t="shared" si="213"/>
        <v>58427</v>
      </c>
      <c r="AB1015" s="43">
        <f t="shared" si="214"/>
        <v>20964</v>
      </c>
      <c r="AC1015" s="43">
        <f t="shared" si="224"/>
        <v>2.1965121632062434E-2</v>
      </c>
      <c r="AD1015" s="43">
        <f t="shared" si="225"/>
        <v>0.90685301037719301</v>
      </c>
      <c r="AF1015" s="43">
        <v>16.652409125716773</v>
      </c>
      <c r="AG1015" s="43">
        <v>3.0312527999999998E-2</v>
      </c>
      <c r="AH1015" s="43">
        <v>9.2325600000000008E-3</v>
      </c>
      <c r="AI1015" s="43">
        <v>0.88437360099999995</v>
      </c>
      <c r="AJ1015" s="43">
        <v>3.4251090639999999</v>
      </c>
      <c r="AK1015" s="43">
        <v>10.117317829999999</v>
      </c>
      <c r="AL1015" s="43">
        <v>1.684526E-3</v>
      </c>
      <c r="AM1015" s="230">
        <v>8.9607411913340498E-2</v>
      </c>
      <c r="AN1015" s="43">
        <v>0.84535117699999995</v>
      </c>
    </row>
    <row r="1016" spans="1:40" x14ac:dyDescent="0.25">
      <c r="A1016" s="134">
        <v>1006</v>
      </c>
      <c r="B1016" s="134" t="s">
        <v>207</v>
      </c>
      <c r="C1016" s="134" t="s">
        <v>205</v>
      </c>
      <c r="D1016" s="134" t="s">
        <v>62</v>
      </c>
      <c r="E1016" s="134">
        <v>324</v>
      </c>
      <c r="F1016" s="134">
        <v>925</v>
      </c>
      <c r="G1016" s="134">
        <v>12</v>
      </c>
      <c r="H1016" s="134">
        <v>0</v>
      </c>
      <c r="I1016" s="200">
        <v>2.6895543624700001E-2</v>
      </c>
      <c r="J1016" s="134">
        <v>925</v>
      </c>
      <c r="K1016" s="134">
        <v>34392.3146863</v>
      </c>
      <c r="L1016" s="42">
        <v>0.86893072417299999</v>
      </c>
      <c r="M1016" s="42">
        <v>0</v>
      </c>
      <c r="N1016" s="134">
        <v>0</v>
      </c>
      <c r="O1016" s="43" t="s">
        <v>664</v>
      </c>
      <c r="P1016" s="43">
        <f t="shared" si="215"/>
        <v>16.646092492598626</v>
      </c>
      <c r="Q1016" s="43">
        <f t="shared" si="216"/>
        <v>3.1492528999999998E-2</v>
      </c>
      <c r="R1016" s="43">
        <f t="shared" si="217"/>
        <v>9.2697909999999994E-3</v>
      </c>
      <c r="S1016" s="43">
        <f t="shared" si="218"/>
        <v>0.86893072400000004</v>
      </c>
      <c r="T1016" s="43">
        <f t="shared" si="219"/>
        <v>3.188592839</v>
      </c>
      <c r="U1016" s="43">
        <f t="shared" si="220"/>
        <v>9.8588366490000006</v>
      </c>
      <c r="V1016" s="43">
        <f t="shared" si="221"/>
        <v>1.9639280000000002E-3</v>
      </c>
      <c r="W1016" s="230">
        <f t="shared" si="222"/>
        <v>9.8196392785571143E-2</v>
      </c>
      <c r="X1016" s="43">
        <f t="shared" si="223"/>
        <v>0.82380761499999999</v>
      </c>
      <c r="Y1016" s="43">
        <v>32.854061100000003</v>
      </c>
      <c r="Z1016" s="43">
        <f t="shared" si="212"/>
        <v>0</v>
      </c>
      <c r="AA1016" s="43">
        <f t="shared" si="213"/>
        <v>58427</v>
      </c>
      <c r="AB1016" s="43">
        <f t="shared" si="214"/>
        <v>20964</v>
      </c>
      <c r="AC1016" s="43">
        <f t="shared" si="224"/>
        <v>2.1965121632062434E-2</v>
      </c>
      <c r="AD1016" s="43">
        <f t="shared" si="225"/>
        <v>0.90685301037719301</v>
      </c>
      <c r="AF1016" s="43">
        <v>16.646092492598626</v>
      </c>
      <c r="AG1016" s="43">
        <v>3.1492528999999998E-2</v>
      </c>
      <c r="AH1016" s="43">
        <v>9.2697909999999994E-3</v>
      </c>
      <c r="AI1016" s="43">
        <v>0.86893072400000004</v>
      </c>
      <c r="AJ1016" s="43">
        <v>3.188592839</v>
      </c>
      <c r="AK1016" s="43">
        <v>9.8588366490000006</v>
      </c>
      <c r="AL1016" s="43">
        <v>1.9639280000000002E-3</v>
      </c>
      <c r="AM1016" s="230">
        <v>9.8196392785571143E-2</v>
      </c>
      <c r="AN1016" s="43">
        <v>0.82380761499999999</v>
      </c>
    </row>
    <row r="1017" spans="1:40" x14ac:dyDescent="0.25">
      <c r="A1017" s="134">
        <v>1007</v>
      </c>
      <c r="B1017" s="134" t="s">
        <v>207</v>
      </c>
      <c r="C1017" s="134" t="s">
        <v>205</v>
      </c>
      <c r="D1017" s="134" t="s">
        <v>62</v>
      </c>
      <c r="E1017" s="134">
        <v>122</v>
      </c>
      <c r="F1017" s="134">
        <v>348</v>
      </c>
      <c r="G1017" s="134">
        <v>22</v>
      </c>
      <c r="H1017" s="134">
        <v>0</v>
      </c>
      <c r="I1017" s="200">
        <v>5.0139837027500002E-2</v>
      </c>
      <c r="J1017" s="134">
        <v>348</v>
      </c>
      <c r="K1017" s="134">
        <v>6940.5889733699996</v>
      </c>
      <c r="L1017" s="42">
        <v>0.891170598541</v>
      </c>
      <c r="M1017" s="42">
        <v>0</v>
      </c>
      <c r="N1017" s="134">
        <v>0</v>
      </c>
      <c r="O1017" s="43" t="s">
        <v>666</v>
      </c>
      <c r="P1017" s="43">
        <f t="shared" si="215"/>
        <v>16.827684819063624</v>
      </c>
      <c r="Q1017" s="43">
        <f t="shared" si="216"/>
        <v>2.3387524E-2</v>
      </c>
      <c r="R1017" s="43">
        <f t="shared" si="217"/>
        <v>9.0657210000000005E-3</v>
      </c>
      <c r="S1017" s="43">
        <f t="shared" si="218"/>
        <v>0.89117059899999995</v>
      </c>
      <c r="T1017" s="43">
        <f t="shared" si="219"/>
        <v>3.663253697</v>
      </c>
      <c r="U1017" s="43">
        <f t="shared" si="220"/>
        <v>10.44045274</v>
      </c>
      <c r="V1017" s="43">
        <f t="shared" si="221"/>
        <v>3.2481600000000002E-4</v>
      </c>
      <c r="W1017" s="230">
        <f t="shared" si="222"/>
        <v>7.1892594196621917E-2</v>
      </c>
      <c r="X1017" s="43">
        <f t="shared" si="223"/>
        <v>0.841489822</v>
      </c>
      <c r="Y1017" s="43">
        <v>134.63621979999999</v>
      </c>
      <c r="Z1017" s="43">
        <f t="shared" si="212"/>
        <v>0</v>
      </c>
      <c r="AA1017" s="43">
        <f t="shared" si="213"/>
        <v>58427</v>
      </c>
      <c r="AB1017" s="43">
        <f t="shared" si="214"/>
        <v>20964</v>
      </c>
      <c r="AC1017" s="43">
        <f t="shared" si="224"/>
        <v>2.1965121632062434E-2</v>
      </c>
      <c r="AD1017" s="43">
        <f t="shared" si="225"/>
        <v>0.90685301037719301</v>
      </c>
      <c r="AF1017" s="43">
        <v>16.827684819063624</v>
      </c>
      <c r="AG1017" s="43">
        <v>2.3387524E-2</v>
      </c>
      <c r="AH1017" s="43">
        <v>9.0657210000000005E-3</v>
      </c>
      <c r="AI1017" s="43">
        <v>0.89117059899999995</v>
      </c>
      <c r="AJ1017" s="43">
        <v>3.663253697</v>
      </c>
      <c r="AK1017" s="43">
        <v>10.44045274</v>
      </c>
      <c r="AL1017" s="43">
        <v>3.2481600000000002E-4</v>
      </c>
      <c r="AM1017" s="230">
        <v>7.1892594196621917E-2</v>
      </c>
      <c r="AN1017" s="43">
        <v>0.841489822</v>
      </c>
    </row>
    <row r="1018" spans="1:40" x14ac:dyDescent="0.25">
      <c r="A1018" s="134">
        <v>1008</v>
      </c>
      <c r="B1018" s="134" t="s">
        <v>207</v>
      </c>
      <c r="C1018" s="134" t="s">
        <v>205</v>
      </c>
      <c r="D1018" s="134" t="s">
        <v>62</v>
      </c>
      <c r="E1018" s="134">
        <v>368</v>
      </c>
      <c r="F1018" s="134">
        <v>1051</v>
      </c>
      <c r="G1018" s="134">
        <v>13</v>
      </c>
      <c r="H1018" s="134">
        <v>0</v>
      </c>
      <c r="I1018" s="200">
        <v>3.0337839698599999E-2</v>
      </c>
      <c r="J1018" s="134">
        <v>1051</v>
      </c>
      <c r="K1018" s="134">
        <v>34643.205002100003</v>
      </c>
      <c r="L1018" s="42">
        <v>0.87271992492799999</v>
      </c>
      <c r="M1018" s="42">
        <v>0</v>
      </c>
      <c r="N1018" s="134">
        <v>0</v>
      </c>
      <c r="O1018" s="43" t="s">
        <v>664</v>
      </c>
      <c r="P1018" s="43">
        <f t="shared" si="215"/>
        <v>16.871573307188296</v>
      </c>
      <c r="Q1018" s="43">
        <f t="shared" si="216"/>
        <v>3.1994685000000002E-2</v>
      </c>
      <c r="R1018" s="43">
        <f t="shared" si="217"/>
        <v>9.5278540000000005E-3</v>
      </c>
      <c r="S1018" s="43">
        <f t="shared" si="218"/>
        <v>0.87271992499999995</v>
      </c>
      <c r="T1018" s="43">
        <f t="shared" si="219"/>
        <v>3.3771140700000002</v>
      </c>
      <c r="U1018" s="43">
        <f t="shared" si="220"/>
        <v>10.403389949999999</v>
      </c>
      <c r="V1018" s="43">
        <f t="shared" si="221"/>
        <v>2.373025E-3</v>
      </c>
      <c r="W1018" s="230">
        <f t="shared" si="222"/>
        <v>9.5098108663313752E-2</v>
      </c>
      <c r="X1018" s="43">
        <f t="shared" si="223"/>
        <v>0.83498618700000005</v>
      </c>
      <c r="Y1018" s="43">
        <v>134.8383336</v>
      </c>
      <c r="Z1018" s="43">
        <f t="shared" si="212"/>
        <v>0</v>
      </c>
      <c r="AA1018" s="43">
        <f t="shared" si="213"/>
        <v>58427</v>
      </c>
      <c r="AB1018" s="43">
        <f t="shared" si="214"/>
        <v>20964</v>
      </c>
      <c r="AC1018" s="43">
        <f t="shared" si="224"/>
        <v>2.1965121632062434E-2</v>
      </c>
      <c r="AD1018" s="43">
        <f t="shared" si="225"/>
        <v>0.90685301037719301</v>
      </c>
      <c r="AF1018" s="43">
        <v>16.871573307188296</v>
      </c>
      <c r="AG1018" s="43">
        <v>3.1994685000000002E-2</v>
      </c>
      <c r="AH1018" s="43">
        <v>9.5278540000000005E-3</v>
      </c>
      <c r="AI1018" s="43">
        <v>0.87271992499999995</v>
      </c>
      <c r="AJ1018" s="43">
        <v>3.3771140700000002</v>
      </c>
      <c r="AK1018" s="43">
        <v>10.403389949999999</v>
      </c>
      <c r="AL1018" s="43">
        <v>2.373025E-3</v>
      </c>
      <c r="AM1018" s="230">
        <v>9.5098108663313752E-2</v>
      </c>
      <c r="AN1018" s="43">
        <v>0.83498618700000005</v>
      </c>
    </row>
    <row r="1019" spans="1:40" x14ac:dyDescent="0.25">
      <c r="A1019" s="134">
        <v>1009</v>
      </c>
      <c r="B1019" s="134" t="s">
        <v>207</v>
      </c>
      <c r="C1019" s="134" t="s">
        <v>205</v>
      </c>
      <c r="D1019" s="134" t="s">
        <v>62</v>
      </c>
      <c r="E1019" s="134">
        <v>0</v>
      </c>
      <c r="F1019" s="134">
        <v>0</v>
      </c>
      <c r="G1019" s="134">
        <v>23</v>
      </c>
      <c r="H1019" s="134">
        <v>85</v>
      </c>
      <c r="I1019" s="200">
        <v>5.2178764466199998E-2</v>
      </c>
      <c r="J1019" s="134">
        <v>85</v>
      </c>
      <c r="K1019" s="134">
        <v>1629.01519171</v>
      </c>
      <c r="L1019" s="42">
        <v>0.90250820310299995</v>
      </c>
      <c r="M1019" s="42">
        <v>1</v>
      </c>
      <c r="N1019" s="134">
        <v>0</v>
      </c>
      <c r="O1019" s="43" t="s">
        <v>666</v>
      </c>
      <c r="P1019" s="43">
        <f t="shared" si="215"/>
        <v>15.211491169534829</v>
      </c>
      <c r="Q1019" s="43">
        <f t="shared" si="216"/>
        <v>1.5683221000000001E-2</v>
      </c>
      <c r="R1019" s="43">
        <f t="shared" si="217"/>
        <v>4.7272119999999997E-3</v>
      </c>
      <c r="S1019" s="43">
        <f t="shared" si="218"/>
        <v>0.90250820300000001</v>
      </c>
      <c r="T1019" s="43">
        <f t="shared" si="219"/>
        <v>3.6685082869999999</v>
      </c>
      <c r="U1019" s="43">
        <f t="shared" si="220"/>
        <v>10.25550013</v>
      </c>
      <c r="V1019" s="43">
        <f t="shared" si="221"/>
        <v>1.1622500000000001E-3</v>
      </c>
      <c r="W1019" s="230">
        <f t="shared" si="222"/>
        <v>2.0920502092050207E-3</v>
      </c>
      <c r="X1019" s="43">
        <f t="shared" si="223"/>
        <v>0.892143189</v>
      </c>
      <c r="Y1019" s="43">
        <v>32.884783609999999</v>
      </c>
      <c r="Z1019" s="43">
        <f t="shared" si="212"/>
        <v>0</v>
      </c>
      <c r="AA1019" s="43">
        <f t="shared" si="213"/>
        <v>58427</v>
      </c>
      <c r="AB1019" s="43">
        <f t="shared" si="214"/>
        <v>20964</v>
      </c>
      <c r="AC1019" s="43">
        <f t="shared" si="224"/>
        <v>2.1965121632062434E-2</v>
      </c>
      <c r="AD1019" s="43">
        <f t="shared" si="225"/>
        <v>0.90685301037719301</v>
      </c>
      <c r="AF1019" s="43">
        <v>15.211491169534829</v>
      </c>
      <c r="AG1019" s="43">
        <v>1.5683221000000001E-2</v>
      </c>
      <c r="AH1019" s="43">
        <v>4.7272119999999997E-3</v>
      </c>
      <c r="AI1019" s="43">
        <v>0.90250820300000001</v>
      </c>
      <c r="AJ1019" s="43">
        <v>3.6685082869999999</v>
      </c>
      <c r="AK1019" s="43">
        <v>10.25550013</v>
      </c>
      <c r="AL1019" s="43">
        <v>1.1622500000000001E-3</v>
      </c>
      <c r="AM1019" s="230">
        <v>2.0920502092050207E-3</v>
      </c>
      <c r="AN1019" s="43">
        <v>0.892143189</v>
      </c>
    </row>
    <row r="1020" spans="1:40" x14ac:dyDescent="0.25">
      <c r="A1020" s="134">
        <v>1010</v>
      </c>
      <c r="B1020" s="134" t="s">
        <v>207</v>
      </c>
      <c r="C1020" s="134" t="s">
        <v>205</v>
      </c>
      <c r="D1020" s="134" t="s">
        <v>62</v>
      </c>
      <c r="E1020" s="134">
        <v>0</v>
      </c>
      <c r="F1020" s="134">
        <v>0</v>
      </c>
      <c r="G1020" s="134">
        <v>46</v>
      </c>
      <c r="H1020" s="134">
        <v>467</v>
      </c>
      <c r="I1020" s="200">
        <v>0.10406482068800001</v>
      </c>
      <c r="J1020" s="134">
        <v>467</v>
      </c>
      <c r="K1020" s="134">
        <v>4487.5876104199997</v>
      </c>
      <c r="L1020" s="42">
        <v>0.88607609325799996</v>
      </c>
      <c r="M1020" s="42">
        <v>1</v>
      </c>
      <c r="N1020" s="134">
        <v>0</v>
      </c>
      <c r="O1020" s="43" t="s">
        <v>666</v>
      </c>
      <c r="P1020" s="43">
        <f t="shared" si="215"/>
        <v>15.063134007149085</v>
      </c>
      <c r="Q1020" s="43">
        <f t="shared" si="216"/>
        <v>1.4982209999999999E-2</v>
      </c>
      <c r="R1020" s="43">
        <f t="shared" si="217"/>
        <v>7.354696E-3</v>
      </c>
      <c r="S1020" s="43">
        <f t="shared" si="218"/>
        <v>0.88607609300000001</v>
      </c>
      <c r="T1020" s="43">
        <f t="shared" si="219"/>
        <v>2.6802459650000001</v>
      </c>
      <c r="U1020" s="43">
        <f t="shared" si="220"/>
        <v>8.8199269769999997</v>
      </c>
      <c r="V1020" s="43">
        <f t="shared" si="221"/>
        <v>3.650801E-3</v>
      </c>
      <c r="W1020" s="230">
        <f t="shared" si="222"/>
        <v>1.213891297403368E-2</v>
      </c>
      <c r="X1020" s="43">
        <f t="shared" si="223"/>
        <v>0.92041254100000003</v>
      </c>
      <c r="Y1020" s="43">
        <v>32.93476656</v>
      </c>
      <c r="Z1020" s="43">
        <f t="shared" si="212"/>
        <v>0</v>
      </c>
      <c r="AA1020" s="43">
        <f t="shared" si="213"/>
        <v>58427</v>
      </c>
      <c r="AB1020" s="43">
        <f t="shared" si="214"/>
        <v>20964</v>
      </c>
      <c r="AC1020" s="43">
        <f t="shared" si="224"/>
        <v>2.1965121632062434E-2</v>
      </c>
      <c r="AD1020" s="43">
        <f t="shared" si="225"/>
        <v>0.90685301037719301</v>
      </c>
      <c r="AF1020" s="43">
        <v>15.063134007149085</v>
      </c>
      <c r="AG1020" s="43">
        <v>1.4982209999999999E-2</v>
      </c>
      <c r="AH1020" s="43">
        <v>7.354696E-3</v>
      </c>
      <c r="AI1020" s="43">
        <v>0.88607609300000001</v>
      </c>
      <c r="AJ1020" s="43">
        <v>2.6802459650000001</v>
      </c>
      <c r="AK1020" s="43">
        <v>8.8199269769999997</v>
      </c>
      <c r="AL1020" s="43">
        <v>3.650801E-3</v>
      </c>
      <c r="AM1020" s="230">
        <v>1.213891297403368E-2</v>
      </c>
      <c r="AN1020" s="43">
        <v>0.92041254100000003</v>
      </c>
    </row>
    <row r="1021" spans="1:40" x14ac:dyDescent="0.25">
      <c r="A1021" s="134">
        <v>1011</v>
      </c>
      <c r="B1021" s="134" t="s">
        <v>207</v>
      </c>
      <c r="C1021" s="134" t="s">
        <v>205</v>
      </c>
      <c r="D1021" s="134" t="s">
        <v>62</v>
      </c>
      <c r="E1021" s="134">
        <v>0</v>
      </c>
      <c r="F1021" s="134">
        <v>0</v>
      </c>
      <c r="G1021" s="134">
        <v>17</v>
      </c>
      <c r="H1021" s="134">
        <v>718</v>
      </c>
      <c r="I1021" s="200">
        <v>3.7260497522099999E-2</v>
      </c>
      <c r="J1021" s="134">
        <v>718</v>
      </c>
      <c r="K1021" s="134">
        <v>19269.737329</v>
      </c>
      <c r="L1021" s="42">
        <v>0.88137435533700004</v>
      </c>
      <c r="M1021" s="42">
        <v>1</v>
      </c>
      <c r="N1021" s="134">
        <v>0</v>
      </c>
      <c r="O1021" s="43" t="s">
        <v>664</v>
      </c>
      <c r="P1021" s="43">
        <f t="shared" si="215"/>
        <v>16.092683192749835</v>
      </c>
      <c r="Q1021" s="43">
        <f t="shared" si="216"/>
        <v>1.8077537000000001E-2</v>
      </c>
      <c r="R1021" s="43">
        <f t="shared" si="217"/>
        <v>7.6472989999999998E-3</v>
      </c>
      <c r="S1021" s="43">
        <f t="shared" si="218"/>
        <v>0.88137435500000005</v>
      </c>
      <c r="T1021" s="43">
        <f t="shared" si="219"/>
        <v>2.5905194150000002</v>
      </c>
      <c r="U1021" s="43">
        <f t="shared" si="220"/>
        <v>9.0955185679999992</v>
      </c>
      <c r="V1021" s="43">
        <f t="shared" si="221"/>
        <v>3.1880260000000001E-3</v>
      </c>
      <c r="W1021" s="230">
        <f t="shared" si="222"/>
        <v>2.7987516359609381E-2</v>
      </c>
      <c r="X1021" s="43">
        <f t="shared" si="223"/>
        <v>0.90885600200000005</v>
      </c>
      <c r="Y1021" s="43">
        <v>33.105202130000002</v>
      </c>
      <c r="Z1021" s="43">
        <f t="shared" si="212"/>
        <v>0</v>
      </c>
      <c r="AA1021" s="43">
        <f t="shared" si="213"/>
        <v>58427</v>
      </c>
      <c r="AB1021" s="43">
        <f t="shared" si="214"/>
        <v>20964</v>
      </c>
      <c r="AC1021" s="43">
        <f t="shared" si="224"/>
        <v>2.1965121632062434E-2</v>
      </c>
      <c r="AD1021" s="43">
        <f t="shared" si="225"/>
        <v>0.90685301037719301</v>
      </c>
      <c r="AF1021" s="43">
        <v>16.092683192749835</v>
      </c>
      <c r="AG1021" s="43">
        <v>1.8077537000000001E-2</v>
      </c>
      <c r="AH1021" s="43">
        <v>7.6472989999999998E-3</v>
      </c>
      <c r="AI1021" s="43">
        <v>0.88137435500000005</v>
      </c>
      <c r="AJ1021" s="43">
        <v>2.5905194150000002</v>
      </c>
      <c r="AK1021" s="43">
        <v>9.0955185679999992</v>
      </c>
      <c r="AL1021" s="43">
        <v>3.1880260000000001E-3</v>
      </c>
      <c r="AM1021" s="230">
        <v>2.7987516359609381E-2</v>
      </c>
      <c r="AN1021" s="43">
        <v>0.90885600200000005</v>
      </c>
    </row>
    <row r="1022" spans="1:40" x14ac:dyDescent="0.25">
      <c r="A1022" s="134">
        <v>1012</v>
      </c>
      <c r="B1022" s="134" t="s">
        <v>207</v>
      </c>
      <c r="C1022" s="134" t="s">
        <v>205</v>
      </c>
      <c r="D1022" s="134" t="s">
        <v>62</v>
      </c>
      <c r="E1022" s="134">
        <v>0</v>
      </c>
      <c r="F1022" s="134">
        <v>0</v>
      </c>
      <c r="G1022" s="134">
        <v>26</v>
      </c>
      <c r="H1022" s="134">
        <v>98</v>
      </c>
      <c r="I1022" s="200">
        <v>5.7419117704499999E-2</v>
      </c>
      <c r="J1022" s="134">
        <v>98</v>
      </c>
      <c r="K1022" s="134">
        <v>1706.74862168</v>
      </c>
      <c r="L1022" s="42">
        <v>0.9024174962</v>
      </c>
      <c r="M1022" s="42">
        <v>1</v>
      </c>
      <c r="N1022" s="134">
        <v>0</v>
      </c>
      <c r="O1022" s="43" t="s">
        <v>666</v>
      </c>
      <c r="P1022" s="43">
        <f t="shared" si="215"/>
        <v>15.656842453940079</v>
      </c>
      <c r="Q1022" s="43">
        <f t="shared" si="216"/>
        <v>1.3828274E-2</v>
      </c>
      <c r="R1022" s="43">
        <f t="shared" si="217"/>
        <v>5.4430440000000002E-3</v>
      </c>
      <c r="S1022" s="43">
        <f t="shared" si="218"/>
        <v>0.90241749599999999</v>
      </c>
      <c r="T1022" s="43">
        <f t="shared" si="219"/>
        <v>3.513888889</v>
      </c>
      <c r="U1022" s="43">
        <f t="shared" si="220"/>
        <v>9.9381563859999993</v>
      </c>
      <c r="V1022" s="43">
        <f t="shared" si="221"/>
        <v>1.0018029999999999E-3</v>
      </c>
      <c r="W1022" s="230">
        <f t="shared" si="222"/>
        <v>2.8050490883590466E-3</v>
      </c>
      <c r="X1022" s="43">
        <f t="shared" si="223"/>
        <v>0.90162292099999997</v>
      </c>
      <c r="Y1022" s="43">
        <v>33.40714096</v>
      </c>
      <c r="Z1022" s="43">
        <f t="shared" si="212"/>
        <v>0</v>
      </c>
      <c r="AA1022" s="43">
        <f t="shared" si="213"/>
        <v>58427</v>
      </c>
      <c r="AB1022" s="43">
        <f t="shared" si="214"/>
        <v>20964</v>
      </c>
      <c r="AC1022" s="43">
        <f t="shared" si="224"/>
        <v>2.1965121632062434E-2</v>
      </c>
      <c r="AD1022" s="43">
        <f t="shared" si="225"/>
        <v>0.90685301037719301</v>
      </c>
      <c r="AF1022" s="43">
        <v>15.656842453940079</v>
      </c>
      <c r="AG1022" s="43">
        <v>1.3828274E-2</v>
      </c>
      <c r="AH1022" s="43">
        <v>5.4430440000000002E-3</v>
      </c>
      <c r="AI1022" s="43">
        <v>0.90241749599999999</v>
      </c>
      <c r="AJ1022" s="43">
        <v>3.513888889</v>
      </c>
      <c r="AK1022" s="43">
        <v>9.9381563859999993</v>
      </c>
      <c r="AL1022" s="43">
        <v>1.0018029999999999E-3</v>
      </c>
      <c r="AM1022" s="230">
        <v>2.8050490883590466E-3</v>
      </c>
      <c r="AN1022" s="43">
        <v>0.90162292099999997</v>
      </c>
    </row>
    <row r="1023" spans="1:40" x14ac:dyDescent="0.25">
      <c r="A1023" s="134">
        <v>1013</v>
      </c>
      <c r="B1023" s="134" t="s">
        <v>207</v>
      </c>
      <c r="C1023" s="134" t="s">
        <v>205</v>
      </c>
      <c r="D1023" s="134" t="s">
        <v>62</v>
      </c>
      <c r="E1023" s="134">
        <v>0</v>
      </c>
      <c r="F1023" s="134">
        <v>0</v>
      </c>
      <c r="G1023" s="134">
        <v>69</v>
      </c>
      <c r="H1023" s="134">
        <v>0</v>
      </c>
      <c r="I1023" s="200">
        <v>6.7644501248499994E-2</v>
      </c>
      <c r="J1023" s="134">
        <v>0</v>
      </c>
      <c r="K1023" s="134">
        <v>0</v>
      </c>
      <c r="L1023" s="42">
        <v>0.86470850022300005</v>
      </c>
      <c r="M1023" s="42">
        <v>0</v>
      </c>
      <c r="N1023" s="134">
        <v>0</v>
      </c>
      <c r="O1023" s="43" t="s">
        <v>665</v>
      </c>
      <c r="P1023" s="43">
        <f t="shared" si="215"/>
        <v>16.949272386598746</v>
      </c>
      <c r="Q1023" s="43">
        <f t="shared" si="216"/>
        <v>2.5812194E-2</v>
      </c>
      <c r="R1023" s="43">
        <f t="shared" si="217"/>
        <v>4.4503779999999996E-3</v>
      </c>
      <c r="S1023" s="43">
        <f t="shared" si="218"/>
        <v>0.86470849999999999</v>
      </c>
      <c r="T1023" s="43">
        <f t="shared" si="219"/>
        <v>2.0499999999999998</v>
      </c>
      <c r="U1023" s="43">
        <f t="shared" si="220"/>
        <v>6.8019116679999998</v>
      </c>
      <c r="V1023" s="43">
        <f t="shared" si="221"/>
        <v>2.0287614424242431E-3</v>
      </c>
      <c r="W1023" s="230">
        <f t="shared" si="222"/>
        <v>4.8707337327105672E-2</v>
      </c>
      <c r="X1023" s="43">
        <f t="shared" si="223"/>
        <v>0.88538289384112134</v>
      </c>
      <c r="Y1023" s="43">
        <v>26.262279499999998</v>
      </c>
      <c r="Z1023" s="43">
        <f t="shared" si="212"/>
        <v>0</v>
      </c>
      <c r="AA1023" s="43">
        <f t="shared" si="213"/>
        <v>58427</v>
      </c>
      <c r="AB1023" s="43">
        <f t="shared" si="214"/>
        <v>20964</v>
      </c>
      <c r="AC1023" s="43">
        <f t="shared" si="224"/>
        <v>2.1965121632062434E-2</v>
      </c>
      <c r="AD1023" s="43">
        <f t="shared" si="225"/>
        <v>0.90685301037719301</v>
      </c>
      <c r="AF1023" s="43" t="e">
        <v>#DIV/0!</v>
      </c>
      <c r="AG1023" s="43">
        <v>2.5812194E-2</v>
      </c>
      <c r="AH1023" s="43">
        <v>4.4503779999999996E-3</v>
      </c>
      <c r="AI1023" s="43">
        <v>0.86470849999999999</v>
      </c>
      <c r="AJ1023" s="43">
        <v>2.0499999999999998</v>
      </c>
      <c r="AK1023" s="43">
        <v>6.8019116679999998</v>
      </c>
      <c r="AL1023" s="43" t="e">
        <v>#DIV/0!</v>
      </c>
      <c r="AM1023" s="230" t="e">
        <v>#DIV/0!</v>
      </c>
      <c r="AN1023" s="43" t="e">
        <v>#DIV/0!</v>
      </c>
    </row>
    <row r="1024" spans="1:40" x14ac:dyDescent="0.25">
      <c r="A1024" s="134">
        <v>1014</v>
      </c>
      <c r="B1024" s="134" t="s">
        <v>207</v>
      </c>
      <c r="C1024" s="134" t="s">
        <v>205</v>
      </c>
      <c r="D1024" s="134" t="s">
        <v>62</v>
      </c>
      <c r="E1024" s="134">
        <v>0</v>
      </c>
      <c r="F1024" s="134">
        <v>0</v>
      </c>
      <c r="G1024" s="134">
        <v>2060</v>
      </c>
      <c r="H1024" s="134">
        <v>0</v>
      </c>
      <c r="I1024" s="200">
        <v>0.97124560572499996</v>
      </c>
      <c r="J1024" s="134">
        <v>0</v>
      </c>
      <c r="K1024" s="134">
        <v>0</v>
      </c>
      <c r="L1024" s="42">
        <v>0.99021787461099997</v>
      </c>
      <c r="M1024" s="42">
        <v>0</v>
      </c>
      <c r="N1024" s="134">
        <v>0</v>
      </c>
      <c r="O1024" s="43" t="s">
        <v>665</v>
      </c>
      <c r="P1024" s="43">
        <f t="shared" si="215"/>
        <v>16.949272386598746</v>
      </c>
      <c r="Q1024" s="43">
        <f t="shared" si="216"/>
        <v>2.2361770007874014E-2</v>
      </c>
      <c r="R1024" s="43">
        <f t="shared" si="217"/>
        <v>1.333926E-3</v>
      </c>
      <c r="S1024" s="43">
        <f t="shared" si="218"/>
        <v>0.99021787500000003</v>
      </c>
      <c r="T1024" s="43">
        <f t="shared" si="219"/>
        <v>3.8</v>
      </c>
      <c r="U1024" s="43">
        <f t="shared" si="220"/>
        <v>15.56909404</v>
      </c>
      <c r="V1024" s="43">
        <f t="shared" si="221"/>
        <v>2.0287614424242431E-3</v>
      </c>
      <c r="W1024" s="230">
        <f t="shared" si="222"/>
        <v>4.8707337327105672E-2</v>
      </c>
      <c r="X1024" s="43">
        <f t="shared" si="223"/>
        <v>0.88538289384112134</v>
      </c>
      <c r="Y1024" s="43">
        <v>26.127102130000001</v>
      </c>
      <c r="Z1024" s="43">
        <f t="shared" si="212"/>
        <v>0</v>
      </c>
      <c r="AA1024" s="43">
        <f t="shared" si="213"/>
        <v>58427</v>
      </c>
      <c r="AB1024" s="43">
        <f t="shared" si="214"/>
        <v>20964</v>
      </c>
      <c r="AC1024" s="43">
        <f t="shared" si="224"/>
        <v>2.1965121632062434E-2</v>
      </c>
      <c r="AD1024" s="43">
        <f t="shared" si="225"/>
        <v>0.90685301037719301</v>
      </c>
      <c r="AF1024" s="43" t="e">
        <v>#DIV/0!</v>
      </c>
      <c r="AG1024" s="43">
        <v>0</v>
      </c>
      <c r="AH1024" s="43">
        <v>1.333926E-3</v>
      </c>
      <c r="AI1024" s="43">
        <v>0.99021787500000003</v>
      </c>
      <c r="AJ1024" s="43">
        <v>3.8</v>
      </c>
      <c r="AK1024" s="43">
        <v>15.56909404</v>
      </c>
      <c r="AL1024" s="43" t="e">
        <v>#DIV/0!</v>
      </c>
      <c r="AM1024" s="230" t="e">
        <v>#DIV/0!</v>
      </c>
      <c r="AN1024" s="43" t="e">
        <v>#DIV/0!</v>
      </c>
    </row>
    <row r="1025" spans="1:40" x14ac:dyDescent="0.25">
      <c r="A1025" s="134">
        <v>1015</v>
      </c>
      <c r="B1025" s="134" t="s">
        <v>207</v>
      </c>
      <c r="C1025" s="134" t="s">
        <v>205</v>
      </c>
      <c r="D1025" s="134" t="s">
        <v>62</v>
      </c>
      <c r="E1025" s="134">
        <v>0</v>
      </c>
      <c r="F1025" s="134">
        <v>0</v>
      </c>
      <c r="G1025" s="134">
        <v>79</v>
      </c>
      <c r="H1025" s="134">
        <v>0</v>
      </c>
      <c r="I1025" s="200">
        <v>0.163772924519</v>
      </c>
      <c r="J1025" s="134">
        <v>0</v>
      </c>
      <c r="K1025" s="134">
        <v>0</v>
      </c>
      <c r="L1025" s="42">
        <v>0.95962732919299998</v>
      </c>
      <c r="M1025" s="42">
        <v>0</v>
      </c>
      <c r="N1025" s="134">
        <v>0</v>
      </c>
      <c r="O1025" s="43" t="s">
        <v>665</v>
      </c>
      <c r="P1025" s="43">
        <f t="shared" si="215"/>
        <v>16.949272386598746</v>
      </c>
      <c r="Q1025" s="43">
        <f t="shared" si="216"/>
        <v>3.1499555999999998E-2</v>
      </c>
      <c r="R1025" s="43">
        <f t="shared" si="217"/>
        <v>8.87311E-4</v>
      </c>
      <c r="S1025" s="43">
        <f t="shared" si="218"/>
        <v>0.95962732900000003</v>
      </c>
      <c r="T1025" s="43">
        <f t="shared" si="219"/>
        <v>5.75</v>
      </c>
      <c r="U1025" s="43">
        <f t="shared" si="220"/>
        <v>23.82850384</v>
      </c>
      <c r="V1025" s="43">
        <f t="shared" si="221"/>
        <v>2.0287614424242431E-3</v>
      </c>
      <c r="W1025" s="230">
        <f t="shared" si="222"/>
        <v>4.8707337327105672E-2</v>
      </c>
      <c r="X1025" s="43">
        <f t="shared" si="223"/>
        <v>0.88538289384112134</v>
      </c>
      <c r="Y1025" s="43">
        <v>26.262279499999998</v>
      </c>
      <c r="Z1025" s="43">
        <f t="shared" si="212"/>
        <v>0</v>
      </c>
      <c r="AA1025" s="43">
        <f t="shared" si="213"/>
        <v>58427</v>
      </c>
      <c r="AB1025" s="43">
        <f t="shared" si="214"/>
        <v>20964</v>
      </c>
      <c r="AC1025" s="43">
        <f t="shared" si="224"/>
        <v>2.1965121632062434E-2</v>
      </c>
      <c r="AD1025" s="43">
        <f t="shared" si="225"/>
        <v>0.90685301037719301</v>
      </c>
      <c r="AF1025" s="43" t="e">
        <v>#DIV/0!</v>
      </c>
      <c r="AG1025" s="43">
        <v>3.1499555999999998E-2</v>
      </c>
      <c r="AH1025" s="43">
        <v>8.87311E-4</v>
      </c>
      <c r="AI1025" s="43">
        <v>0.95962732900000003</v>
      </c>
      <c r="AJ1025" s="43">
        <v>5.75</v>
      </c>
      <c r="AK1025" s="43">
        <v>23.82850384</v>
      </c>
      <c r="AL1025" s="43" t="e">
        <v>#DIV/0!</v>
      </c>
      <c r="AM1025" s="230" t="e">
        <v>#DIV/0!</v>
      </c>
      <c r="AN1025" s="43" t="e">
        <v>#DIV/0!</v>
      </c>
    </row>
    <row r="1026" spans="1:40" x14ac:dyDescent="0.25">
      <c r="A1026" s="134">
        <v>1016</v>
      </c>
      <c r="B1026" s="134" t="s">
        <v>207</v>
      </c>
      <c r="C1026" s="134" t="s">
        <v>205</v>
      </c>
      <c r="D1026" s="134" t="s">
        <v>62</v>
      </c>
      <c r="E1026" s="134">
        <v>0</v>
      </c>
      <c r="F1026" s="134">
        <v>0</v>
      </c>
      <c r="G1026" s="134">
        <v>46</v>
      </c>
      <c r="H1026" s="134">
        <v>77</v>
      </c>
      <c r="I1026" s="200">
        <v>9.6527087889700006E-2</v>
      </c>
      <c r="J1026" s="134">
        <v>77</v>
      </c>
      <c r="K1026" s="134">
        <v>797.70354294799995</v>
      </c>
      <c r="L1026" s="42">
        <v>0.88935935198799998</v>
      </c>
      <c r="M1026" s="42">
        <v>1</v>
      </c>
      <c r="N1026" s="134">
        <v>0</v>
      </c>
      <c r="O1026" s="43" t="s">
        <v>666</v>
      </c>
      <c r="P1026" s="43">
        <f t="shared" si="215"/>
        <v>15.550340026558287</v>
      </c>
      <c r="Q1026" s="43">
        <f t="shared" si="216"/>
        <v>1.3316151E-2</v>
      </c>
      <c r="R1026" s="43">
        <f t="shared" si="217"/>
        <v>4.7250859999999999E-3</v>
      </c>
      <c r="S1026" s="43">
        <f t="shared" si="218"/>
        <v>0.88935935200000005</v>
      </c>
      <c r="T1026" s="43">
        <f t="shared" si="219"/>
        <v>2.8770949720000001</v>
      </c>
      <c r="U1026" s="43">
        <f t="shared" si="220"/>
        <v>9.0907629839999995</v>
      </c>
      <c r="V1026" s="43">
        <f t="shared" si="221"/>
        <v>1.255335E-3</v>
      </c>
      <c r="W1026" s="230">
        <f t="shared" si="222"/>
        <v>2.2596033140848608E-3</v>
      </c>
      <c r="X1026" s="43">
        <f t="shared" si="223"/>
        <v>0.88701983399999995</v>
      </c>
      <c r="Y1026" s="43">
        <v>47.153867349999999</v>
      </c>
      <c r="Z1026" s="43">
        <f t="shared" si="212"/>
        <v>0</v>
      </c>
      <c r="AA1026" s="43">
        <f t="shared" si="213"/>
        <v>58427</v>
      </c>
      <c r="AB1026" s="43">
        <f t="shared" si="214"/>
        <v>20964</v>
      </c>
      <c r="AC1026" s="43">
        <f t="shared" si="224"/>
        <v>2.1965121632062434E-2</v>
      </c>
      <c r="AD1026" s="43">
        <f t="shared" si="225"/>
        <v>0.90685301037719301</v>
      </c>
      <c r="AF1026" s="43">
        <v>15.550340026558287</v>
      </c>
      <c r="AG1026" s="43">
        <v>1.3316151E-2</v>
      </c>
      <c r="AH1026" s="43">
        <v>4.7250859999999999E-3</v>
      </c>
      <c r="AI1026" s="43">
        <v>0.88935935200000005</v>
      </c>
      <c r="AJ1026" s="43">
        <v>2.8770949720000001</v>
      </c>
      <c r="AK1026" s="43">
        <v>9.0907629839999995</v>
      </c>
      <c r="AL1026" s="43">
        <v>1.255335E-3</v>
      </c>
      <c r="AM1026" s="230">
        <v>2.2596033140848608E-3</v>
      </c>
      <c r="AN1026" s="43">
        <v>0.88701983399999995</v>
      </c>
    </row>
    <row r="1027" spans="1:40" x14ac:dyDescent="0.25">
      <c r="A1027" s="134">
        <v>1017</v>
      </c>
      <c r="B1027" s="134" t="s">
        <v>207</v>
      </c>
      <c r="C1027" s="134" t="s">
        <v>205</v>
      </c>
      <c r="D1027" s="134" t="s">
        <v>62</v>
      </c>
      <c r="E1027" s="134">
        <v>115</v>
      </c>
      <c r="F1027" s="134">
        <v>329</v>
      </c>
      <c r="G1027" s="134">
        <v>34</v>
      </c>
      <c r="H1027" s="134">
        <v>77</v>
      </c>
      <c r="I1027" s="200">
        <v>7.0989322881100006E-2</v>
      </c>
      <c r="J1027" s="134">
        <v>406</v>
      </c>
      <c r="K1027" s="134">
        <v>5719.1699191199996</v>
      </c>
      <c r="L1027" s="42">
        <v>0.87235794674699996</v>
      </c>
      <c r="M1027" s="42">
        <v>0.40104166666699997</v>
      </c>
      <c r="N1027" s="134">
        <v>0</v>
      </c>
      <c r="O1027" s="43" t="s">
        <v>666</v>
      </c>
      <c r="P1027" s="43">
        <f t="shared" si="215"/>
        <v>17.120961398707596</v>
      </c>
      <c r="Q1027" s="43">
        <f t="shared" si="216"/>
        <v>2.7985177E-2</v>
      </c>
      <c r="R1027" s="43">
        <f t="shared" si="217"/>
        <v>1.0279989E-2</v>
      </c>
      <c r="S1027" s="43">
        <f t="shared" si="218"/>
        <v>0.87235794700000002</v>
      </c>
      <c r="T1027" s="43">
        <f t="shared" si="219"/>
        <v>3.4201183429999999</v>
      </c>
      <c r="U1027" s="43">
        <f t="shared" si="220"/>
        <v>10.020096199999999</v>
      </c>
      <c r="V1027" s="43">
        <f t="shared" si="221"/>
        <v>1.644827E-3</v>
      </c>
      <c r="W1027" s="230">
        <f t="shared" si="222"/>
        <v>6.1735840780744559E-2</v>
      </c>
      <c r="X1027" s="43">
        <f t="shared" si="223"/>
        <v>0.86934590700000003</v>
      </c>
      <c r="Y1027" s="43">
        <v>47.159803709999998</v>
      </c>
      <c r="Z1027" s="43">
        <f t="shared" si="212"/>
        <v>0</v>
      </c>
      <c r="AA1027" s="43">
        <f t="shared" si="213"/>
        <v>58427</v>
      </c>
      <c r="AB1027" s="43">
        <f t="shared" si="214"/>
        <v>20964</v>
      </c>
      <c r="AC1027" s="43">
        <f t="shared" si="224"/>
        <v>2.1965121632062434E-2</v>
      </c>
      <c r="AD1027" s="43">
        <f t="shared" si="225"/>
        <v>0.90685301037719301</v>
      </c>
      <c r="AF1027" s="43">
        <v>17.120961398707596</v>
      </c>
      <c r="AG1027" s="43">
        <v>2.7985177E-2</v>
      </c>
      <c r="AH1027" s="43">
        <v>1.0279989E-2</v>
      </c>
      <c r="AI1027" s="43">
        <v>0.87235794700000002</v>
      </c>
      <c r="AJ1027" s="43">
        <v>3.4201183429999999</v>
      </c>
      <c r="AK1027" s="43">
        <v>10.020096199999999</v>
      </c>
      <c r="AL1027" s="43">
        <v>1.644827E-3</v>
      </c>
      <c r="AM1027" s="230">
        <v>6.1735840780744559E-2</v>
      </c>
      <c r="AN1027" s="43">
        <v>0.86934590700000003</v>
      </c>
    </row>
    <row r="1028" spans="1:40" x14ac:dyDescent="0.25">
      <c r="A1028" s="134">
        <v>1018</v>
      </c>
      <c r="B1028" s="134" t="s">
        <v>207</v>
      </c>
      <c r="C1028" s="134" t="s">
        <v>205</v>
      </c>
      <c r="D1028" s="134" t="s">
        <v>62</v>
      </c>
      <c r="E1028" s="134">
        <v>907</v>
      </c>
      <c r="F1028" s="134">
        <v>2591</v>
      </c>
      <c r="G1028" s="134">
        <v>34</v>
      </c>
      <c r="H1028" s="134">
        <v>8</v>
      </c>
      <c r="I1028" s="200">
        <v>7.0893412097399994E-2</v>
      </c>
      <c r="J1028" s="134">
        <v>2599</v>
      </c>
      <c r="K1028" s="134">
        <v>36660.670196400002</v>
      </c>
      <c r="L1028" s="42">
        <v>0.86294470873999995</v>
      </c>
      <c r="M1028" s="42">
        <v>8.7431693989100008E-3</v>
      </c>
      <c r="N1028" s="134">
        <v>0</v>
      </c>
      <c r="O1028" s="43" t="s">
        <v>664</v>
      </c>
      <c r="P1028" s="43">
        <f t="shared" si="215"/>
        <v>18.194756965575635</v>
      </c>
      <c r="Q1028" s="43">
        <f t="shared" si="216"/>
        <v>3.9385193999999998E-2</v>
      </c>
      <c r="R1028" s="43">
        <f t="shared" si="217"/>
        <v>1.0937891E-2</v>
      </c>
      <c r="S1028" s="43">
        <f t="shared" si="218"/>
        <v>0.86294470899999998</v>
      </c>
      <c r="T1028" s="43">
        <f t="shared" si="219"/>
        <v>3.491411351</v>
      </c>
      <c r="U1028" s="43">
        <f t="shared" si="220"/>
        <v>11.09798015</v>
      </c>
      <c r="V1028" s="43">
        <f t="shared" si="221"/>
        <v>1.6964180000000001E-3</v>
      </c>
      <c r="W1028" s="230">
        <f t="shared" si="222"/>
        <v>0.10723098276593283</v>
      </c>
      <c r="X1028" s="43">
        <f t="shared" si="223"/>
        <v>0.871332459</v>
      </c>
      <c r="Y1028" s="43">
        <v>47.156970999999999</v>
      </c>
      <c r="Z1028" s="43">
        <f t="shared" si="212"/>
        <v>0</v>
      </c>
      <c r="AA1028" s="43">
        <f t="shared" si="213"/>
        <v>58427</v>
      </c>
      <c r="AB1028" s="43">
        <f t="shared" si="214"/>
        <v>20964</v>
      </c>
      <c r="AC1028" s="43">
        <f t="shared" si="224"/>
        <v>2.1965121632062434E-2</v>
      </c>
      <c r="AD1028" s="43">
        <f t="shared" si="225"/>
        <v>0.90685301037719301</v>
      </c>
      <c r="AF1028" s="43">
        <v>18.194756965575635</v>
      </c>
      <c r="AG1028" s="43">
        <v>3.9385193999999998E-2</v>
      </c>
      <c r="AH1028" s="43">
        <v>1.0937891E-2</v>
      </c>
      <c r="AI1028" s="43">
        <v>0.86294470899999998</v>
      </c>
      <c r="AJ1028" s="43">
        <v>3.491411351</v>
      </c>
      <c r="AK1028" s="43">
        <v>11.09798015</v>
      </c>
      <c r="AL1028" s="43">
        <v>1.6964180000000001E-3</v>
      </c>
      <c r="AM1028" s="230">
        <v>0.10723098276593283</v>
      </c>
      <c r="AN1028" s="43">
        <v>0.871332459</v>
      </c>
    </row>
    <row r="1029" spans="1:40" x14ac:dyDescent="0.25">
      <c r="A1029" s="134">
        <v>1019</v>
      </c>
      <c r="B1029" s="134" t="s">
        <v>207</v>
      </c>
      <c r="C1029" s="134" t="s">
        <v>205</v>
      </c>
      <c r="D1029" s="134" t="s">
        <v>62</v>
      </c>
      <c r="E1029" s="134">
        <v>163</v>
      </c>
      <c r="F1029" s="134">
        <v>466</v>
      </c>
      <c r="G1029" s="134">
        <v>33</v>
      </c>
      <c r="H1029" s="134">
        <v>0</v>
      </c>
      <c r="I1029" s="200">
        <v>6.7956836864299999E-2</v>
      </c>
      <c r="J1029" s="134">
        <v>466</v>
      </c>
      <c r="K1029" s="134">
        <v>6857.2938574299997</v>
      </c>
      <c r="L1029" s="42">
        <v>0.88947826447300005</v>
      </c>
      <c r="M1029" s="42">
        <v>0</v>
      </c>
      <c r="N1029" s="134">
        <v>0</v>
      </c>
      <c r="O1029" s="43" t="s">
        <v>666</v>
      </c>
      <c r="P1029" s="43">
        <f t="shared" si="215"/>
        <v>18.998939223886669</v>
      </c>
      <c r="Q1029" s="43">
        <f t="shared" si="216"/>
        <v>2.9754257999999999E-2</v>
      </c>
      <c r="R1029" s="43">
        <f t="shared" si="217"/>
        <v>1.0594947E-2</v>
      </c>
      <c r="S1029" s="43">
        <f t="shared" si="218"/>
        <v>0.88947826399999996</v>
      </c>
      <c r="T1029" s="43">
        <f t="shared" si="219"/>
        <v>4.1481723239999999</v>
      </c>
      <c r="U1029" s="43">
        <f t="shared" si="220"/>
        <v>12.19815062</v>
      </c>
      <c r="V1029" s="43">
        <f t="shared" si="221"/>
        <v>8.8378299999999996E-4</v>
      </c>
      <c r="W1029" s="230">
        <f t="shared" si="222"/>
        <v>7.5397702165267352E-2</v>
      </c>
      <c r="X1029" s="43">
        <f t="shared" si="223"/>
        <v>0.870139196</v>
      </c>
      <c r="Y1029" s="43">
        <v>26.7634349</v>
      </c>
      <c r="Z1029" s="43">
        <f t="shared" si="212"/>
        <v>0</v>
      </c>
      <c r="AA1029" s="43">
        <f t="shared" si="213"/>
        <v>58427</v>
      </c>
      <c r="AB1029" s="43">
        <f t="shared" si="214"/>
        <v>20964</v>
      </c>
      <c r="AC1029" s="43">
        <f t="shared" si="224"/>
        <v>2.1965121632062434E-2</v>
      </c>
      <c r="AD1029" s="43">
        <f t="shared" si="225"/>
        <v>0.90685301037719301</v>
      </c>
      <c r="AF1029" s="43">
        <v>18.998939223886669</v>
      </c>
      <c r="AG1029" s="43">
        <v>2.9754257999999999E-2</v>
      </c>
      <c r="AH1029" s="43">
        <v>1.0594947E-2</v>
      </c>
      <c r="AI1029" s="43">
        <v>0.88947826399999996</v>
      </c>
      <c r="AJ1029" s="43">
        <v>4.1481723239999999</v>
      </c>
      <c r="AK1029" s="43">
        <v>12.19815062</v>
      </c>
      <c r="AL1029" s="43">
        <v>8.8378299999999996E-4</v>
      </c>
      <c r="AM1029" s="230">
        <v>7.5397702165267352E-2</v>
      </c>
      <c r="AN1029" s="43">
        <v>0.870139196</v>
      </c>
    </row>
    <row r="1030" spans="1:40" x14ac:dyDescent="0.25">
      <c r="A1030" s="134">
        <v>1020</v>
      </c>
      <c r="B1030" s="134" t="s">
        <v>207</v>
      </c>
      <c r="C1030" s="134" t="s">
        <v>205</v>
      </c>
      <c r="D1030" s="134" t="s">
        <v>62</v>
      </c>
      <c r="E1030" s="134">
        <v>489</v>
      </c>
      <c r="F1030" s="134">
        <v>1397</v>
      </c>
      <c r="G1030" s="134">
        <v>31</v>
      </c>
      <c r="H1030" s="134">
        <v>11</v>
      </c>
      <c r="I1030" s="200">
        <v>6.4076057598000002E-2</v>
      </c>
      <c r="J1030" s="134">
        <v>1408</v>
      </c>
      <c r="K1030" s="134">
        <v>21973.8862343</v>
      </c>
      <c r="L1030" s="42">
        <v>0.86499196645700005</v>
      </c>
      <c r="M1030" s="42">
        <v>2.1999999999999999E-2</v>
      </c>
      <c r="N1030" s="134">
        <v>0</v>
      </c>
      <c r="O1030" s="43" t="s">
        <v>666</v>
      </c>
      <c r="P1030" s="43">
        <f t="shared" si="215"/>
        <v>17.847202348935244</v>
      </c>
      <c r="Q1030" s="43">
        <f t="shared" si="216"/>
        <v>3.5594462E-2</v>
      </c>
      <c r="R1030" s="43">
        <f t="shared" si="217"/>
        <v>1.1380515000000001E-2</v>
      </c>
      <c r="S1030" s="43">
        <f t="shared" si="218"/>
        <v>0.86499196599999995</v>
      </c>
      <c r="T1030" s="43">
        <f t="shared" si="219"/>
        <v>3.2947946180000001</v>
      </c>
      <c r="U1030" s="43">
        <f t="shared" si="220"/>
        <v>10.65121581</v>
      </c>
      <c r="V1030" s="43">
        <f t="shared" si="221"/>
        <v>1.71937E-3</v>
      </c>
      <c r="W1030" s="230">
        <f t="shared" si="222"/>
        <v>9.6373369256948394E-2</v>
      </c>
      <c r="X1030" s="43">
        <f t="shared" si="223"/>
        <v>0.87053318199999996</v>
      </c>
      <c r="Y1030" s="43">
        <v>47.156970999999999</v>
      </c>
      <c r="Z1030" s="43">
        <f t="shared" si="212"/>
        <v>0</v>
      </c>
      <c r="AA1030" s="43">
        <f t="shared" si="213"/>
        <v>58427</v>
      </c>
      <c r="AB1030" s="43">
        <f t="shared" si="214"/>
        <v>20964</v>
      </c>
      <c r="AC1030" s="43">
        <f t="shared" si="224"/>
        <v>2.1965121632062434E-2</v>
      </c>
      <c r="AD1030" s="43">
        <f t="shared" si="225"/>
        <v>0.90685301037719301</v>
      </c>
      <c r="AF1030" s="43">
        <v>17.847202348935244</v>
      </c>
      <c r="AG1030" s="43">
        <v>3.5594462E-2</v>
      </c>
      <c r="AH1030" s="43">
        <v>1.1380515000000001E-2</v>
      </c>
      <c r="AI1030" s="43">
        <v>0.86499196599999995</v>
      </c>
      <c r="AJ1030" s="43">
        <v>3.2947946180000001</v>
      </c>
      <c r="AK1030" s="43">
        <v>10.65121581</v>
      </c>
      <c r="AL1030" s="43">
        <v>1.71937E-3</v>
      </c>
      <c r="AM1030" s="230">
        <v>9.6373369256948394E-2</v>
      </c>
      <c r="AN1030" s="43">
        <v>0.87053318199999996</v>
      </c>
    </row>
    <row r="1031" spans="1:40" x14ac:dyDescent="0.25">
      <c r="A1031" s="134">
        <v>1021</v>
      </c>
      <c r="B1031" s="134" t="s">
        <v>207</v>
      </c>
      <c r="C1031" s="134" t="s">
        <v>205</v>
      </c>
      <c r="D1031" s="134" t="s">
        <v>62</v>
      </c>
      <c r="E1031" s="134">
        <v>0</v>
      </c>
      <c r="F1031" s="134">
        <v>0</v>
      </c>
      <c r="G1031" s="134">
        <v>27</v>
      </c>
      <c r="H1031" s="134">
        <v>19</v>
      </c>
      <c r="I1031" s="200">
        <v>5.6066594272400003E-2</v>
      </c>
      <c r="J1031" s="134">
        <v>19</v>
      </c>
      <c r="K1031" s="134">
        <v>338.88272056800002</v>
      </c>
      <c r="L1031" s="42">
        <v>0.887223411849</v>
      </c>
      <c r="M1031" s="42">
        <v>1</v>
      </c>
      <c r="N1031" s="134">
        <v>0</v>
      </c>
      <c r="O1031" s="43" t="s">
        <v>666</v>
      </c>
      <c r="P1031" s="43">
        <f t="shared" si="215"/>
        <v>14.994733860376483</v>
      </c>
      <c r="Q1031" s="43">
        <f t="shared" si="216"/>
        <v>2.1056387999999999E-2</v>
      </c>
      <c r="R1031" s="43">
        <f t="shared" si="217"/>
        <v>1.9628839999999998E-3</v>
      </c>
      <c r="S1031" s="43">
        <f t="shared" si="218"/>
        <v>0.88722341199999999</v>
      </c>
      <c r="T1031" s="43">
        <f t="shared" si="219"/>
        <v>2.848484848</v>
      </c>
      <c r="U1031" s="43">
        <f t="shared" si="220"/>
        <v>12.47677054</v>
      </c>
      <c r="V1031" s="43">
        <f t="shared" si="221"/>
        <v>2.0287614424242431E-3</v>
      </c>
      <c r="W1031" s="230">
        <f t="shared" si="222"/>
        <v>4.8707337327105672E-2</v>
      </c>
      <c r="X1031" s="43">
        <f t="shared" si="223"/>
        <v>0.821510297</v>
      </c>
      <c r="Y1031" s="43">
        <v>46.703811639999998</v>
      </c>
      <c r="Z1031" s="43">
        <f t="shared" si="212"/>
        <v>0</v>
      </c>
      <c r="AA1031" s="43">
        <f t="shared" si="213"/>
        <v>58427</v>
      </c>
      <c r="AB1031" s="43">
        <f t="shared" si="214"/>
        <v>20964</v>
      </c>
      <c r="AC1031" s="43">
        <f t="shared" si="224"/>
        <v>2.1965121632062434E-2</v>
      </c>
      <c r="AD1031" s="43">
        <f t="shared" si="225"/>
        <v>0.90685301037719301</v>
      </c>
      <c r="AF1031" s="43">
        <v>14.994733860376483</v>
      </c>
      <c r="AG1031" s="43">
        <v>2.1056387999999999E-2</v>
      </c>
      <c r="AH1031" s="43">
        <v>1.9628839999999998E-3</v>
      </c>
      <c r="AI1031" s="43">
        <v>0.88722341199999999</v>
      </c>
      <c r="AJ1031" s="43">
        <v>2.848484848</v>
      </c>
      <c r="AK1031" s="43">
        <v>12.47677054</v>
      </c>
      <c r="AL1031" s="43">
        <v>0</v>
      </c>
      <c r="AM1031" s="230">
        <v>0</v>
      </c>
      <c r="AN1031" s="43">
        <v>0.821510297</v>
      </c>
    </row>
    <row r="1032" spans="1:40" x14ac:dyDescent="0.25">
      <c r="A1032" s="134">
        <v>1022</v>
      </c>
      <c r="B1032" s="134" t="s">
        <v>207</v>
      </c>
      <c r="C1032" s="134" t="s">
        <v>205</v>
      </c>
      <c r="D1032" s="134" t="s">
        <v>62</v>
      </c>
      <c r="E1032" s="134">
        <v>0</v>
      </c>
      <c r="F1032" s="134">
        <v>0</v>
      </c>
      <c r="G1032" s="134">
        <v>36</v>
      </c>
      <c r="H1032" s="134">
        <v>116</v>
      </c>
      <c r="I1032" s="200">
        <v>7.4198143875100001E-2</v>
      </c>
      <c r="J1032" s="134">
        <v>116</v>
      </c>
      <c r="K1032" s="134">
        <v>1563.3814262999999</v>
      </c>
      <c r="L1032" s="42">
        <v>0.89035515763600004</v>
      </c>
      <c r="M1032" s="42">
        <v>1</v>
      </c>
      <c r="N1032" s="134">
        <v>0</v>
      </c>
      <c r="O1032" s="43" t="s">
        <v>666</v>
      </c>
      <c r="P1032" s="43">
        <f t="shared" si="215"/>
        <v>15.486985796498818</v>
      </c>
      <c r="Q1032" s="43">
        <f t="shared" si="216"/>
        <v>1.4511817E-2</v>
      </c>
      <c r="R1032" s="43">
        <f t="shared" si="217"/>
        <v>5.8980780000000002E-3</v>
      </c>
      <c r="S1032" s="43">
        <f t="shared" si="218"/>
        <v>0.89035515799999998</v>
      </c>
      <c r="T1032" s="43">
        <f t="shared" si="219"/>
        <v>3.25795053</v>
      </c>
      <c r="U1032" s="43">
        <f t="shared" si="220"/>
        <v>9.3526573719999995</v>
      </c>
      <c r="V1032" s="43">
        <f t="shared" si="221"/>
        <v>1.8606219999999999E-3</v>
      </c>
      <c r="W1032" s="230">
        <f t="shared" si="222"/>
        <v>4.2286874154262516E-3</v>
      </c>
      <c r="X1032" s="43">
        <f t="shared" si="223"/>
        <v>0.89648173200000003</v>
      </c>
      <c r="Y1032" s="43">
        <v>47.160852519999999</v>
      </c>
      <c r="Z1032" s="43">
        <f t="shared" si="212"/>
        <v>0</v>
      </c>
      <c r="AA1032" s="43">
        <f t="shared" si="213"/>
        <v>58427</v>
      </c>
      <c r="AB1032" s="43">
        <f t="shared" si="214"/>
        <v>20964</v>
      </c>
      <c r="AC1032" s="43">
        <f t="shared" si="224"/>
        <v>2.1965121632062434E-2</v>
      </c>
      <c r="AD1032" s="43">
        <f t="shared" si="225"/>
        <v>0.90685301037719301</v>
      </c>
      <c r="AF1032" s="43">
        <v>15.486985796498818</v>
      </c>
      <c r="AG1032" s="43">
        <v>1.4511817E-2</v>
      </c>
      <c r="AH1032" s="43">
        <v>5.8980780000000002E-3</v>
      </c>
      <c r="AI1032" s="43">
        <v>0.89035515799999998</v>
      </c>
      <c r="AJ1032" s="43">
        <v>3.25795053</v>
      </c>
      <c r="AK1032" s="43">
        <v>9.3526573719999995</v>
      </c>
      <c r="AL1032" s="43">
        <v>1.8606219999999999E-3</v>
      </c>
      <c r="AM1032" s="230">
        <v>4.2286874154262516E-3</v>
      </c>
      <c r="AN1032" s="43">
        <v>0.89648173200000003</v>
      </c>
    </row>
    <row r="1033" spans="1:40" x14ac:dyDescent="0.25">
      <c r="A1033" s="134">
        <v>1023</v>
      </c>
      <c r="B1033" s="134" t="s">
        <v>207</v>
      </c>
      <c r="C1033" s="134" t="s">
        <v>205</v>
      </c>
      <c r="D1033" s="134" t="s">
        <v>62</v>
      </c>
      <c r="E1033" s="134">
        <v>0</v>
      </c>
      <c r="F1033" s="134">
        <v>0</v>
      </c>
      <c r="G1033" s="134">
        <v>25</v>
      </c>
      <c r="H1033" s="134">
        <v>30</v>
      </c>
      <c r="I1033" s="200">
        <v>5.0598057336099997E-2</v>
      </c>
      <c r="J1033" s="134">
        <v>30</v>
      </c>
      <c r="K1033" s="134">
        <v>592.90813876000004</v>
      </c>
      <c r="L1033" s="42">
        <v>0.88499598823199999</v>
      </c>
      <c r="M1033" s="42">
        <v>1</v>
      </c>
      <c r="N1033" s="134">
        <v>0</v>
      </c>
      <c r="O1033" s="43" t="s">
        <v>666</v>
      </c>
      <c r="P1033" s="43">
        <f t="shared" si="215"/>
        <v>15.086448863175976</v>
      </c>
      <c r="Q1033" s="43">
        <f t="shared" si="216"/>
        <v>1.8320407E-2</v>
      </c>
      <c r="R1033" s="43">
        <f t="shared" si="217"/>
        <v>3.2094139999999998E-3</v>
      </c>
      <c r="S1033" s="43">
        <f t="shared" si="218"/>
        <v>0.88499598800000001</v>
      </c>
      <c r="T1033" s="43">
        <f t="shared" si="219"/>
        <v>3.653846154</v>
      </c>
      <c r="U1033" s="43">
        <f t="shared" si="220"/>
        <v>9.3730880800000005</v>
      </c>
      <c r="V1033" s="43">
        <f t="shared" si="221"/>
        <v>2.0287614424242431E-3</v>
      </c>
      <c r="W1033" s="230">
        <f t="shared" si="222"/>
        <v>7.1479628305932811E-4</v>
      </c>
      <c r="X1033" s="43">
        <f t="shared" si="223"/>
        <v>0.84417441000000004</v>
      </c>
      <c r="Y1033" s="43">
        <v>47.115642600000001</v>
      </c>
      <c r="Z1033" s="43">
        <f t="shared" si="212"/>
        <v>0</v>
      </c>
      <c r="AA1033" s="43">
        <f t="shared" si="213"/>
        <v>58427</v>
      </c>
      <c r="AB1033" s="43">
        <f t="shared" si="214"/>
        <v>20964</v>
      </c>
      <c r="AC1033" s="43">
        <f t="shared" si="224"/>
        <v>2.1965121632062434E-2</v>
      </c>
      <c r="AD1033" s="43">
        <f t="shared" si="225"/>
        <v>0.90685301037719301</v>
      </c>
      <c r="AF1033" s="43">
        <v>15.086448863175976</v>
      </c>
      <c r="AG1033" s="43">
        <v>1.8320407E-2</v>
      </c>
      <c r="AH1033" s="43">
        <v>3.2094139999999998E-3</v>
      </c>
      <c r="AI1033" s="43">
        <v>0.88499598800000001</v>
      </c>
      <c r="AJ1033" s="43">
        <v>3.653846154</v>
      </c>
      <c r="AK1033" s="43">
        <v>9.3730880800000005</v>
      </c>
      <c r="AL1033" s="43">
        <v>0</v>
      </c>
      <c r="AM1033" s="230">
        <v>7.1479628305932811E-4</v>
      </c>
      <c r="AN1033" s="43">
        <v>0.84417441000000004</v>
      </c>
    </row>
    <row r="1034" spans="1:40" x14ac:dyDescent="0.25">
      <c r="A1034" s="134">
        <v>1024</v>
      </c>
      <c r="B1034" s="134" t="s">
        <v>207</v>
      </c>
      <c r="C1034" s="134" t="s">
        <v>205</v>
      </c>
      <c r="D1034" s="134" t="s">
        <v>62</v>
      </c>
      <c r="E1034" s="134">
        <v>647</v>
      </c>
      <c r="F1034" s="134">
        <v>1848</v>
      </c>
      <c r="G1034" s="134">
        <v>42</v>
      </c>
      <c r="H1034" s="134">
        <v>0</v>
      </c>
      <c r="I1034" s="200">
        <v>8.6976384854E-2</v>
      </c>
      <c r="J1034" s="134">
        <v>1848</v>
      </c>
      <c r="K1034" s="134">
        <v>21247.146603100002</v>
      </c>
      <c r="L1034" s="42">
        <v>0.88481658981</v>
      </c>
      <c r="M1034" s="42">
        <v>0</v>
      </c>
      <c r="N1034" s="134">
        <v>0</v>
      </c>
      <c r="O1034" s="43" t="s">
        <v>666</v>
      </c>
      <c r="P1034" s="43">
        <f t="shared" si="215"/>
        <v>18.715303225241488</v>
      </c>
      <c r="Q1034" s="43">
        <f t="shared" si="216"/>
        <v>3.8569777E-2</v>
      </c>
      <c r="R1034" s="43">
        <f t="shared" si="217"/>
        <v>1.0859722E-2</v>
      </c>
      <c r="S1034" s="43">
        <f t="shared" si="218"/>
        <v>0.88481659000000001</v>
      </c>
      <c r="T1034" s="43">
        <f t="shared" si="219"/>
        <v>4.0329052970000001</v>
      </c>
      <c r="U1034" s="43">
        <f t="shared" si="220"/>
        <v>12.165371759999999</v>
      </c>
      <c r="V1034" s="43">
        <f t="shared" si="221"/>
        <v>2.3820220000000001E-3</v>
      </c>
      <c r="W1034" s="230">
        <f t="shared" si="222"/>
        <v>9.6750922182748722E-2</v>
      </c>
      <c r="X1034" s="43">
        <f t="shared" si="223"/>
        <v>0.87921107399999998</v>
      </c>
      <c r="Y1034" s="43">
        <v>46.743507940000001</v>
      </c>
      <c r="Z1034" s="43">
        <f t="shared" si="212"/>
        <v>0</v>
      </c>
      <c r="AA1034" s="43">
        <f t="shared" si="213"/>
        <v>58427</v>
      </c>
      <c r="AB1034" s="43">
        <f t="shared" si="214"/>
        <v>20964</v>
      </c>
      <c r="AC1034" s="43">
        <f t="shared" si="224"/>
        <v>2.1965121632062434E-2</v>
      </c>
      <c r="AD1034" s="43">
        <f t="shared" si="225"/>
        <v>0.90685301037719301</v>
      </c>
      <c r="AF1034" s="43">
        <v>18.715303225241488</v>
      </c>
      <c r="AG1034" s="43">
        <v>3.8569777E-2</v>
      </c>
      <c r="AH1034" s="43">
        <v>1.0859722E-2</v>
      </c>
      <c r="AI1034" s="43">
        <v>0.88481659000000001</v>
      </c>
      <c r="AJ1034" s="43">
        <v>4.0329052970000001</v>
      </c>
      <c r="AK1034" s="43">
        <v>12.165371759999999</v>
      </c>
      <c r="AL1034" s="43">
        <v>2.3820220000000001E-3</v>
      </c>
      <c r="AM1034" s="230">
        <v>9.6750922182748722E-2</v>
      </c>
      <c r="AN1034" s="43">
        <v>0.87921107399999998</v>
      </c>
    </row>
    <row r="1035" spans="1:40" x14ac:dyDescent="0.25">
      <c r="A1035" s="134">
        <v>1025</v>
      </c>
      <c r="B1035" s="134" t="s">
        <v>207</v>
      </c>
      <c r="C1035" s="134" t="s">
        <v>205</v>
      </c>
      <c r="D1035" s="134" t="s">
        <v>62</v>
      </c>
      <c r="E1035" s="134">
        <v>122</v>
      </c>
      <c r="F1035" s="134">
        <v>349</v>
      </c>
      <c r="G1035" s="134">
        <v>35</v>
      </c>
      <c r="H1035" s="134">
        <v>11</v>
      </c>
      <c r="I1035" s="200">
        <v>7.2365264585999997E-2</v>
      </c>
      <c r="J1035" s="134">
        <v>360</v>
      </c>
      <c r="K1035" s="134">
        <v>4974.7624369200003</v>
      </c>
      <c r="L1035" s="42">
        <v>0.87304047683700003</v>
      </c>
      <c r="M1035" s="42">
        <v>8.2706766917300001E-2</v>
      </c>
      <c r="N1035" s="134">
        <v>0</v>
      </c>
      <c r="O1035" s="43" t="s">
        <v>666</v>
      </c>
      <c r="P1035" s="43">
        <f t="shared" si="215"/>
        <v>18.988859550689977</v>
      </c>
      <c r="Q1035" s="43">
        <f t="shared" si="216"/>
        <v>2.6638328999999999E-2</v>
      </c>
      <c r="R1035" s="43">
        <f t="shared" si="217"/>
        <v>1.0562649E-2</v>
      </c>
      <c r="S1035" s="43">
        <f t="shared" si="218"/>
        <v>0.87304047699999998</v>
      </c>
      <c r="T1035" s="43">
        <f t="shared" si="219"/>
        <v>3.8199697430000001</v>
      </c>
      <c r="U1035" s="43">
        <f t="shared" si="220"/>
        <v>11.7776218</v>
      </c>
      <c r="V1035" s="43">
        <f t="shared" si="221"/>
        <v>4.1820600000000001E-4</v>
      </c>
      <c r="W1035" s="230">
        <f t="shared" si="222"/>
        <v>5.5969889175437382E-2</v>
      </c>
      <c r="X1035" s="43">
        <f t="shared" si="223"/>
        <v>0.87446853000000002</v>
      </c>
      <c r="Y1035" s="43">
        <v>45.990782979999999</v>
      </c>
      <c r="Z1035" s="43">
        <f t="shared" ref="Z1035:Z1098" si="226">IF(B1035="Berkeley",1,0)</f>
        <v>0</v>
      </c>
      <c r="AA1035" s="43">
        <f t="shared" ref="AA1035:AA1098" si="227">SUMIFS(F:F,B:B,B1035)</f>
        <v>58427</v>
      </c>
      <c r="AB1035" s="43">
        <f t="shared" ref="AB1035:AB1098" si="228">SUMIFS(E:E,B:B,B1035)</f>
        <v>20964</v>
      </c>
      <c r="AC1035" s="43">
        <f t="shared" si="224"/>
        <v>2.1965121632062434E-2</v>
      </c>
      <c r="AD1035" s="43">
        <f t="shared" si="225"/>
        <v>0.90685301037719301</v>
      </c>
      <c r="AF1035" s="43">
        <v>18.988859550689977</v>
      </c>
      <c r="AG1035" s="43">
        <v>2.6638328999999999E-2</v>
      </c>
      <c r="AH1035" s="43">
        <v>1.0562649E-2</v>
      </c>
      <c r="AI1035" s="43">
        <v>0.87304047699999998</v>
      </c>
      <c r="AJ1035" s="43">
        <v>3.8199697430000001</v>
      </c>
      <c r="AK1035" s="43">
        <v>11.7776218</v>
      </c>
      <c r="AL1035" s="43">
        <v>4.1820600000000001E-4</v>
      </c>
      <c r="AM1035" s="230">
        <v>5.5969889175437382E-2</v>
      </c>
      <c r="AN1035" s="43">
        <v>0.87446853000000002</v>
      </c>
    </row>
    <row r="1036" spans="1:40" x14ac:dyDescent="0.25">
      <c r="A1036" s="134">
        <v>1026</v>
      </c>
      <c r="B1036" s="134" t="s">
        <v>207</v>
      </c>
      <c r="C1036" s="134" t="s">
        <v>205</v>
      </c>
      <c r="D1036" s="134" t="s">
        <v>62</v>
      </c>
      <c r="E1036" s="134">
        <v>160</v>
      </c>
      <c r="F1036" s="134">
        <v>457</v>
      </c>
      <c r="G1036" s="134">
        <v>36</v>
      </c>
      <c r="H1036" s="134">
        <v>0</v>
      </c>
      <c r="I1036" s="200">
        <v>7.3996832936399998E-2</v>
      </c>
      <c r="J1036" s="134">
        <v>457</v>
      </c>
      <c r="K1036" s="134">
        <v>6175.9399945200003</v>
      </c>
      <c r="L1036" s="42">
        <v>0.90512105196799997</v>
      </c>
      <c r="M1036" s="42">
        <v>0</v>
      </c>
      <c r="N1036" s="134">
        <v>0</v>
      </c>
      <c r="O1036" s="43" t="s">
        <v>666</v>
      </c>
      <c r="P1036" s="43">
        <f t="shared" ref="P1036:P1099" si="229">IF(OR(IFERROR(AF1036=0,TRUE),ISERROR(AF1036)),AVERAGEIFS(AF:AF,$B:$B,$B1036,AF:AF,"&gt;0"),AF1036)</f>
        <v>19.483914977170954</v>
      </c>
      <c r="Q1036" s="43">
        <f t="shared" ref="Q1036:Q1099" si="230">IF(OR(IFERROR(AG1036=0,TRUE),ISERROR(AG1036)),AVERAGEIFS(AG:AG,$B:$B,$B1036,AG:AG,"&gt;0"),AG1036)</f>
        <v>2.7140313999999999E-2</v>
      </c>
      <c r="R1036" s="43">
        <f t="shared" ref="R1036:R1099" si="231">IF(OR(IFERROR(AH1036=0,TRUE),ISERROR(AH1036)),AVERAGEIFS(AH:AH,$B:$B,$B1036,AH:AH,"&gt;0"),AH1036)</f>
        <v>1.026173E-2</v>
      </c>
      <c r="S1036" s="43">
        <f t="shared" ref="S1036:S1099" si="232">IF(OR(IFERROR(AI1036=0,TRUE),ISERROR(AI1036)),AVERAGEIFS(AI:AI,$B:$B,$B1036,AI:AI,"&gt;0"),AI1036)</f>
        <v>0.90512105200000004</v>
      </c>
      <c r="T1036" s="43">
        <f t="shared" ref="T1036:T1099" si="233">IF(OR(IFERROR(AJ1036=0,TRUE),ISERROR(AJ1036)),AVERAGEIFS(AJ:AJ,$B:$B,$B1036,AJ:AJ,"&gt;0"),AJ1036)</f>
        <v>4.5285615970000004</v>
      </c>
      <c r="U1036" s="43">
        <f t="shared" ref="U1036:U1099" si="234">IF(OR(IFERROR(AK1036=0,TRUE),ISERROR(AK1036)),AVERAGEIFS(AK:AK,$B:$B,$B1036,AK:AK,"&gt;0"),AK1036)</f>
        <v>13.11283418</v>
      </c>
      <c r="V1036" s="43">
        <f t="shared" ref="V1036:V1099" si="235">IF(OR(IFERROR(AL1036=0,TRUE),ISERROR(AL1036)),AVERAGEIFS(AL:AL,$B:$B,$B1036,AL:AL,"&gt;0"),AL1036)</f>
        <v>7.2560799999999998E-4</v>
      </c>
      <c r="W1036" s="230">
        <f t="shared" ref="W1036:W1099" si="236">IF(OR(IFERROR(AM1036=0,TRUE),ISERROR(AM1036)),AVERAGEIFS(AM:AM,$B:$B,$B1036,AM:AM,"&gt;0"),AM1036)</f>
        <v>6.2011609734315694E-2</v>
      </c>
      <c r="X1036" s="43">
        <f t="shared" ref="X1036:X1099" si="237">IF(OR(IFERROR(AN1036=0,TRUE),ISERROR(AN1036)),AVERAGEIFS(AN:AN,$B:$B,$B1036,AN:AN,"&gt;0"),AN1036)</f>
        <v>0.88295378400000002</v>
      </c>
      <c r="Y1036" s="43">
        <v>26.26502176</v>
      </c>
      <c r="Z1036" s="43">
        <f t="shared" si="226"/>
        <v>0</v>
      </c>
      <c r="AA1036" s="43">
        <f t="shared" si="227"/>
        <v>58427</v>
      </c>
      <c r="AB1036" s="43">
        <f t="shared" si="228"/>
        <v>20964</v>
      </c>
      <c r="AC1036" s="43">
        <f t="shared" ref="AC1036:AC1099" si="238">AVERAGEIFS(Q:Q,B:B,B1036,N:N,0,Q:Q,"&gt;0")</f>
        <v>2.1965121632062434E-2</v>
      </c>
      <c r="AD1036" s="43">
        <f t="shared" ref="AD1036:AD1099" si="239">AVERAGEIFS(S:S,B:B,B1036,N:N,0,S:S,"&gt;0")</f>
        <v>0.90685301037719301</v>
      </c>
      <c r="AF1036" s="43">
        <v>19.483914977170954</v>
      </c>
      <c r="AG1036" s="43">
        <v>2.7140313999999999E-2</v>
      </c>
      <c r="AH1036" s="43">
        <v>1.026173E-2</v>
      </c>
      <c r="AI1036" s="43">
        <v>0.90512105200000004</v>
      </c>
      <c r="AJ1036" s="43">
        <v>4.5285615970000004</v>
      </c>
      <c r="AK1036" s="43">
        <v>13.11283418</v>
      </c>
      <c r="AL1036" s="43">
        <v>7.2560799999999998E-4</v>
      </c>
      <c r="AM1036" s="230">
        <v>6.2011609734315694E-2</v>
      </c>
      <c r="AN1036" s="43">
        <v>0.88295378400000002</v>
      </c>
    </row>
    <row r="1037" spans="1:40" x14ac:dyDescent="0.25">
      <c r="A1037" s="134">
        <v>1027</v>
      </c>
      <c r="B1037" s="134" t="s">
        <v>207</v>
      </c>
      <c r="C1037" s="134" t="s">
        <v>205</v>
      </c>
      <c r="D1037" s="134" t="s">
        <v>62</v>
      </c>
      <c r="E1037" s="134">
        <v>0</v>
      </c>
      <c r="F1037" s="134">
        <v>0</v>
      </c>
      <c r="G1037" s="134">
        <v>52</v>
      </c>
      <c r="H1037" s="134">
        <v>0</v>
      </c>
      <c r="I1037" s="200">
        <v>0.106524753197</v>
      </c>
      <c r="J1037" s="134">
        <v>0</v>
      </c>
      <c r="K1037" s="134">
        <v>0</v>
      </c>
      <c r="L1037" s="42">
        <v>0.94985673352400002</v>
      </c>
      <c r="M1037" s="42">
        <v>0</v>
      </c>
      <c r="N1037" s="134">
        <v>0</v>
      </c>
      <c r="O1037" s="43" t="s">
        <v>665</v>
      </c>
      <c r="P1037" s="43">
        <f t="shared" si="229"/>
        <v>16.949272386598746</v>
      </c>
      <c r="Q1037" s="43">
        <f t="shared" si="230"/>
        <v>3.1518625000000002E-2</v>
      </c>
      <c r="R1037" s="43">
        <f t="shared" si="231"/>
        <v>1.4326650000000001E-3</v>
      </c>
      <c r="S1037" s="43">
        <f t="shared" si="232"/>
        <v>0.94985673400000004</v>
      </c>
      <c r="T1037" s="43">
        <f t="shared" si="233"/>
        <v>7</v>
      </c>
      <c r="U1037" s="43">
        <f t="shared" si="234"/>
        <v>23.02992278</v>
      </c>
      <c r="V1037" s="43">
        <f t="shared" si="235"/>
        <v>2.0287614424242431E-3</v>
      </c>
      <c r="W1037" s="230">
        <f t="shared" si="236"/>
        <v>4.8707337327105672E-2</v>
      </c>
      <c r="X1037" s="43">
        <f t="shared" si="237"/>
        <v>0.88538289384112134</v>
      </c>
      <c r="Y1037" s="43">
        <v>26.245920730000002</v>
      </c>
      <c r="Z1037" s="43">
        <f t="shared" si="226"/>
        <v>0</v>
      </c>
      <c r="AA1037" s="43">
        <f t="shared" si="227"/>
        <v>58427</v>
      </c>
      <c r="AB1037" s="43">
        <f t="shared" si="228"/>
        <v>20964</v>
      </c>
      <c r="AC1037" s="43">
        <f t="shared" si="238"/>
        <v>2.1965121632062434E-2</v>
      </c>
      <c r="AD1037" s="43">
        <f t="shared" si="239"/>
        <v>0.90685301037719301</v>
      </c>
      <c r="AF1037" s="43" t="e">
        <v>#DIV/0!</v>
      </c>
      <c r="AG1037" s="43">
        <v>3.1518625000000002E-2</v>
      </c>
      <c r="AH1037" s="43">
        <v>1.4326650000000001E-3</v>
      </c>
      <c r="AI1037" s="43">
        <v>0.94985673400000004</v>
      </c>
      <c r="AJ1037" s="43">
        <v>7</v>
      </c>
      <c r="AK1037" s="43">
        <v>23.02992278</v>
      </c>
      <c r="AL1037" s="43" t="e">
        <v>#DIV/0!</v>
      </c>
      <c r="AM1037" s="230" t="e">
        <v>#DIV/0!</v>
      </c>
      <c r="AN1037" s="43" t="e">
        <v>#DIV/0!</v>
      </c>
    </row>
    <row r="1038" spans="1:40" x14ac:dyDescent="0.25">
      <c r="A1038" s="134">
        <v>1028</v>
      </c>
      <c r="B1038" s="134" t="s">
        <v>207</v>
      </c>
      <c r="C1038" s="134" t="s">
        <v>205</v>
      </c>
      <c r="D1038" s="134" t="s">
        <v>62</v>
      </c>
      <c r="E1038" s="134">
        <v>88</v>
      </c>
      <c r="F1038" s="134">
        <v>251</v>
      </c>
      <c r="G1038" s="134">
        <v>200</v>
      </c>
      <c r="H1038" s="134">
        <v>0</v>
      </c>
      <c r="I1038" s="200">
        <v>0.41490472275599999</v>
      </c>
      <c r="J1038" s="134">
        <v>251</v>
      </c>
      <c r="K1038" s="134">
        <v>604.95816565500002</v>
      </c>
      <c r="L1038" s="42">
        <v>0.92161788076100004</v>
      </c>
      <c r="M1038" s="42">
        <v>0</v>
      </c>
      <c r="N1038" s="134">
        <v>0</v>
      </c>
      <c r="O1038" s="43" t="s">
        <v>665</v>
      </c>
      <c r="P1038" s="43">
        <f t="shared" si="229"/>
        <v>20.267809574617644</v>
      </c>
      <c r="Q1038" s="43">
        <f t="shared" si="230"/>
        <v>1.7993540999999998E-2</v>
      </c>
      <c r="R1038" s="43">
        <f t="shared" si="231"/>
        <v>8.9711389999999995E-3</v>
      </c>
      <c r="S1038" s="43">
        <f t="shared" si="232"/>
        <v>0.92161788099999997</v>
      </c>
      <c r="T1038" s="43">
        <f t="shared" si="233"/>
        <v>5.8975817920000004</v>
      </c>
      <c r="U1038" s="43">
        <f t="shared" si="234"/>
        <v>15.594368920000001</v>
      </c>
      <c r="V1038" s="43">
        <f t="shared" si="235"/>
        <v>3.07535E-4</v>
      </c>
      <c r="W1038" s="230">
        <f t="shared" si="236"/>
        <v>4.6027678113787808E-2</v>
      </c>
      <c r="X1038" s="43">
        <f t="shared" si="237"/>
        <v>0.87647360299999999</v>
      </c>
      <c r="Y1038" s="43">
        <v>26.262279499999998</v>
      </c>
      <c r="Z1038" s="43">
        <f t="shared" si="226"/>
        <v>0</v>
      </c>
      <c r="AA1038" s="43">
        <f t="shared" si="227"/>
        <v>58427</v>
      </c>
      <c r="AB1038" s="43">
        <f t="shared" si="228"/>
        <v>20964</v>
      </c>
      <c r="AC1038" s="43">
        <f t="shared" si="238"/>
        <v>2.1965121632062434E-2</v>
      </c>
      <c r="AD1038" s="43">
        <f t="shared" si="239"/>
        <v>0.90685301037719301</v>
      </c>
      <c r="AF1038" s="43">
        <v>20.267809574617644</v>
      </c>
      <c r="AG1038" s="43">
        <v>1.7993540999999998E-2</v>
      </c>
      <c r="AH1038" s="43">
        <v>8.9711389999999995E-3</v>
      </c>
      <c r="AI1038" s="43">
        <v>0.92161788099999997</v>
      </c>
      <c r="AJ1038" s="43">
        <v>5.8975817920000004</v>
      </c>
      <c r="AK1038" s="43">
        <v>15.594368920000001</v>
      </c>
      <c r="AL1038" s="43">
        <v>3.07535E-4</v>
      </c>
      <c r="AM1038" s="230">
        <v>4.6027678113787808E-2</v>
      </c>
      <c r="AN1038" s="43">
        <v>0.87647360299999999</v>
      </c>
    </row>
    <row r="1039" spans="1:40" x14ac:dyDescent="0.25">
      <c r="A1039" s="134">
        <v>1029</v>
      </c>
      <c r="B1039" s="134" t="s">
        <v>207</v>
      </c>
      <c r="C1039" s="134" t="s">
        <v>205</v>
      </c>
      <c r="D1039" s="134" t="s">
        <v>62</v>
      </c>
      <c r="E1039" s="134">
        <v>106</v>
      </c>
      <c r="F1039" s="134">
        <v>303</v>
      </c>
      <c r="G1039" s="134">
        <v>457</v>
      </c>
      <c r="H1039" s="134">
        <v>0</v>
      </c>
      <c r="I1039" s="200">
        <v>0.76041956328299998</v>
      </c>
      <c r="J1039" s="134">
        <v>303</v>
      </c>
      <c r="K1039" s="134">
        <v>398.46423557499998</v>
      </c>
      <c r="L1039" s="42">
        <v>0.93740225618799999</v>
      </c>
      <c r="M1039" s="42">
        <v>0</v>
      </c>
      <c r="N1039" s="134">
        <v>0</v>
      </c>
      <c r="O1039" s="43" t="s">
        <v>665</v>
      </c>
      <c r="P1039" s="43">
        <f t="shared" si="229"/>
        <v>20.482263566794295</v>
      </c>
      <c r="Q1039" s="43">
        <f t="shared" si="230"/>
        <v>1.9621744E-2</v>
      </c>
      <c r="R1039" s="43">
        <f t="shared" si="231"/>
        <v>8.6952899999999996E-3</v>
      </c>
      <c r="S1039" s="43">
        <f t="shared" si="232"/>
        <v>0.93740225600000004</v>
      </c>
      <c r="T1039" s="43">
        <f t="shared" si="233"/>
        <v>6.1858513190000002</v>
      </c>
      <c r="U1039" s="43">
        <f t="shared" si="234"/>
        <v>16.137414100000001</v>
      </c>
      <c r="V1039" s="43">
        <f t="shared" si="235"/>
        <v>2.4881799999999999E-4</v>
      </c>
      <c r="W1039" s="230">
        <f t="shared" si="236"/>
        <v>4.7275441652152278E-2</v>
      </c>
      <c r="X1039" s="43">
        <f t="shared" si="237"/>
        <v>0.88454839500000004</v>
      </c>
      <c r="Y1039" s="43">
        <v>12.93504677</v>
      </c>
      <c r="Z1039" s="43">
        <f t="shared" si="226"/>
        <v>0</v>
      </c>
      <c r="AA1039" s="43">
        <f t="shared" si="227"/>
        <v>58427</v>
      </c>
      <c r="AB1039" s="43">
        <f t="shared" si="228"/>
        <v>20964</v>
      </c>
      <c r="AC1039" s="43">
        <f t="shared" si="238"/>
        <v>2.1965121632062434E-2</v>
      </c>
      <c r="AD1039" s="43">
        <f t="shared" si="239"/>
        <v>0.90685301037719301</v>
      </c>
      <c r="AF1039" s="43">
        <v>20.482263566794295</v>
      </c>
      <c r="AG1039" s="43">
        <v>1.9621744E-2</v>
      </c>
      <c r="AH1039" s="43">
        <v>8.6952899999999996E-3</v>
      </c>
      <c r="AI1039" s="43">
        <v>0.93740225600000004</v>
      </c>
      <c r="AJ1039" s="43">
        <v>6.1858513190000002</v>
      </c>
      <c r="AK1039" s="43">
        <v>16.137414100000001</v>
      </c>
      <c r="AL1039" s="43">
        <v>2.4881799999999999E-4</v>
      </c>
      <c r="AM1039" s="230">
        <v>4.7275441652152278E-2</v>
      </c>
      <c r="AN1039" s="43">
        <v>0.88454839500000004</v>
      </c>
    </row>
    <row r="1040" spans="1:40" x14ac:dyDescent="0.25">
      <c r="A1040" s="134">
        <v>1030</v>
      </c>
      <c r="B1040" s="134" t="s">
        <v>207</v>
      </c>
      <c r="C1040" s="134" t="s">
        <v>205</v>
      </c>
      <c r="D1040" s="134" t="s">
        <v>62</v>
      </c>
      <c r="E1040" s="134">
        <v>114</v>
      </c>
      <c r="F1040" s="134">
        <v>326</v>
      </c>
      <c r="G1040" s="134">
        <v>226</v>
      </c>
      <c r="H1040" s="134">
        <v>0</v>
      </c>
      <c r="I1040" s="200">
        <v>0.32143271552699998</v>
      </c>
      <c r="J1040" s="134">
        <v>326</v>
      </c>
      <c r="K1040" s="134">
        <v>1014.20914628</v>
      </c>
      <c r="L1040" s="42">
        <v>0.92938346331400001</v>
      </c>
      <c r="M1040" s="42">
        <v>0</v>
      </c>
      <c r="N1040" s="134">
        <v>0</v>
      </c>
      <c r="O1040" s="43" t="s">
        <v>665</v>
      </c>
      <c r="P1040" s="43">
        <f t="shared" si="229"/>
        <v>20.29144060358275</v>
      </c>
      <c r="Q1040" s="43">
        <f t="shared" si="230"/>
        <v>1.8682342000000001E-2</v>
      </c>
      <c r="R1040" s="43">
        <f t="shared" si="231"/>
        <v>7.4302559999999997E-3</v>
      </c>
      <c r="S1040" s="43">
        <f t="shared" si="232"/>
        <v>0.92938346299999997</v>
      </c>
      <c r="T1040" s="43">
        <f t="shared" si="233"/>
        <v>5.8425096029999999</v>
      </c>
      <c r="U1040" s="43">
        <f t="shared" si="234"/>
        <v>15.95885009</v>
      </c>
      <c r="V1040" s="43">
        <f t="shared" si="235"/>
        <v>2.3364499999999999E-4</v>
      </c>
      <c r="W1040" s="230">
        <f t="shared" si="236"/>
        <v>4.7352024922118381E-2</v>
      </c>
      <c r="X1040" s="43">
        <f t="shared" si="237"/>
        <v>0.88746105900000005</v>
      </c>
      <c r="Y1040" s="43">
        <v>26.262279499999998</v>
      </c>
      <c r="Z1040" s="43">
        <f t="shared" si="226"/>
        <v>0</v>
      </c>
      <c r="AA1040" s="43">
        <f t="shared" si="227"/>
        <v>58427</v>
      </c>
      <c r="AB1040" s="43">
        <f t="shared" si="228"/>
        <v>20964</v>
      </c>
      <c r="AC1040" s="43">
        <f t="shared" si="238"/>
        <v>2.1965121632062434E-2</v>
      </c>
      <c r="AD1040" s="43">
        <f t="shared" si="239"/>
        <v>0.90685301037719301</v>
      </c>
      <c r="AF1040" s="43">
        <v>20.29144060358275</v>
      </c>
      <c r="AG1040" s="43">
        <v>1.8682342000000001E-2</v>
      </c>
      <c r="AH1040" s="43">
        <v>7.4302559999999997E-3</v>
      </c>
      <c r="AI1040" s="43">
        <v>0.92938346299999997</v>
      </c>
      <c r="AJ1040" s="43">
        <v>5.8425096029999999</v>
      </c>
      <c r="AK1040" s="43">
        <v>15.95885009</v>
      </c>
      <c r="AL1040" s="43">
        <v>2.3364499999999999E-4</v>
      </c>
      <c r="AM1040" s="230">
        <v>4.7352024922118381E-2</v>
      </c>
      <c r="AN1040" s="43">
        <v>0.88746105900000005</v>
      </c>
    </row>
    <row r="1041" spans="1:40" x14ac:dyDescent="0.25">
      <c r="A1041" s="134">
        <v>1031</v>
      </c>
      <c r="B1041" s="134" t="s">
        <v>207</v>
      </c>
      <c r="C1041" s="134" t="s">
        <v>205</v>
      </c>
      <c r="D1041" s="134" t="s">
        <v>62</v>
      </c>
      <c r="E1041" s="134">
        <v>267</v>
      </c>
      <c r="F1041" s="134">
        <v>763</v>
      </c>
      <c r="G1041" s="134">
        <v>97</v>
      </c>
      <c r="H1041" s="134">
        <v>0</v>
      </c>
      <c r="I1041" s="200">
        <v>0.14879821263099999</v>
      </c>
      <c r="J1041" s="134">
        <v>763</v>
      </c>
      <c r="K1041" s="134">
        <v>5127.74976599</v>
      </c>
      <c r="L1041" s="42">
        <v>0.92941196051999997</v>
      </c>
      <c r="M1041" s="42">
        <v>0</v>
      </c>
      <c r="N1041" s="134">
        <v>0</v>
      </c>
      <c r="O1041" s="43" t="s">
        <v>665</v>
      </c>
      <c r="P1041" s="43">
        <f t="shared" si="229"/>
        <v>19.967905196486253</v>
      </c>
      <c r="Q1041" s="43">
        <f t="shared" si="230"/>
        <v>1.9756662000000001E-2</v>
      </c>
      <c r="R1041" s="43">
        <f t="shared" si="231"/>
        <v>9.5537690000000002E-3</v>
      </c>
      <c r="S1041" s="43">
        <f t="shared" si="232"/>
        <v>0.92941196100000001</v>
      </c>
      <c r="T1041" s="43">
        <f t="shared" si="233"/>
        <v>5.1997342780000002</v>
      </c>
      <c r="U1041" s="43">
        <f t="shared" si="234"/>
        <v>15.37276112</v>
      </c>
      <c r="V1041" s="43">
        <f t="shared" si="235"/>
        <v>8.5797300000000005E-4</v>
      </c>
      <c r="W1041" s="230">
        <f t="shared" si="236"/>
        <v>4.8343453009503691E-2</v>
      </c>
      <c r="X1041" s="43">
        <f t="shared" si="237"/>
        <v>0.91756863799999999</v>
      </c>
      <c r="Y1041" s="43">
        <v>12.9570697</v>
      </c>
      <c r="Z1041" s="43">
        <f t="shared" si="226"/>
        <v>0</v>
      </c>
      <c r="AA1041" s="43">
        <f t="shared" si="227"/>
        <v>58427</v>
      </c>
      <c r="AB1041" s="43">
        <f t="shared" si="228"/>
        <v>20964</v>
      </c>
      <c r="AC1041" s="43">
        <f t="shared" si="238"/>
        <v>2.1965121632062434E-2</v>
      </c>
      <c r="AD1041" s="43">
        <f t="shared" si="239"/>
        <v>0.90685301037719301</v>
      </c>
      <c r="AF1041" s="43">
        <v>19.967905196486253</v>
      </c>
      <c r="AG1041" s="43">
        <v>1.9756662000000001E-2</v>
      </c>
      <c r="AH1041" s="43">
        <v>9.5537690000000002E-3</v>
      </c>
      <c r="AI1041" s="43">
        <v>0.92941196100000001</v>
      </c>
      <c r="AJ1041" s="43">
        <v>5.1997342780000002</v>
      </c>
      <c r="AK1041" s="43">
        <v>15.37276112</v>
      </c>
      <c r="AL1041" s="43">
        <v>8.5797300000000005E-4</v>
      </c>
      <c r="AM1041" s="230">
        <v>4.8343453009503691E-2</v>
      </c>
      <c r="AN1041" s="43">
        <v>0.91756863799999999</v>
      </c>
    </row>
    <row r="1042" spans="1:40" x14ac:dyDescent="0.25">
      <c r="A1042" s="134">
        <v>1032</v>
      </c>
      <c r="B1042" s="134" t="s">
        <v>207</v>
      </c>
      <c r="C1042" s="134" t="s">
        <v>205</v>
      </c>
      <c r="D1042" s="134" t="s">
        <v>62</v>
      </c>
      <c r="E1042" s="134">
        <v>188</v>
      </c>
      <c r="F1042" s="134">
        <v>537</v>
      </c>
      <c r="G1042" s="134">
        <v>56</v>
      </c>
      <c r="H1042" s="134">
        <v>0</v>
      </c>
      <c r="I1042" s="200">
        <v>9.6679826332899996E-2</v>
      </c>
      <c r="J1042" s="134">
        <v>537</v>
      </c>
      <c r="K1042" s="134">
        <v>5554.4162662299996</v>
      </c>
      <c r="L1042" s="42">
        <v>0.92155116099500001</v>
      </c>
      <c r="M1042" s="42">
        <v>0</v>
      </c>
      <c r="N1042" s="134">
        <v>0</v>
      </c>
      <c r="O1042" s="43" t="s">
        <v>665</v>
      </c>
      <c r="P1042" s="43">
        <f t="shared" si="229"/>
        <v>19.727629685499366</v>
      </c>
      <c r="Q1042" s="43">
        <f t="shared" si="230"/>
        <v>2.0927609E-2</v>
      </c>
      <c r="R1042" s="43">
        <f t="shared" si="231"/>
        <v>9.489875E-3</v>
      </c>
      <c r="S1042" s="43">
        <f t="shared" si="232"/>
        <v>0.92155116100000001</v>
      </c>
      <c r="T1042" s="43">
        <f t="shared" si="233"/>
        <v>4.9225000000000003</v>
      </c>
      <c r="U1042" s="43">
        <f t="shared" si="234"/>
        <v>14.633340779999999</v>
      </c>
      <c r="V1042" s="43">
        <f t="shared" si="235"/>
        <v>6.6056399999999999E-4</v>
      </c>
      <c r="W1042" s="230">
        <f t="shared" si="236"/>
        <v>4.2653581202227051E-2</v>
      </c>
      <c r="X1042" s="43">
        <f t="shared" si="237"/>
        <v>0.912286496</v>
      </c>
      <c r="Y1042" s="43">
        <v>13.274751439999999</v>
      </c>
      <c r="Z1042" s="43">
        <f t="shared" si="226"/>
        <v>0</v>
      </c>
      <c r="AA1042" s="43">
        <f t="shared" si="227"/>
        <v>58427</v>
      </c>
      <c r="AB1042" s="43">
        <f t="shared" si="228"/>
        <v>20964</v>
      </c>
      <c r="AC1042" s="43">
        <f t="shared" si="238"/>
        <v>2.1965121632062434E-2</v>
      </c>
      <c r="AD1042" s="43">
        <f t="shared" si="239"/>
        <v>0.90685301037719301</v>
      </c>
      <c r="AF1042" s="43">
        <v>19.727629685499366</v>
      </c>
      <c r="AG1042" s="43">
        <v>2.0927609E-2</v>
      </c>
      <c r="AH1042" s="43">
        <v>9.489875E-3</v>
      </c>
      <c r="AI1042" s="43">
        <v>0.92155116100000001</v>
      </c>
      <c r="AJ1042" s="43">
        <v>4.9225000000000003</v>
      </c>
      <c r="AK1042" s="43">
        <v>14.633340779999999</v>
      </c>
      <c r="AL1042" s="43">
        <v>6.6056399999999999E-4</v>
      </c>
      <c r="AM1042" s="230">
        <v>4.2653581202227051E-2</v>
      </c>
      <c r="AN1042" s="43">
        <v>0.912286496</v>
      </c>
    </row>
    <row r="1043" spans="1:40" x14ac:dyDescent="0.25">
      <c r="A1043" s="134">
        <v>1033</v>
      </c>
      <c r="B1043" s="134" t="s">
        <v>207</v>
      </c>
      <c r="C1043" s="134" t="s">
        <v>205</v>
      </c>
      <c r="D1043" s="134" t="s">
        <v>62</v>
      </c>
      <c r="E1043" s="134">
        <v>52</v>
      </c>
      <c r="F1043" s="134">
        <v>149</v>
      </c>
      <c r="G1043" s="134">
        <v>84</v>
      </c>
      <c r="H1043" s="134">
        <v>0</v>
      </c>
      <c r="I1043" s="200">
        <v>0.17411059505599999</v>
      </c>
      <c r="J1043" s="134">
        <v>149</v>
      </c>
      <c r="K1043" s="134">
        <v>855.77790341800005</v>
      </c>
      <c r="L1043" s="42">
        <v>0.91749475795400004</v>
      </c>
      <c r="M1043" s="42">
        <v>0</v>
      </c>
      <c r="N1043" s="134">
        <v>0</v>
      </c>
      <c r="O1043" s="43" t="s">
        <v>665</v>
      </c>
      <c r="P1043" s="43">
        <f t="shared" si="229"/>
        <v>19.638542942329579</v>
      </c>
      <c r="Q1043" s="43">
        <f t="shared" si="230"/>
        <v>1.5133558E-2</v>
      </c>
      <c r="R1043" s="43">
        <f t="shared" si="231"/>
        <v>9.3900990000000007E-3</v>
      </c>
      <c r="S1043" s="43">
        <f t="shared" si="232"/>
        <v>0.91749475800000002</v>
      </c>
      <c r="T1043" s="43">
        <f t="shared" si="233"/>
        <v>5.4156479219999998</v>
      </c>
      <c r="U1043" s="43">
        <f t="shared" si="234"/>
        <v>13.750354740000001</v>
      </c>
      <c r="V1043" s="43">
        <f t="shared" si="235"/>
        <v>2.0287614424242431E-3</v>
      </c>
      <c r="W1043" s="230">
        <f t="shared" si="236"/>
        <v>4.0478905359179022E-2</v>
      </c>
      <c r="X1043" s="43">
        <f t="shared" si="237"/>
        <v>0.85879893600000001</v>
      </c>
      <c r="Y1043" s="43">
        <v>12.9293318</v>
      </c>
      <c r="Z1043" s="43">
        <f t="shared" si="226"/>
        <v>0</v>
      </c>
      <c r="AA1043" s="43">
        <f t="shared" si="227"/>
        <v>58427</v>
      </c>
      <c r="AB1043" s="43">
        <f t="shared" si="228"/>
        <v>20964</v>
      </c>
      <c r="AC1043" s="43">
        <f t="shared" si="238"/>
        <v>2.1965121632062434E-2</v>
      </c>
      <c r="AD1043" s="43">
        <f t="shared" si="239"/>
        <v>0.90685301037719301</v>
      </c>
      <c r="AF1043" s="43">
        <v>19.638542942329579</v>
      </c>
      <c r="AG1043" s="43">
        <v>1.5133558E-2</v>
      </c>
      <c r="AH1043" s="43">
        <v>9.3900990000000007E-3</v>
      </c>
      <c r="AI1043" s="43">
        <v>0.91749475800000002</v>
      </c>
      <c r="AJ1043" s="43">
        <v>5.4156479219999998</v>
      </c>
      <c r="AK1043" s="43">
        <v>13.750354740000001</v>
      </c>
      <c r="AL1043" s="43">
        <v>0</v>
      </c>
      <c r="AM1043" s="230">
        <v>4.0478905359179022E-2</v>
      </c>
      <c r="AN1043" s="43">
        <v>0.85879893600000001</v>
      </c>
    </row>
    <row r="1044" spans="1:40" x14ac:dyDescent="0.25">
      <c r="A1044" s="134">
        <v>1034</v>
      </c>
      <c r="B1044" s="134" t="s">
        <v>207</v>
      </c>
      <c r="C1044" s="134" t="s">
        <v>205</v>
      </c>
      <c r="D1044" s="134" t="s">
        <v>62</v>
      </c>
      <c r="E1044" s="134">
        <v>438</v>
      </c>
      <c r="F1044" s="134">
        <v>1251</v>
      </c>
      <c r="G1044" s="134">
        <v>90</v>
      </c>
      <c r="H1044" s="134">
        <v>0</v>
      </c>
      <c r="I1044" s="200">
        <v>0.186424728357</v>
      </c>
      <c r="J1044" s="134">
        <v>1251</v>
      </c>
      <c r="K1044" s="134">
        <v>6710.4831586700002</v>
      </c>
      <c r="L1044" s="42">
        <v>0.92576723287899998</v>
      </c>
      <c r="M1044" s="42">
        <v>0</v>
      </c>
      <c r="N1044" s="134">
        <v>0</v>
      </c>
      <c r="O1044" s="43" t="s">
        <v>665</v>
      </c>
      <c r="P1044" s="43">
        <f t="shared" si="229"/>
        <v>20.117951675249202</v>
      </c>
      <c r="Q1044" s="43">
        <f t="shared" si="230"/>
        <v>2.0671321999999999E-2</v>
      </c>
      <c r="R1044" s="43">
        <f t="shared" si="231"/>
        <v>1.0429691E-2</v>
      </c>
      <c r="S1044" s="43">
        <f t="shared" si="232"/>
        <v>0.92576723299999997</v>
      </c>
      <c r="T1044" s="43">
        <f t="shared" si="233"/>
        <v>4.5554199219999996</v>
      </c>
      <c r="U1044" s="43">
        <f t="shared" si="234"/>
        <v>14.092921909999999</v>
      </c>
      <c r="V1044" s="43">
        <f t="shared" si="235"/>
        <v>1.292512E-3</v>
      </c>
      <c r="W1044" s="230">
        <f t="shared" si="236"/>
        <v>5.8001454075450355E-2</v>
      </c>
      <c r="X1044" s="43">
        <f t="shared" si="237"/>
        <v>0.91877372999999996</v>
      </c>
      <c r="Y1044" s="43">
        <v>12.937800149999999</v>
      </c>
      <c r="Z1044" s="43">
        <f t="shared" si="226"/>
        <v>0</v>
      </c>
      <c r="AA1044" s="43">
        <f t="shared" si="227"/>
        <v>58427</v>
      </c>
      <c r="AB1044" s="43">
        <f t="shared" si="228"/>
        <v>20964</v>
      </c>
      <c r="AC1044" s="43">
        <f t="shared" si="238"/>
        <v>2.1965121632062434E-2</v>
      </c>
      <c r="AD1044" s="43">
        <f t="shared" si="239"/>
        <v>0.90685301037719301</v>
      </c>
      <c r="AF1044" s="43">
        <v>20.117951675249202</v>
      </c>
      <c r="AG1044" s="43">
        <v>2.0671321999999999E-2</v>
      </c>
      <c r="AH1044" s="43">
        <v>1.0429691E-2</v>
      </c>
      <c r="AI1044" s="43">
        <v>0.92576723299999997</v>
      </c>
      <c r="AJ1044" s="43">
        <v>4.5554199219999996</v>
      </c>
      <c r="AK1044" s="43">
        <v>14.092921909999999</v>
      </c>
      <c r="AL1044" s="43">
        <v>1.292512E-3</v>
      </c>
      <c r="AM1044" s="230">
        <v>5.8001454075450355E-2</v>
      </c>
      <c r="AN1044" s="43">
        <v>0.91877372999999996</v>
      </c>
    </row>
    <row r="1045" spans="1:40" x14ac:dyDescent="0.25">
      <c r="A1045" s="134">
        <v>1035</v>
      </c>
      <c r="B1045" s="134" t="s">
        <v>207</v>
      </c>
      <c r="C1045" s="134" t="s">
        <v>205</v>
      </c>
      <c r="D1045" s="134" t="s">
        <v>62</v>
      </c>
      <c r="E1045" s="134">
        <v>118</v>
      </c>
      <c r="F1045" s="134">
        <v>337</v>
      </c>
      <c r="G1045" s="134">
        <v>104</v>
      </c>
      <c r="H1045" s="134">
        <v>0</v>
      </c>
      <c r="I1045" s="200">
        <v>0.21558446713900001</v>
      </c>
      <c r="J1045" s="134">
        <v>337</v>
      </c>
      <c r="K1045" s="134">
        <v>1563.1923972699999</v>
      </c>
      <c r="L1045" s="42">
        <v>0.92494736642499997</v>
      </c>
      <c r="M1045" s="42">
        <v>0</v>
      </c>
      <c r="N1045" s="134">
        <v>0</v>
      </c>
      <c r="O1045" s="43" t="s">
        <v>665</v>
      </c>
      <c r="P1045" s="43">
        <f t="shared" si="229"/>
        <v>19.866164584128985</v>
      </c>
      <c r="Q1045" s="43">
        <f t="shared" si="230"/>
        <v>1.7051382E-2</v>
      </c>
      <c r="R1045" s="43">
        <f t="shared" si="231"/>
        <v>9.6731979999999992E-3</v>
      </c>
      <c r="S1045" s="43">
        <f t="shared" si="232"/>
        <v>0.92494736600000005</v>
      </c>
      <c r="T1045" s="43">
        <f t="shared" si="233"/>
        <v>5.1864077670000004</v>
      </c>
      <c r="U1045" s="43">
        <f t="shared" si="234"/>
        <v>14.55557531</v>
      </c>
      <c r="V1045" s="43">
        <f t="shared" si="235"/>
        <v>3.01386E-4</v>
      </c>
      <c r="W1045" s="230">
        <f t="shared" si="236"/>
        <v>3.7748643761301985E-2</v>
      </c>
      <c r="X1045" s="43">
        <f t="shared" si="237"/>
        <v>0.89978902999999999</v>
      </c>
      <c r="Y1045" s="43">
        <v>12.9293318</v>
      </c>
      <c r="Z1045" s="43">
        <f t="shared" si="226"/>
        <v>0</v>
      </c>
      <c r="AA1045" s="43">
        <f t="shared" si="227"/>
        <v>58427</v>
      </c>
      <c r="AB1045" s="43">
        <f t="shared" si="228"/>
        <v>20964</v>
      </c>
      <c r="AC1045" s="43">
        <f t="shared" si="238"/>
        <v>2.1965121632062434E-2</v>
      </c>
      <c r="AD1045" s="43">
        <f t="shared" si="239"/>
        <v>0.90685301037719301</v>
      </c>
      <c r="AF1045" s="43">
        <v>19.866164584128985</v>
      </c>
      <c r="AG1045" s="43">
        <v>1.7051382E-2</v>
      </c>
      <c r="AH1045" s="43">
        <v>9.6731979999999992E-3</v>
      </c>
      <c r="AI1045" s="43">
        <v>0.92494736600000005</v>
      </c>
      <c r="AJ1045" s="43">
        <v>5.1864077670000004</v>
      </c>
      <c r="AK1045" s="43">
        <v>14.55557531</v>
      </c>
      <c r="AL1045" s="43">
        <v>3.01386E-4</v>
      </c>
      <c r="AM1045" s="230">
        <v>3.7748643761301985E-2</v>
      </c>
      <c r="AN1045" s="43">
        <v>0.89978902999999999</v>
      </c>
    </row>
    <row r="1046" spans="1:40" x14ac:dyDescent="0.25">
      <c r="A1046" s="134">
        <v>1036</v>
      </c>
      <c r="B1046" s="134" t="s">
        <v>207</v>
      </c>
      <c r="C1046" s="134" t="s">
        <v>205</v>
      </c>
      <c r="D1046" s="134" t="s">
        <v>62</v>
      </c>
      <c r="E1046" s="134">
        <v>69</v>
      </c>
      <c r="F1046" s="134">
        <v>197</v>
      </c>
      <c r="G1046" s="134">
        <v>47</v>
      </c>
      <c r="H1046" s="134">
        <v>0</v>
      </c>
      <c r="I1046" s="200">
        <v>5.2971816649199997E-2</v>
      </c>
      <c r="J1046" s="134">
        <v>197</v>
      </c>
      <c r="K1046" s="134">
        <v>3718.95873054</v>
      </c>
      <c r="L1046" s="42">
        <v>0.90778748895200001</v>
      </c>
      <c r="M1046" s="42">
        <v>0</v>
      </c>
      <c r="N1046" s="134">
        <v>0</v>
      </c>
      <c r="O1046" s="43" t="s">
        <v>665</v>
      </c>
      <c r="P1046" s="43">
        <f t="shared" si="229"/>
        <v>19.388407106946804</v>
      </c>
      <c r="Q1046" s="43">
        <f t="shared" si="230"/>
        <v>1.7545583E-2</v>
      </c>
      <c r="R1046" s="43">
        <f t="shared" si="231"/>
        <v>8.9037279999999996E-3</v>
      </c>
      <c r="S1046" s="43">
        <f t="shared" si="232"/>
        <v>0.90778748899999995</v>
      </c>
      <c r="T1046" s="43">
        <f t="shared" si="233"/>
        <v>4.9891304349999999</v>
      </c>
      <c r="U1046" s="43">
        <f t="shared" si="234"/>
        <v>13.00384478</v>
      </c>
      <c r="V1046" s="43">
        <f t="shared" si="235"/>
        <v>2.6574500000000001E-4</v>
      </c>
      <c r="W1046" s="230">
        <f t="shared" si="236"/>
        <v>4.9295774647887321E-2</v>
      </c>
      <c r="X1046" s="43">
        <f t="shared" si="237"/>
        <v>0.86167951099999995</v>
      </c>
      <c r="Y1046" s="43">
        <v>26.257809030000001</v>
      </c>
      <c r="Z1046" s="43">
        <f t="shared" si="226"/>
        <v>0</v>
      </c>
      <c r="AA1046" s="43">
        <f t="shared" si="227"/>
        <v>58427</v>
      </c>
      <c r="AB1046" s="43">
        <f t="shared" si="228"/>
        <v>20964</v>
      </c>
      <c r="AC1046" s="43">
        <f t="shared" si="238"/>
        <v>2.1965121632062434E-2</v>
      </c>
      <c r="AD1046" s="43">
        <f t="shared" si="239"/>
        <v>0.90685301037719301</v>
      </c>
      <c r="AF1046" s="43">
        <v>19.388407106946804</v>
      </c>
      <c r="AG1046" s="43">
        <v>1.7545583E-2</v>
      </c>
      <c r="AH1046" s="43">
        <v>8.9037279999999996E-3</v>
      </c>
      <c r="AI1046" s="43">
        <v>0.90778748899999995</v>
      </c>
      <c r="AJ1046" s="43">
        <v>4.9891304349999999</v>
      </c>
      <c r="AK1046" s="43">
        <v>13.00384478</v>
      </c>
      <c r="AL1046" s="43">
        <v>2.6574500000000001E-4</v>
      </c>
      <c r="AM1046" s="230">
        <v>4.9295774647887321E-2</v>
      </c>
      <c r="AN1046" s="43">
        <v>0.86167951099999995</v>
      </c>
    </row>
    <row r="1047" spans="1:40" x14ac:dyDescent="0.25">
      <c r="A1047" s="134">
        <v>1037</v>
      </c>
      <c r="B1047" s="134" t="s">
        <v>207</v>
      </c>
      <c r="C1047" s="134" t="s">
        <v>205</v>
      </c>
      <c r="D1047" s="134" t="s">
        <v>62</v>
      </c>
      <c r="E1047" s="134">
        <v>121</v>
      </c>
      <c r="F1047" s="134">
        <v>346</v>
      </c>
      <c r="G1047" s="134">
        <v>27</v>
      </c>
      <c r="H1047" s="134">
        <v>0</v>
      </c>
      <c r="I1047" s="200">
        <v>5.5885965784100003E-2</v>
      </c>
      <c r="J1047" s="134">
        <v>346</v>
      </c>
      <c r="K1047" s="134">
        <v>6191.1786822599997</v>
      </c>
      <c r="L1047" s="42">
        <v>0.90265652165800003</v>
      </c>
      <c r="M1047" s="42">
        <v>0</v>
      </c>
      <c r="N1047" s="134">
        <v>0</v>
      </c>
      <c r="O1047" s="43" t="s">
        <v>665</v>
      </c>
      <c r="P1047" s="43">
        <f t="shared" si="229"/>
        <v>19.24757572634098</v>
      </c>
      <c r="Q1047" s="43">
        <f t="shared" si="230"/>
        <v>2.3368416999999999E-2</v>
      </c>
      <c r="R1047" s="43">
        <f t="shared" si="231"/>
        <v>1.0226018999999999E-2</v>
      </c>
      <c r="S1047" s="43">
        <f t="shared" si="232"/>
        <v>0.90265652200000002</v>
      </c>
      <c r="T1047" s="43">
        <f t="shared" si="233"/>
        <v>4.50274223</v>
      </c>
      <c r="U1047" s="43">
        <f t="shared" si="234"/>
        <v>12.871508950000001</v>
      </c>
      <c r="V1047" s="43">
        <f t="shared" si="235"/>
        <v>5.2505300000000004E-4</v>
      </c>
      <c r="W1047" s="230">
        <f t="shared" si="236"/>
        <v>6.0831083108310827E-2</v>
      </c>
      <c r="X1047" s="43">
        <f t="shared" si="237"/>
        <v>0.87008700900000002</v>
      </c>
      <c r="Y1047" s="43">
        <v>26.23542248</v>
      </c>
      <c r="Z1047" s="43">
        <f t="shared" si="226"/>
        <v>0</v>
      </c>
      <c r="AA1047" s="43">
        <f t="shared" si="227"/>
        <v>58427</v>
      </c>
      <c r="AB1047" s="43">
        <f t="shared" si="228"/>
        <v>20964</v>
      </c>
      <c r="AC1047" s="43">
        <f t="shared" si="238"/>
        <v>2.1965121632062434E-2</v>
      </c>
      <c r="AD1047" s="43">
        <f t="shared" si="239"/>
        <v>0.90685301037719301</v>
      </c>
      <c r="AF1047" s="43">
        <v>19.24757572634098</v>
      </c>
      <c r="AG1047" s="43">
        <v>2.3368416999999999E-2</v>
      </c>
      <c r="AH1047" s="43">
        <v>1.0226018999999999E-2</v>
      </c>
      <c r="AI1047" s="43">
        <v>0.90265652200000002</v>
      </c>
      <c r="AJ1047" s="43">
        <v>4.50274223</v>
      </c>
      <c r="AK1047" s="43">
        <v>12.871508950000001</v>
      </c>
      <c r="AL1047" s="43">
        <v>5.2505300000000004E-4</v>
      </c>
      <c r="AM1047" s="230">
        <v>6.0831083108310827E-2</v>
      </c>
      <c r="AN1047" s="43">
        <v>0.87008700900000002</v>
      </c>
    </row>
    <row r="1048" spans="1:40" x14ac:dyDescent="0.25">
      <c r="A1048" s="134">
        <v>1038</v>
      </c>
      <c r="B1048" s="134" t="s">
        <v>207</v>
      </c>
      <c r="C1048" s="134" t="s">
        <v>205</v>
      </c>
      <c r="D1048" s="134" t="s">
        <v>62</v>
      </c>
      <c r="E1048" s="134">
        <v>138</v>
      </c>
      <c r="F1048" s="134">
        <v>394</v>
      </c>
      <c r="G1048" s="134">
        <v>45</v>
      </c>
      <c r="H1048" s="134">
        <v>0</v>
      </c>
      <c r="I1048" s="200">
        <v>9.2431582876300003E-2</v>
      </c>
      <c r="J1048" s="134">
        <v>394</v>
      </c>
      <c r="K1048" s="134">
        <v>4262.61227753</v>
      </c>
      <c r="L1048" s="42">
        <v>0.89345763820699997</v>
      </c>
      <c r="M1048" s="42">
        <v>0</v>
      </c>
      <c r="N1048" s="134">
        <v>0</v>
      </c>
      <c r="O1048" s="43" t="s">
        <v>665</v>
      </c>
      <c r="P1048" s="43">
        <f t="shared" si="229"/>
        <v>19.104059450650855</v>
      </c>
      <c r="Q1048" s="43">
        <f t="shared" si="230"/>
        <v>3.0274779000000002E-2</v>
      </c>
      <c r="R1048" s="43">
        <f t="shared" si="231"/>
        <v>1.0745829E-2</v>
      </c>
      <c r="S1048" s="43">
        <f t="shared" si="232"/>
        <v>0.893457638</v>
      </c>
      <c r="T1048" s="43">
        <f t="shared" si="233"/>
        <v>4.2100840340000003</v>
      </c>
      <c r="U1048" s="43">
        <f t="shared" si="234"/>
        <v>12.62640122</v>
      </c>
      <c r="V1048" s="43">
        <f t="shared" si="235"/>
        <v>6.4964600000000003E-4</v>
      </c>
      <c r="W1048" s="230">
        <f t="shared" si="236"/>
        <v>7.6008575326447073E-2</v>
      </c>
      <c r="X1048" s="43">
        <f t="shared" si="237"/>
        <v>0.86448385599999999</v>
      </c>
      <c r="Y1048" s="43">
        <v>26.207447389999999</v>
      </c>
      <c r="Z1048" s="43">
        <f t="shared" si="226"/>
        <v>0</v>
      </c>
      <c r="AA1048" s="43">
        <f t="shared" si="227"/>
        <v>58427</v>
      </c>
      <c r="AB1048" s="43">
        <f t="shared" si="228"/>
        <v>20964</v>
      </c>
      <c r="AC1048" s="43">
        <f t="shared" si="238"/>
        <v>2.1965121632062434E-2</v>
      </c>
      <c r="AD1048" s="43">
        <f t="shared" si="239"/>
        <v>0.90685301037719301</v>
      </c>
      <c r="AF1048" s="43">
        <v>19.104059450650855</v>
      </c>
      <c r="AG1048" s="43">
        <v>3.0274779000000002E-2</v>
      </c>
      <c r="AH1048" s="43">
        <v>1.0745829E-2</v>
      </c>
      <c r="AI1048" s="43">
        <v>0.893457638</v>
      </c>
      <c r="AJ1048" s="43">
        <v>4.2100840340000003</v>
      </c>
      <c r="AK1048" s="43">
        <v>12.62640122</v>
      </c>
      <c r="AL1048" s="43">
        <v>6.4964600000000003E-4</v>
      </c>
      <c r="AM1048" s="230">
        <v>7.6008575326447073E-2</v>
      </c>
      <c r="AN1048" s="43">
        <v>0.86448385599999999</v>
      </c>
    </row>
    <row r="1049" spans="1:40" x14ac:dyDescent="0.25">
      <c r="A1049" s="134">
        <v>1039</v>
      </c>
      <c r="B1049" s="134" t="s">
        <v>207</v>
      </c>
      <c r="C1049" s="134" t="s">
        <v>205</v>
      </c>
      <c r="D1049" s="134" t="s">
        <v>62</v>
      </c>
      <c r="E1049" s="134">
        <v>111</v>
      </c>
      <c r="F1049" s="134">
        <v>317</v>
      </c>
      <c r="G1049" s="134">
        <v>11</v>
      </c>
      <c r="H1049" s="134">
        <v>0</v>
      </c>
      <c r="I1049" s="200">
        <v>2.3329544267599998E-2</v>
      </c>
      <c r="J1049" s="134">
        <v>317</v>
      </c>
      <c r="K1049" s="134">
        <v>13587.9208082</v>
      </c>
      <c r="L1049" s="42">
        <v>0.91039923796900002</v>
      </c>
      <c r="M1049" s="42">
        <v>0</v>
      </c>
      <c r="N1049" s="134">
        <v>0</v>
      </c>
      <c r="O1049" s="43" t="s">
        <v>666</v>
      </c>
      <c r="P1049" s="43">
        <f t="shared" si="229"/>
        <v>19.649638223738599</v>
      </c>
      <c r="Q1049" s="43">
        <f t="shared" si="230"/>
        <v>2.2260416000000002E-2</v>
      </c>
      <c r="R1049" s="43">
        <f t="shared" si="231"/>
        <v>1.0457219E-2</v>
      </c>
      <c r="S1049" s="43">
        <f t="shared" si="232"/>
        <v>0.910399238</v>
      </c>
      <c r="T1049" s="43">
        <f t="shared" si="233"/>
        <v>4.5990099009999996</v>
      </c>
      <c r="U1049" s="43">
        <f t="shared" si="234"/>
        <v>13.13604423</v>
      </c>
      <c r="V1049" s="43">
        <f t="shared" si="235"/>
        <v>6.6044699999999999E-4</v>
      </c>
      <c r="W1049" s="230">
        <f t="shared" si="236"/>
        <v>6.3650623297283909E-2</v>
      </c>
      <c r="X1049" s="43">
        <f t="shared" si="237"/>
        <v>0.86617683499999998</v>
      </c>
      <c r="Y1049" s="43">
        <v>16.814321379999999</v>
      </c>
      <c r="Z1049" s="43">
        <f t="shared" si="226"/>
        <v>0</v>
      </c>
      <c r="AA1049" s="43">
        <f t="shared" si="227"/>
        <v>58427</v>
      </c>
      <c r="AB1049" s="43">
        <f t="shared" si="228"/>
        <v>20964</v>
      </c>
      <c r="AC1049" s="43">
        <f t="shared" si="238"/>
        <v>2.1965121632062434E-2</v>
      </c>
      <c r="AD1049" s="43">
        <f t="shared" si="239"/>
        <v>0.90685301037719301</v>
      </c>
      <c r="AF1049" s="43">
        <v>19.649638223738599</v>
      </c>
      <c r="AG1049" s="43">
        <v>2.2260416000000002E-2</v>
      </c>
      <c r="AH1049" s="43">
        <v>1.0457219E-2</v>
      </c>
      <c r="AI1049" s="43">
        <v>0.910399238</v>
      </c>
      <c r="AJ1049" s="43">
        <v>4.5990099009999996</v>
      </c>
      <c r="AK1049" s="43">
        <v>13.13604423</v>
      </c>
      <c r="AL1049" s="43">
        <v>6.6044699999999999E-4</v>
      </c>
      <c r="AM1049" s="230">
        <v>6.3650623297283909E-2</v>
      </c>
      <c r="AN1049" s="43">
        <v>0.86617683499999998</v>
      </c>
    </row>
    <row r="1050" spans="1:40" x14ac:dyDescent="0.25">
      <c r="A1050" s="134">
        <v>1040</v>
      </c>
      <c r="B1050" s="134" t="s">
        <v>207</v>
      </c>
      <c r="C1050" s="134" t="s">
        <v>205</v>
      </c>
      <c r="D1050" s="134" t="s">
        <v>62</v>
      </c>
      <c r="E1050" s="134">
        <v>45</v>
      </c>
      <c r="F1050" s="134">
        <v>129</v>
      </c>
      <c r="G1050" s="134">
        <v>20</v>
      </c>
      <c r="H1050" s="134">
        <v>0</v>
      </c>
      <c r="I1050" s="200">
        <v>1.2985547369100001E-2</v>
      </c>
      <c r="J1050" s="134">
        <v>129</v>
      </c>
      <c r="K1050" s="134">
        <v>9934.1210911899998</v>
      </c>
      <c r="L1050" s="42">
        <v>0.88983656792599997</v>
      </c>
      <c r="M1050" s="42">
        <v>0</v>
      </c>
      <c r="N1050" s="134">
        <v>0</v>
      </c>
      <c r="O1050" s="43" t="s">
        <v>666</v>
      </c>
      <c r="P1050" s="43">
        <f t="shared" si="229"/>
        <v>18.672950926868545</v>
      </c>
      <c r="Q1050" s="43">
        <f t="shared" si="230"/>
        <v>2.1195097E-2</v>
      </c>
      <c r="R1050" s="43">
        <f t="shared" si="231"/>
        <v>9.1930540000000008E-3</v>
      </c>
      <c r="S1050" s="43">
        <f t="shared" si="232"/>
        <v>0.88983656799999999</v>
      </c>
      <c r="T1050" s="43">
        <f t="shared" si="233"/>
        <v>4.7257142859999997</v>
      </c>
      <c r="U1050" s="43">
        <f t="shared" si="234"/>
        <v>11.741602159999999</v>
      </c>
      <c r="V1050" s="43">
        <f t="shared" si="235"/>
        <v>2.0287614424242431E-3</v>
      </c>
      <c r="W1050" s="230">
        <f t="shared" si="236"/>
        <v>6.996699669966995E-2</v>
      </c>
      <c r="X1050" s="43">
        <f t="shared" si="237"/>
        <v>0.82090209000000003</v>
      </c>
      <c r="Y1050" s="43">
        <v>13.445225280000001</v>
      </c>
      <c r="Z1050" s="43">
        <f t="shared" si="226"/>
        <v>0</v>
      </c>
      <c r="AA1050" s="43">
        <f t="shared" si="227"/>
        <v>58427</v>
      </c>
      <c r="AB1050" s="43">
        <f t="shared" si="228"/>
        <v>20964</v>
      </c>
      <c r="AC1050" s="43">
        <f t="shared" si="238"/>
        <v>2.1965121632062434E-2</v>
      </c>
      <c r="AD1050" s="43">
        <f t="shared" si="239"/>
        <v>0.90685301037719301</v>
      </c>
      <c r="AF1050" s="43">
        <v>18.672950926868545</v>
      </c>
      <c r="AG1050" s="43">
        <v>2.1195097E-2</v>
      </c>
      <c r="AH1050" s="43">
        <v>9.1930540000000008E-3</v>
      </c>
      <c r="AI1050" s="43">
        <v>0.88983656799999999</v>
      </c>
      <c r="AJ1050" s="43">
        <v>4.7257142859999997</v>
      </c>
      <c r="AK1050" s="43">
        <v>11.741602159999999</v>
      </c>
      <c r="AL1050" s="43">
        <v>0</v>
      </c>
      <c r="AM1050" s="230">
        <v>6.996699669966995E-2</v>
      </c>
      <c r="AN1050" s="43">
        <v>0.82090209000000003</v>
      </c>
    </row>
    <row r="1051" spans="1:40" x14ac:dyDescent="0.25">
      <c r="A1051" s="134">
        <v>1041</v>
      </c>
      <c r="B1051" s="134" t="s">
        <v>207</v>
      </c>
      <c r="C1051" s="134" t="s">
        <v>205</v>
      </c>
      <c r="D1051" s="134" t="s">
        <v>62</v>
      </c>
      <c r="E1051" s="134">
        <v>0</v>
      </c>
      <c r="F1051" s="134">
        <v>0</v>
      </c>
      <c r="G1051" s="134">
        <v>19</v>
      </c>
      <c r="H1051" s="134">
        <v>0</v>
      </c>
      <c r="I1051" s="200">
        <v>3.9034231632699999E-2</v>
      </c>
      <c r="J1051" s="134">
        <v>0</v>
      </c>
      <c r="K1051" s="134">
        <v>0</v>
      </c>
      <c r="L1051" s="42">
        <v>0.92462311557800003</v>
      </c>
      <c r="M1051" s="42">
        <v>0</v>
      </c>
      <c r="N1051" s="134">
        <v>0</v>
      </c>
      <c r="O1051" s="43" t="s">
        <v>666</v>
      </c>
      <c r="P1051" s="43">
        <f t="shared" si="229"/>
        <v>16.949272386598746</v>
      </c>
      <c r="Q1051" s="43">
        <f t="shared" si="230"/>
        <v>3.5175879E-2</v>
      </c>
      <c r="R1051" s="43">
        <f t="shared" si="231"/>
        <v>1.2755221068376069E-2</v>
      </c>
      <c r="S1051" s="43">
        <f t="shared" si="232"/>
        <v>0.92462311600000002</v>
      </c>
      <c r="T1051" s="43">
        <f t="shared" si="233"/>
        <v>3.8086837425284572</v>
      </c>
      <c r="U1051" s="43">
        <f t="shared" si="234"/>
        <v>27.617241379999999</v>
      </c>
      <c r="V1051" s="43">
        <f t="shared" si="235"/>
        <v>2.0287614424242431E-3</v>
      </c>
      <c r="W1051" s="230">
        <f t="shared" si="236"/>
        <v>4.8707337327105672E-2</v>
      </c>
      <c r="X1051" s="43">
        <f t="shared" si="237"/>
        <v>0.88538289384112134</v>
      </c>
      <c r="Y1051" s="43">
        <v>31.31126935</v>
      </c>
      <c r="Z1051" s="43">
        <f t="shared" si="226"/>
        <v>0</v>
      </c>
      <c r="AA1051" s="43">
        <f t="shared" si="227"/>
        <v>58427</v>
      </c>
      <c r="AB1051" s="43">
        <f t="shared" si="228"/>
        <v>20964</v>
      </c>
      <c r="AC1051" s="43">
        <f t="shared" si="238"/>
        <v>2.1965121632062434E-2</v>
      </c>
      <c r="AD1051" s="43">
        <f t="shared" si="239"/>
        <v>0.90685301037719301</v>
      </c>
      <c r="AF1051" s="43" t="e">
        <v>#DIV/0!</v>
      </c>
      <c r="AG1051" s="43">
        <v>3.5175879E-2</v>
      </c>
      <c r="AH1051" s="43">
        <v>0</v>
      </c>
      <c r="AI1051" s="43">
        <v>0.92462311600000002</v>
      </c>
      <c r="AJ1051" s="43" t="e">
        <v>#DIV/0!</v>
      </c>
      <c r="AK1051" s="43">
        <v>27.617241379999999</v>
      </c>
      <c r="AL1051" s="43" t="e">
        <v>#DIV/0!</v>
      </c>
      <c r="AM1051" s="230" t="e">
        <v>#DIV/0!</v>
      </c>
      <c r="AN1051" s="43" t="e">
        <v>#DIV/0!</v>
      </c>
    </row>
    <row r="1052" spans="1:40" x14ac:dyDescent="0.25">
      <c r="A1052" s="134">
        <v>1042</v>
      </c>
      <c r="B1052" s="134" t="s">
        <v>207</v>
      </c>
      <c r="C1052" s="134" t="s">
        <v>205</v>
      </c>
      <c r="D1052" s="134" t="s">
        <v>62</v>
      </c>
      <c r="E1052" s="134">
        <v>159</v>
      </c>
      <c r="F1052" s="134">
        <v>454</v>
      </c>
      <c r="G1052" s="134">
        <v>34</v>
      </c>
      <c r="H1052" s="134">
        <v>0</v>
      </c>
      <c r="I1052" s="200">
        <v>6.9837563595600005E-2</v>
      </c>
      <c r="J1052" s="134">
        <v>454</v>
      </c>
      <c r="K1052" s="134">
        <v>6500.7995214299999</v>
      </c>
      <c r="L1052" s="42">
        <v>0.88337801608599997</v>
      </c>
      <c r="M1052" s="42">
        <v>0</v>
      </c>
      <c r="N1052" s="134">
        <v>0</v>
      </c>
      <c r="O1052" s="43" t="s">
        <v>666</v>
      </c>
      <c r="P1052" s="43">
        <f t="shared" si="229"/>
        <v>18.503236542073687</v>
      </c>
      <c r="Q1052" s="43">
        <f t="shared" si="230"/>
        <v>3.1635389E-2</v>
      </c>
      <c r="R1052" s="43">
        <f t="shared" si="231"/>
        <v>1.0766192000000001E-2</v>
      </c>
      <c r="S1052" s="43">
        <f t="shared" si="232"/>
        <v>0.88337801599999999</v>
      </c>
      <c r="T1052" s="43">
        <f t="shared" si="233"/>
        <v>3.9198144469999998</v>
      </c>
      <c r="U1052" s="43">
        <f t="shared" si="234"/>
        <v>11.85389623</v>
      </c>
      <c r="V1052" s="43">
        <f t="shared" si="235"/>
        <v>1.0590860000000001E-3</v>
      </c>
      <c r="W1052" s="230">
        <f t="shared" si="236"/>
        <v>8.1939799331103666E-2</v>
      </c>
      <c r="X1052" s="43">
        <f t="shared" si="237"/>
        <v>0.86181716799999997</v>
      </c>
      <c r="Y1052" s="43">
        <v>27.032539629999999</v>
      </c>
      <c r="Z1052" s="43">
        <f t="shared" si="226"/>
        <v>0</v>
      </c>
      <c r="AA1052" s="43">
        <f t="shared" si="227"/>
        <v>58427</v>
      </c>
      <c r="AB1052" s="43">
        <f t="shared" si="228"/>
        <v>20964</v>
      </c>
      <c r="AC1052" s="43">
        <f t="shared" si="238"/>
        <v>2.1965121632062434E-2</v>
      </c>
      <c r="AD1052" s="43">
        <f t="shared" si="239"/>
        <v>0.90685301037719301</v>
      </c>
      <c r="AF1052" s="43">
        <v>18.503236542073687</v>
      </c>
      <c r="AG1052" s="43">
        <v>3.1635389E-2</v>
      </c>
      <c r="AH1052" s="43">
        <v>1.0766192000000001E-2</v>
      </c>
      <c r="AI1052" s="43">
        <v>0.88337801599999999</v>
      </c>
      <c r="AJ1052" s="43">
        <v>3.9198144469999998</v>
      </c>
      <c r="AK1052" s="43">
        <v>11.85389623</v>
      </c>
      <c r="AL1052" s="43">
        <v>1.0590860000000001E-3</v>
      </c>
      <c r="AM1052" s="230">
        <v>8.1939799331103666E-2</v>
      </c>
      <c r="AN1052" s="43">
        <v>0.86181716799999997</v>
      </c>
    </row>
    <row r="1053" spans="1:40" x14ac:dyDescent="0.25">
      <c r="A1053" s="134">
        <v>1043</v>
      </c>
      <c r="B1053" s="134" t="s">
        <v>207</v>
      </c>
      <c r="C1053" s="134" t="s">
        <v>205</v>
      </c>
      <c r="D1053" s="134" t="s">
        <v>62</v>
      </c>
      <c r="E1053" s="134">
        <v>0</v>
      </c>
      <c r="F1053" s="134">
        <v>0</v>
      </c>
      <c r="G1053" s="134">
        <v>37</v>
      </c>
      <c r="H1053" s="134">
        <v>39</v>
      </c>
      <c r="I1053" s="200">
        <v>7.7823126236900006E-2</v>
      </c>
      <c r="J1053" s="134">
        <v>39</v>
      </c>
      <c r="K1053" s="134">
        <v>501.13638305000001</v>
      </c>
      <c r="L1053" s="42">
        <v>0.90268110337700003</v>
      </c>
      <c r="M1053" s="42">
        <v>1</v>
      </c>
      <c r="N1053" s="134">
        <v>0</v>
      </c>
      <c r="O1053" s="43" t="s">
        <v>666</v>
      </c>
      <c r="P1053" s="43">
        <f t="shared" si="229"/>
        <v>15.521083891445048</v>
      </c>
      <c r="Q1053" s="43">
        <f t="shared" si="230"/>
        <v>7.4761539999999996E-3</v>
      </c>
      <c r="R1053" s="43">
        <f t="shared" si="231"/>
        <v>3.3513789999999998E-3</v>
      </c>
      <c r="S1053" s="43">
        <f t="shared" si="232"/>
        <v>0.90268110300000004</v>
      </c>
      <c r="T1053" s="43">
        <f t="shared" si="233"/>
        <v>3.8115942029999998</v>
      </c>
      <c r="U1053" s="43">
        <f t="shared" si="234"/>
        <v>8.2800671369999996</v>
      </c>
      <c r="V1053" s="43">
        <f t="shared" si="235"/>
        <v>5.3447399999999995E-4</v>
      </c>
      <c r="W1053" s="230">
        <f t="shared" si="236"/>
        <v>4.8707337327105672E-2</v>
      </c>
      <c r="X1053" s="43">
        <f t="shared" si="237"/>
        <v>0.87814003200000001</v>
      </c>
      <c r="Y1053" s="43">
        <v>28.915673380000001</v>
      </c>
      <c r="Z1053" s="43">
        <f t="shared" si="226"/>
        <v>0</v>
      </c>
      <c r="AA1053" s="43">
        <f t="shared" si="227"/>
        <v>58427</v>
      </c>
      <c r="AB1053" s="43">
        <f t="shared" si="228"/>
        <v>20964</v>
      </c>
      <c r="AC1053" s="43">
        <f t="shared" si="238"/>
        <v>2.1965121632062434E-2</v>
      </c>
      <c r="AD1053" s="43">
        <f t="shared" si="239"/>
        <v>0.90685301037719301</v>
      </c>
      <c r="AF1053" s="43">
        <v>15.521083891445048</v>
      </c>
      <c r="AG1053" s="43">
        <v>7.4761539999999996E-3</v>
      </c>
      <c r="AH1053" s="43">
        <v>3.3513789999999998E-3</v>
      </c>
      <c r="AI1053" s="43">
        <v>0.90268110300000004</v>
      </c>
      <c r="AJ1053" s="43">
        <v>3.8115942029999998</v>
      </c>
      <c r="AK1053" s="43">
        <v>8.2800671369999996</v>
      </c>
      <c r="AL1053" s="43">
        <v>5.3447399999999995E-4</v>
      </c>
      <c r="AM1053" s="230">
        <v>0</v>
      </c>
      <c r="AN1053" s="43">
        <v>0.87814003200000001</v>
      </c>
    </row>
    <row r="1054" spans="1:40" x14ac:dyDescent="0.25">
      <c r="A1054" s="134">
        <v>1044</v>
      </c>
      <c r="B1054" s="134" t="s">
        <v>207</v>
      </c>
      <c r="C1054" s="134" t="s">
        <v>205</v>
      </c>
      <c r="D1054" s="134" t="s">
        <v>62</v>
      </c>
      <c r="E1054" s="134">
        <v>0</v>
      </c>
      <c r="F1054" s="134">
        <v>0</v>
      </c>
      <c r="G1054" s="134">
        <v>20</v>
      </c>
      <c r="H1054" s="134">
        <v>0</v>
      </c>
      <c r="I1054" s="200">
        <v>4.2433702581800001E-2</v>
      </c>
      <c r="J1054" s="134">
        <v>0</v>
      </c>
      <c r="K1054" s="134">
        <v>0</v>
      </c>
      <c r="L1054" s="42">
        <v>0.94849785407700005</v>
      </c>
      <c r="M1054" s="42">
        <v>0</v>
      </c>
      <c r="N1054" s="134">
        <v>0</v>
      </c>
      <c r="O1054" s="43" t="s">
        <v>665</v>
      </c>
      <c r="P1054" s="43">
        <f t="shared" si="229"/>
        <v>16.949272386598746</v>
      </c>
      <c r="Q1054" s="43">
        <f t="shared" si="230"/>
        <v>2.7181687999999999E-2</v>
      </c>
      <c r="R1054" s="43">
        <f t="shared" si="231"/>
        <v>1.4306150000000001E-3</v>
      </c>
      <c r="S1054" s="43">
        <f t="shared" si="232"/>
        <v>0.94849785399999997</v>
      </c>
      <c r="T1054" s="43">
        <f t="shared" si="233"/>
        <v>7</v>
      </c>
      <c r="U1054" s="43">
        <f t="shared" si="234"/>
        <v>24.052123550000001</v>
      </c>
      <c r="V1054" s="43">
        <f t="shared" si="235"/>
        <v>2.0287614424242431E-3</v>
      </c>
      <c r="W1054" s="230">
        <f t="shared" si="236"/>
        <v>4.8707337327105672E-2</v>
      </c>
      <c r="X1054" s="43">
        <f t="shared" si="237"/>
        <v>0.88538289384112134</v>
      </c>
      <c r="Y1054" s="43">
        <v>26.262279499999998</v>
      </c>
      <c r="Z1054" s="43">
        <f t="shared" si="226"/>
        <v>0</v>
      </c>
      <c r="AA1054" s="43">
        <f t="shared" si="227"/>
        <v>58427</v>
      </c>
      <c r="AB1054" s="43">
        <f t="shared" si="228"/>
        <v>20964</v>
      </c>
      <c r="AC1054" s="43">
        <f t="shared" si="238"/>
        <v>2.1965121632062434E-2</v>
      </c>
      <c r="AD1054" s="43">
        <f t="shared" si="239"/>
        <v>0.90685301037719301</v>
      </c>
      <c r="AF1054" s="43" t="e">
        <v>#DIV/0!</v>
      </c>
      <c r="AG1054" s="43">
        <v>2.7181687999999999E-2</v>
      </c>
      <c r="AH1054" s="43">
        <v>1.4306150000000001E-3</v>
      </c>
      <c r="AI1054" s="43">
        <v>0.94849785399999997</v>
      </c>
      <c r="AJ1054" s="43">
        <v>7</v>
      </c>
      <c r="AK1054" s="43">
        <v>24.052123550000001</v>
      </c>
      <c r="AL1054" s="43" t="e">
        <v>#DIV/0!</v>
      </c>
      <c r="AM1054" s="230" t="e">
        <v>#DIV/0!</v>
      </c>
      <c r="AN1054" s="43" t="e">
        <v>#DIV/0!</v>
      </c>
    </row>
    <row r="1055" spans="1:40" x14ac:dyDescent="0.25">
      <c r="A1055" s="134">
        <v>1045</v>
      </c>
      <c r="B1055" s="134" t="s">
        <v>207</v>
      </c>
      <c r="C1055" s="134" t="s">
        <v>205</v>
      </c>
      <c r="D1055" s="134" t="s">
        <v>62</v>
      </c>
      <c r="E1055" s="134">
        <v>0</v>
      </c>
      <c r="F1055" s="134">
        <v>0</v>
      </c>
      <c r="G1055" s="134">
        <v>34</v>
      </c>
      <c r="H1055" s="134">
        <v>0</v>
      </c>
      <c r="I1055" s="200">
        <v>6.9556403434800004E-2</v>
      </c>
      <c r="J1055" s="134">
        <v>0</v>
      </c>
      <c r="K1055" s="134">
        <v>0</v>
      </c>
      <c r="L1055" s="42">
        <v>0.95114942528699997</v>
      </c>
      <c r="M1055" s="42">
        <v>0</v>
      </c>
      <c r="N1055" s="134">
        <v>0</v>
      </c>
      <c r="O1055" s="43" t="s">
        <v>665</v>
      </c>
      <c r="P1055" s="43">
        <f t="shared" si="229"/>
        <v>16.949272386598746</v>
      </c>
      <c r="Q1055" s="43">
        <f t="shared" si="230"/>
        <v>3.1609195E-2</v>
      </c>
      <c r="R1055" s="43">
        <f t="shared" si="231"/>
        <v>1.4367819999999999E-3</v>
      </c>
      <c r="S1055" s="43">
        <f t="shared" si="232"/>
        <v>0.95114942499999999</v>
      </c>
      <c r="T1055" s="43">
        <f t="shared" si="233"/>
        <v>8</v>
      </c>
      <c r="U1055" s="43">
        <f t="shared" si="234"/>
        <v>22.789017340000001</v>
      </c>
      <c r="V1055" s="43">
        <f t="shared" si="235"/>
        <v>2.0287614424242431E-3</v>
      </c>
      <c r="W1055" s="230">
        <f t="shared" si="236"/>
        <v>4.8707337327105672E-2</v>
      </c>
      <c r="X1055" s="43">
        <f t="shared" si="237"/>
        <v>0.88538289384112134</v>
      </c>
      <c r="Y1055" s="43">
        <v>26.259458160000001</v>
      </c>
      <c r="Z1055" s="43">
        <f t="shared" si="226"/>
        <v>0</v>
      </c>
      <c r="AA1055" s="43">
        <f t="shared" si="227"/>
        <v>58427</v>
      </c>
      <c r="AB1055" s="43">
        <f t="shared" si="228"/>
        <v>20964</v>
      </c>
      <c r="AC1055" s="43">
        <f t="shared" si="238"/>
        <v>2.1965121632062434E-2</v>
      </c>
      <c r="AD1055" s="43">
        <f t="shared" si="239"/>
        <v>0.90685301037719301</v>
      </c>
      <c r="AF1055" s="43" t="e">
        <v>#DIV/0!</v>
      </c>
      <c r="AG1055" s="43">
        <v>3.1609195E-2</v>
      </c>
      <c r="AH1055" s="43">
        <v>1.4367819999999999E-3</v>
      </c>
      <c r="AI1055" s="43">
        <v>0.95114942499999999</v>
      </c>
      <c r="AJ1055" s="43">
        <v>8</v>
      </c>
      <c r="AK1055" s="43">
        <v>22.789017340000001</v>
      </c>
      <c r="AL1055" s="43" t="e">
        <v>#DIV/0!</v>
      </c>
      <c r="AM1055" s="230" t="e">
        <v>#DIV/0!</v>
      </c>
      <c r="AN1055" s="43" t="e">
        <v>#DIV/0!</v>
      </c>
    </row>
    <row r="1056" spans="1:40" x14ac:dyDescent="0.25">
      <c r="A1056" s="134">
        <v>1046</v>
      </c>
      <c r="B1056" s="134" t="s">
        <v>207</v>
      </c>
      <c r="C1056" s="134" t="s">
        <v>205</v>
      </c>
      <c r="D1056" s="134" t="s">
        <v>62</v>
      </c>
      <c r="E1056" s="134">
        <v>372</v>
      </c>
      <c r="F1056" s="134">
        <v>1063</v>
      </c>
      <c r="G1056" s="134">
        <v>73</v>
      </c>
      <c r="H1056" s="134">
        <v>7</v>
      </c>
      <c r="I1056" s="200">
        <v>0.152124114152</v>
      </c>
      <c r="J1056" s="134">
        <v>1070</v>
      </c>
      <c r="K1056" s="134">
        <v>7033.7303587099996</v>
      </c>
      <c r="L1056" s="42">
        <v>0.89942957713299998</v>
      </c>
      <c r="M1056" s="42">
        <v>1.84696569921E-2</v>
      </c>
      <c r="N1056" s="134">
        <v>0</v>
      </c>
      <c r="O1056" s="43" t="s">
        <v>665</v>
      </c>
      <c r="P1056" s="43">
        <f t="shared" si="229"/>
        <v>19.804749555243312</v>
      </c>
      <c r="Q1056" s="43">
        <f t="shared" si="230"/>
        <v>2.6787351000000001E-2</v>
      </c>
      <c r="R1056" s="43">
        <f t="shared" si="231"/>
        <v>1.0271802E-2</v>
      </c>
      <c r="S1056" s="43">
        <f t="shared" si="232"/>
        <v>0.89942957700000004</v>
      </c>
      <c r="T1056" s="43">
        <f t="shared" si="233"/>
        <v>4.185099846</v>
      </c>
      <c r="U1056" s="43">
        <f t="shared" si="234"/>
        <v>13.065438240000001</v>
      </c>
      <c r="V1056" s="43">
        <f t="shared" si="235"/>
        <v>3.4925100000000002E-4</v>
      </c>
      <c r="W1056" s="230">
        <f t="shared" si="236"/>
        <v>5.8162006100258443E-2</v>
      </c>
      <c r="X1056" s="43">
        <f t="shared" si="237"/>
        <v>0.91317609300000002</v>
      </c>
      <c r="Y1056" s="43">
        <v>26.275734329999999</v>
      </c>
      <c r="Z1056" s="43">
        <f t="shared" si="226"/>
        <v>0</v>
      </c>
      <c r="AA1056" s="43">
        <f t="shared" si="227"/>
        <v>58427</v>
      </c>
      <c r="AB1056" s="43">
        <f t="shared" si="228"/>
        <v>20964</v>
      </c>
      <c r="AC1056" s="43">
        <f t="shared" si="238"/>
        <v>2.1965121632062434E-2</v>
      </c>
      <c r="AD1056" s="43">
        <f t="shared" si="239"/>
        <v>0.90685301037719301</v>
      </c>
      <c r="AF1056" s="43">
        <v>19.804749555243312</v>
      </c>
      <c r="AG1056" s="43">
        <v>2.6787351000000001E-2</v>
      </c>
      <c r="AH1056" s="43">
        <v>1.0271802E-2</v>
      </c>
      <c r="AI1056" s="43">
        <v>0.89942957700000004</v>
      </c>
      <c r="AJ1056" s="43">
        <v>4.185099846</v>
      </c>
      <c r="AK1056" s="43">
        <v>13.065438240000001</v>
      </c>
      <c r="AL1056" s="43">
        <v>3.4925100000000002E-4</v>
      </c>
      <c r="AM1056" s="230">
        <v>5.8162006100258443E-2</v>
      </c>
      <c r="AN1056" s="43">
        <v>0.91317609300000002</v>
      </c>
    </row>
    <row r="1057" spans="1:40" x14ac:dyDescent="0.25">
      <c r="A1057" s="134">
        <v>1047</v>
      </c>
      <c r="B1057" s="134" t="s">
        <v>207</v>
      </c>
      <c r="C1057" s="134" t="s">
        <v>205</v>
      </c>
      <c r="D1057" s="134" t="s">
        <v>62</v>
      </c>
      <c r="E1057" s="134">
        <v>0</v>
      </c>
      <c r="F1057" s="134">
        <v>0</v>
      </c>
      <c r="G1057" s="134">
        <v>23</v>
      </c>
      <c r="H1057" s="134">
        <v>0</v>
      </c>
      <c r="I1057" s="200">
        <v>4.7405420790399999E-2</v>
      </c>
      <c r="J1057" s="134">
        <v>0</v>
      </c>
      <c r="K1057" s="134">
        <v>0</v>
      </c>
      <c r="L1057" s="42">
        <v>0.95056320400500005</v>
      </c>
      <c r="M1057" s="42">
        <v>0</v>
      </c>
      <c r="N1057" s="134">
        <v>0</v>
      </c>
      <c r="O1057" s="43" t="s">
        <v>665</v>
      </c>
      <c r="P1057" s="43">
        <f t="shared" si="229"/>
        <v>16.949272386598746</v>
      </c>
      <c r="Q1057" s="43">
        <f t="shared" si="230"/>
        <v>4.0050062999999997E-2</v>
      </c>
      <c r="R1057" s="43">
        <f t="shared" si="231"/>
        <v>1.2515639999999999E-3</v>
      </c>
      <c r="S1057" s="43">
        <f t="shared" si="232"/>
        <v>0.95056320400000005</v>
      </c>
      <c r="T1057" s="43">
        <f t="shared" si="233"/>
        <v>5.6666666670000003</v>
      </c>
      <c r="U1057" s="43">
        <f t="shared" si="234"/>
        <v>21.874261600000001</v>
      </c>
      <c r="V1057" s="43">
        <f t="shared" si="235"/>
        <v>2.0287614424242431E-3</v>
      </c>
      <c r="W1057" s="230">
        <f t="shared" si="236"/>
        <v>4.8707337327105672E-2</v>
      </c>
      <c r="X1057" s="43">
        <f t="shared" si="237"/>
        <v>0.88538289384112134</v>
      </c>
      <c r="Y1057" s="43">
        <v>26.262279499999998</v>
      </c>
      <c r="Z1057" s="43">
        <f t="shared" si="226"/>
        <v>0</v>
      </c>
      <c r="AA1057" s="43">
        <f t="shared" si="227"/>
        <v>58427</v>
      </c>
      <c r="AB1057" s="43">
        <f t="shared" si="228"/>
        <v>20964</v>
      </c>
      <c r="AC1057" s="43">
        <f t="shared" si="238"/>
        <v>2.1965121632062434E-2</v>
      </c>
      <c r="AD1057" s="43">
        <f t="shared" si="239"/>
        <v>0.90685301037719301</v>
      </c>
      <c r="AF1057" s="43" t="e">
        <v>#DIV/0!</v>
      </c>
      <c r="AG1057" s="43">
        <v>4.0050062999999997E-2</v>
      </c>
      <c r="AH1057" s="43">
        <v>1.2515639999999999E-3</v>
      </c>
      <c r="AI1057" s="43">
        <v>0.95056320400000005</v>
      </c>
      <c r="AJ1057" s="43">
        <v>5.6666666670000003</v>
      </c>
      <c r="AK1057" s="43">
        <v>21.874261600000001</v>
      </c>
      <c r="AL1057" s="43" t="e">
        <v>#DIV/0!</v>
      </c>
      <c r="AM1057" s="230" t="e">
        <v>#DIV/0!</v>
      </c>
      <c r="AN1057" s="43" t="e">
        <v>#DIV/0!</v>
      </c>
    </row>
    <row r="1058" spans="1:40" x14ac:dyDescent="0.25">
      <c r="A1058" s="134">
        <v>1048</v>
      </c>
      <c r="B1058" s="134" t="s">
        <v>207</v>
      </c>
      <c r="C1058" s="134" t="s">
        <v>205</v>
      </c>
      <c r="D1058" s="134" t="s">
        <v>62</v>
      </c>
      <c r="E1058" s="134">
        <v>176</v>
      </c>
      <c r="F1058" s="134">
        <v>503</v>
      </c>
      <c r="G1058" s="134">
        <v>110</v>
      </c>
      <c r="H1058" s="134">
        <v>0</v>
      </c>
      <c r="I1058" s="200">
        <v>0.22747433028</v>
      </c>
      <c r="J1058" s="134">
        <v>503</v>
      </c>
      <c r="K1058" s="134">
        <v>2211.2385137299998</v>
      </c>
      <c r="L1058" s="42">
        <v>0.92469623290699998</v>
      </c>
      <c r="M1058" s="42">
        <v>0</v>
      </c>
      <c r="N1058" s="134">
        <v>0</v>
      </c>
      <c r="O1058" s="43" t="s">
        <v>665</v>
      </c>
      <c r="P1058" s="43">
        <f t="shared" si="229"/>
        <v>20.132152812610492</v>
      </c>
      <c r="Q1058" s="43">
        <f t="shared" si="230"/>
        <v>2.0314623E-2</v>
      </c>
      <c r="R1058" s="43">
        <f t="shared" si="231"/>
        <v>9.3066369999999995E-3</v>
      </c>
      <c r="S1058" s="43">
        <f t="shared" si="232"/>
        <v>0.92469623300000003</v>
      </c>
      <c r="T1058" s="43">
        <f t="shared" si="233"/>
        <v>5.1810699590000002</v>
      </c>
      <c r="U1058" s="43">
        <f t="shared" si="234"/>
        <v>15.102185800000001</v>
      </c>
      <c r="V1058" s="43">
        <f t="shared" si="235"/>
        <v>5.5721600000000003E-4</v>
      </c>
      <c r="W1058" s="230">
        <f t="shared" si="236"/>
        <v>4.1943163973456266E-2</v>
      </c>
      <c r="X1058" s="43">
        <f t="shared" si="237"/>
        <v>0.91069348100000003</v>
      </c>
      <c r="Y1058" s="43">
        <v>26.262279499999998</v>
      </c>
      <c r="Z1058" s="43">
        <f t="shared" si="226"/>
        <v>0</v>
      </c>
      <c r="AA1058" s="43">
        <f t="shared" si="227"/>
        <v>58427</v>
      </c>
      <c r="AB1058" s="43">
        <f t="shared" si="228"/>
        <v>20964</v>
      </c>
      <c r="AC1058" s="43">
        <f t="shared" si="238"/>
        <v>2.1965121632062434E-2</v>
      </c>
      <c r="AD1058" s="43">
        <f t="shared" si="239"/>
        <v>0.90685301037719301</v>
      </c>
      <c r="AF1058" s="43">
        <v>20.132152812610492</v>
      </c>
      <c r="AG1058" s="43">
        <v>2.0314623E-2</v>
      </c>
      <c r="AH1058" s="43">
        <v>9.3066369999999995E-3</v>
      </c>
      <c r="AI1058" s="43">
        <v>0.92469623300000003</v>
      </c>
      <c r="AJ1058" s="43">
        <v>5.1810699590000002</v>
      </c>
      <c r="AK1058" s="43">
        <v>15.102185800000001</v>
      </c>
      <c r="AL1058" s="43">
        <v>5.5721600000000003E-4</v>
      </c>
      <c r="AM1058" s="230">
        <v>4.1943163973456266E-2</v>
      </c>
      <c r="AN1058" s="43">
        <v>0.91069348100000003</v>
      </c>
    </row>
    <row r="1059" spans="1:40" x14ac:dyDescent="0.25">
      <c r="A1059" s="134">
        <v>1049</v>
      </c>
      <c r="B1059" s="134" t="s">
        <v>207</v>
      </c>
      <c r="C1059" s="134" t="s">
        <v>205</v>
      </c>
      <c r="D1059" s="134" t="s">
        <v>62</v>
      </c>
      <c r="E1059" s="134">
        <v>465</v>
      </c>
      <c r="F1059" s="134">
        <v>1328</v>
      </c>
      <c r="G1059" s="134">
        <v>75</v>
      </c>
      <c r="H1059" s="134">
        <v>0</v>
      </c>
      <c r="I1059" s="200">
        <v>0.15555765797400001</v>
      </c>
      <c r="J1059" s="134">
        <v>1328</v>
      </c>
      <c r="K1059" s="134">
        <v>8537.0274745400002</v>
      </c>
      <c r="L1059" s="42">
        <v>0.93618288634900004</v>
      </c>
      <c r="M1059" s="42">
        <v>0</v>
      </c>
      <c r="N1059" s="134">
        <v>0</v>
      </c>
      <c r="O1059" s="43" t="s">
        <v>665</v>
      </c>
      <c r="P1059" s="43">
        <f t="shared" si="229"/>
        <v>20.656859473058528</v>
      </c>
      <c r="Q1059" s="43">
        <f t="shared" si="230"/>
        <v>1.9224394999999998E-2</v>
      </c>
      <c r="R1059" s="43">
        <f t="shared" si="231"/>
        <v>9.9916899999999993E-3</v>
      </c>
      <c r="S1059" s="43">
        <f t="shared" si="232"/>
        <v>0.93618288599999999</v>
      </c>
      <c r="T1059" s="43">
        <f t="shared" si="233"/>
        <v>5.510406583</v>
      </c>
      <c r="U1059" s="43">
        <f t="shared" si="234"/>
        <v>16.324466839999999</v>
      </c>
      <c r="V1059" s="43">
        <f t="shared" si="235"/>
        <v>1.441414E-3</v>
      </c>
      <c r="W1059" s="230">
        <f t="shared" si="236"/>
        <v>5.0904677009445058E-2</v>
      </c>
      <c r="X1059" s="43">
        <f t="shared" si="237"/>
        <v>0.92773963500000001</v>
      </c>
      <c r="Y1059" s="43">
        <v>26.262279499999998</v>
      </c>
      <c r="Z1059" s="43">
        <f t="shared" si="226"/>
        <v>0</v>
      </c>
      <c r="AA1059" s="43">
        <f t="shared" si="227"/>
        <v>58427</v>
      </c>
      <c r="AB1059" s="43">
        <f t="shared" si="228"/>
        <v>20964</v>
      </c>
      <c r="AC1059" s="43">
        <f t="shared" si="238"/>
        <v>2.1965121632062434E-2</v>
      </c>
      <c r="AD1059" s="43">
        <f t="shared" si="239"/>
        <v>0.90685301037719301</v>
      </c>
      <c r="AF1059" s="43">
        <v>20.656859473058528</v>
      </c>
      <c r="AG1059" s="43">
        <v>1.9224394999999998E-2</v>
      </c>
      <c r="AH1059" s="43">
        <v>9.9916899999999993E-3</v>
      </c>
      <c r="AI1059" s="43">
        <v>0.93618288599999999</v>
      </c>
      <c r="AJ1059" s="43">
        <v>5.510406583</v>
      </c>
      <c r="AK1059" s="43">
        <v>16.324466839999999</v>
      </c>
      <c r="AL1059" s="43">
        <v>1.441414E-3</v>
      </c>
      <c r="AM1059" s="230">
        <v>5.0904677009445058E-2</v>
      </c>
      <c r="AN1059" s="43">
        <v>0.92773963500000001</v>
      </c>
    </row>
    <row r="1060" spans="1:40" x14ac:dyDescent="0.25">
      <c r="A1060" s="134">
        <v>1050</v>
      </c>
      <c r="B1060" s="134" t="s">
        <v>207</v>
      </c>
      <c r="C1060" s="134" t="s">
        <v>205</v>
      </c>
      <c r="D1060" s="134" t="s">
        <v>62</v>
      </c>
      <c r="E1060" s="134">
        <v>409</v>
      </c>
      <c r="F1060" s="134">
        <v>1168</v>
      </c>
      <c r="G1060" s="134">
        <v>107</v>
      </c>
      <c r="H1060" s="134">
        <v>0</v>
      </c>
      <c r="I1060" s="200">
        <v>0.22073429455499999</v>
      </c>
      <c r="J1060" s="134">
        <v>1168</v>
      </c>
      <c r="K1060" s="134">
        <v>5291.42969085</v>
      </c>
      <c r="L1060" s="42">
        <v>0.94305455889699996</v>
      </c>
      <c r="M1060" s="42">
        <v>0</v>
      </c>
      <c r="N1060" s="134">
        <v>0</v>
      </c>
      <c r="O1060" s="43" t="s">
        <v>665</v>
      </c>
      <c r="P1060" s="43">
        <f t="shared" si="229"/>
        <v>20.73940380620197</v>
      </c>
      <c r="Q1060" s="43">
        <f t="shared" si="230"/>
        <v>1.8825972999999999E-2</v>
      </c>
      <c r="R1060" s="43">
        <f t="shared" si="231"/>
        <v>9.6440299999999996E-3</v>
      </c>
      <c r="S1060" s="43">
        <f t="shared" si="232"/>
        <v>0.94305455900000001</v>
      </c>
      <c r="T1060" s="43">
        <f t="shared" si="233"/>
        <v>5.4731638419999999</v>
      </c>
      <c r="U1060" s="43">
        <f t="shared" si="234"/>
        <v>15.867384469999999</v>
      </c>
      <c r="V1060" s="43">
        <f t="shared" si="235"/>
        <v>1.121052E-3</v>
      </c>
      <c r="W1060" s="230">
        <f t="shared" si="236"/>
        <v>4.3505443570119651E-2</v>
      </c>
      <c r="X1060" s="43">
        <f t="shared" si="237"/>
        <v>0.93342675399999997</v>
      </c>
      <c r="Y1060" s="43">
        <v>13.07610158</v>
      </c>
      <c r="Z1060" s="43">
        <f t="shared" si="226"/>
        <v>0</v>
      </c>
      <c r="AA1060" s="43">
        <f t="shared" si="227"/>
        <v>58427</v>
      </c>
      <c r="AB1060" s="43">
        <f t="shared" si="228"/>
        <v>20964</v>
      </c>
      <c r="AC1060" s="43">
        <f t="shared" si="238"/>
        <v>2.1965121632062434E-2</v>
      </c>
      <c r="AD1060" s="43">
        <f t="shared" si="239"/>
        <v>0.90685301037719301</v>
      </c>
      <c r="AF1060" s="43">
        <v>20.73940380620197</v>
      </c>
      <c r="AG1060" s="43">
        <v>1.8825972999999999E-2</v>
      </c>
      <c r="AH1060" s="43">
        <v>9.6440299999999996E-3</v>
      </c>
      <c r="AI1060" s="43">
        <v>0.94305455900000001</v>
      </c>
      <c r="AJ1060" s="43">
        <v>5.4731638419999999</v>
      </c>
      <c r="AK1060" s="43">
        <v>15.867384469999999</v>
      </c>
      <c r="AL1060" s="43">
        <v>1.121052E-3</v>
      </c>
      <c r="AM1060" s="230">
        <v>4.3505443570119651E-2</v>
      </c>
      <c r="AN1060" s="43">
        <v>0.93342675399999997</v>
      </c>
    </row>
    <row r="1061" spans="1:40" x14ac:dyDescent="0.25">
      <c r="A1061" s="134">
        <v>1051</v>
      </c>
      <c r="B1061" s="134" t="s">
        <v>207</v>
      </c>
      <c r="C1061" s="134" t="s">
        <v>205</v>
      </c>
      <c r="D1061" s="134" t="s">
        <v>62</v>
      </c>
      <c r="E1061" s="134">
        <v>78</v>
      </c>
      <c r="F1061" s="134">
        <v>223</v>
      </c>
      <c r="G1061" s="134">
        <v>33</v>
      </c>
      <c r="H1061" s="134">
        <v>4</v>
      </c>
      <c r="I1061" s="200">
        <v>6.7645734255499995E-2</v>
      </c>
      <c r="J1061" s="134">
        <v>227</v>
      </c>
      <c r="K1061" s="134">
        <v>3355.71788079</v>
      </c>
      <c r="L1061" s="42">
        <v>0.93023585842800005</v>
      </c>
      <c r="M1061" s="42">
        <v>4.8780487804899998E-2</v>
      </c>
      <c r="N1061" s="134">
        <v>0</v>
      </c>
      <c r="O1061" s="43" t="s">
        <v>665</v>
      </c>
      <c r="P1061" s="43">
        <f t="shared" si="229"/>
        <v>19.664777004843582</v>
      </c>
      <c r="Q1061" s="43">
        <f t="shared" si="230"/>
        <v>1.7682285999999998E-2</v>
      </c>
      <c r="R1061" s="43">
        <f t="shared" si="231"/>
        <v>8.1741550000000007E-3</v>
      </c>
      <c r="S1061" s="43">
        <f t="shared" si="232"/>
        <v>0.93023585799999997</v>
      </c>
      <c r="T1061" s="43">
        <f t="shared" si="233"/>
        <v>5.8699324319999997</v>
      </c>
      <c r="U1061" s="43">
        <f t="shared" si="234"/>
        <v>14.687405869999999</v>
      </c>
      <c r="V1061" s="43">
        <f t="shared" si="235"/>
        <v>2.0287614424242431E-3</v>
      </c>
      <c r="W1061" s="230">
        <f t="shared" si="236"/>
        <v>3.7596471885336276E-2</v>
      </c>
      <c r="X1061" s="43">
        <f t="shared" si="237"/>
        <v>0.87706725500000005</v>
      </c>
      <c r="Y1061" s="43">
        <v>12.951314440000001</v>
      </c>
      <c r="Z1061" s="43">
        <f t="shared" si="226"/>
        <v>0</v>
      </c>
      <c r="AA1061" s="43">
        <f t="shared" si="227"/>
        <v>58427</v>
      </c>
      <c r="AB1061" s="43">
        <f t="shared" si="228"/>
        <v>20964</v>
      </c>
      <c r="AC1061" s="43">
        <f t="shared" si="238"/>
        <v>2.1965121632062434E-2</v>
      </c>
      <c r="AD1061" s="43">
        <f t="shared" si="239"/>
        <v>0.90685301037719301</v>
      </c>
      <c r="AF1061" s="43">
        <v>19.664777004843582</v>
      </c>
      <c r="AG1061" s="43">
        <v>1.7682285999999998E-2</v>
      </c>
      <c r="AH1061" s="43">
        <v>8.1741550000000007E-3</v>
      </c>
      <c r="AI1061" s="43">
        <v>0.93023585799999997</v>
      </c>
      <c r="AJ1061" s="43">
        <v>5.8699324319999997</v>
      </c>
      <c r="AK1061" s="43">
        <v>14.687405869999999</v>
      </c>
      <c r="AL1061" s="43">
        <v>0</v>
      </c>
      <c r="AM1061" s="230">
        <v>3.7596471885336276E-2</v>
      </c>
      <c r="AN1061" s="43">
        <v>0.87706725500000005</v>
      </c>
    </row>
    <row r="1062" spans="1:40" x14ac:dyDescent="0.25">
      <c r="A1062" s="134">
        <v>1052</v>
      </c>
      <c r="B1062" s="134" t="s">
        <v>207</v>
      </c>
      <c r="C1062" s="134" t="s">
        <v>205</v>
      </c>
      <c r="D1062" s="134" t="s">
        <v>62</v>
      </c>
      <c r="E1062" s="134">
        <v>0</v>
      </c>
      <c r="F1062" s="134">
        <v>0</v>
      </c>
      <c r="G1062" s="134">
        <v>19</v>
      </c>
      <c r="H1062" s="134">
        <v>0</v>
      </c>
      <c r="I1062" s="200">
        <v>3.97137723626E-2</v>
      </c>
      <c r="J1062" s="134">
        <v>0</v>
      </c>
      <c r="K1062" s="134">
        <v>0</v>
      </c>
      <c r="L1062" s="42">
        <v>0.945086705202</v>
      </c>
      <c r="M1062" s="42">
        <v>0</v>
      </c>
      <c r="N1062" s="134">
        <v>0</v>
      </c>
      <c r="O1062" s="43" t="s">
        <v>665</v>
      </c>
      <c r="P1062" s="43">
        <f t="shared" si="229"/>
        <v>16.949272386598746</v>
      </c>
      <c r="Q1062" s="43">
        <f t="shared" si="230"/>
        <v>3.1791908000000001E-2</v>
      </c>
      <c r="R1062" s="43">
        <f t="shared" si="231"/>
        <v>1.2755221068376069E-2</v>
      </c>
      <c r="S1062" s="43">
        <f t="shared" si="232"/>
        <v>0.94508670500000003</v>
      </c>
      <c r="T1062" s="43">
        <f t="shared" si="233"/>
        <v>3.8086837425284572</v>
      </c>
      <c r="U1062" s="43">
        <f t="shared" si="234"/>
        <v>31.594117650000001</v>
      </c>
      <c r="V1062" s="43">
        <f t="shared" si="235"/>
        <v>2.0287614424242431E-3</v>
      </c>
      <c r="W1062" s="230">
        <f t="shared" si="236"/>
        <v>4.8707337327105672E-2</v>
      </c>
      <c r="X1062" s="43">
        <f t="shared" si="237"/>
        <v>0.88538289384112134</v>
      </c>
      <c r="Y1062" s="43">
        <v>13.99134063</v>
      </c>
      <c r="Z1062" s="43">
        <f t="shared" si="226"/>
        <v>0</v>
      </c>
      <c r="AA1062" s="43">
        <f t="shared" si="227"/>
        <v>58427</v>
      </c>
      <c r="AB1062" s="43">
        <f t="shared" si="228"/>
        <v>20964</v>
      </c>
      <c r="AC1062" s="43">
        <f t="shared" si="238"/>
        <v>2.1965121632062434E-2</v>
      </c>
      <c r="AD1062" s="43">
        <f t="shared" si="239"/>
        <v>0.90685301037719301</v>
      </c>
      <c r="AF1062" s="43" t="e">
        <v>#DIV/0!</v>
      </c>
      <c r="AG1062" s="43">
        <v>3.1791908000000001E-2</v>
      </c>
      <c r="AH1062" s="43">
        <v>0</v>
      </c>
      <c r="AI1062" s="43">
        <v>0.94508670500000003</v>
      </c>
      <c r="AJ1062" s="43" t="e">
        <v>#DIV/0!</v>
      </c>
      <c r="AK1062" s="43">
        <v>31.594117650000001</v>
      </c>
      <c r="AL1062" s="43" t="e">
        <v>#DIV/0!</v>
      </c>
      <c r="AM1062" s="230" t="e">
        <v>#DIV/0!</v>
      </c>
      <c r="AN1062" s="43" t="e">
        <v>#DIV/0!</v>
      </c>
    </row>
    <row r="1063" spans="1:40" x14ac:dyDescent="0.25">
      <c r="A1063" s="134">
        <v>1053</v>
      </c>
      <c r="B1063" s="134" t="s">
        <v>206</v>
      </c>
      <c r="C1063" s="134" t="s">
        <v>205</v>
      </c>
      <c r="D1063" s="134" t="s">
        <v>62</v>
      </c>
      <c r="E1063" s="134">
        <v>732</v>
      </c>
      <c r="F1063" s="134">
        <v>2285</v>
      </c>
      <c r="G1063" s="134">
        <v>1097</v>
      </c>
      <c r="H1063" s="134">
        <v>279</v>
      </c>
      <c r="I1063" s="200">
        <v>1.8489006700999999</v>
      </c>
      <c r="J1063" s="134">
        <v>2564</v>
      </c>
      <c r="K1063" s="134">
        <v>1386.77000959</v>
      </c>
      <c r="L1063" s="42">
        <v>0.92658831508299999</v>
      </c>
      <c r="M1063" s="42">
        <v>0.27596439169100001</v>
      </c>
      <c r="N1063" s="134">
        <v>0</v>
      </c>
      <c r="O1063" s="43" t="s">
        <v>665</v>
      </c>
      <c r="P1063" s="43">
        <f t="shared" si="229"/>
        <v>20.19489128460555</v>
      </c>
      <c r="Q1063" s="43">
        <f t="shared" si="230"/>
        <v>1.9509201E-2</v>
      </c>
      <c r="R1063" s="43">
        <f t="shared" si="231"/>
        <v>8.4110629999999999E-3</v>
      </c>
      <c r="S1063" s="43">
        <f t="shared" si="232"/>
        <v>0.92658831500000005</v>
      </c>
      <c r="T1063" s="43">
        <f t="shared" si="233"/>
        <v>4.6024219249999998</v>
      </c>
      <c r="U1063" s="43">
        <f t="shared" si="234"/>
        <v>16.1784365</v>
      </c>
      <c r="V1063" s="43">
        <f t="shared" si="235"/>
        <v>7.7797399999999996E-4</v>
      </c>
      <c r="W1063" s="230">
        <f t="shared" si="236"/>
        <v>5.2757678193997889E-2</v>
      </c>
      <c r="X1063" s="43">
        <f t="shared" si="237"/>
        <v>0.93659853100000001</v>
      </c>
      <c r="Y1063" s="43">
        <v>32.640813860000002</v>
      </c>
      <c r="Z1063" s="43">
        <f t="shared" si="226"/>
        <v>0</v>
      </c>
      <c r="AA1063" s="43">
        <f t="shared" si="227"/>
        <v>81011</v>
      </c>
      <c r="AB1063" s="43">
        <f t="shared" si="228"/>
        <v>29053</v>
      </c>
      <c r="AC1063" s="43">
        <f t="shared" si="238"/>
        <v>2.1404971853430661E-2</v>
      </c>
      <c r="AD1063" s="43">
        <f t="shared" si="239"/>
        <v>0.87688609315999988</v>
      </c>
      <c r="AF1063" s="43">
        <v>20.19489128460555</v>
      </c>
      <c r="AG1063" s="43">
        <v>1.9509201E-2</v>
      </c>
      <c r="AH1063" s="43">
        <v>8.4110629999999999E-3</v>
      </c>
      <c r="AI1063" s="43">
        <v>0.92658831500000005</v>
      </c>
      <c r="AJ1063" s="43">
        <v>4.6024219249999998</v>
      </c>
      <c r="AK1063" s="43">
        <v>16.1784365</v>
      </c>
      <c r="AL1063" s="43">
        <v>7.7797399999999996E-4</v>
      </c>
      <c r="AM1063" s="230">
        <v>5.2757678193997889E-2</v>
      </c>
      <c r="AN1063" s="43">
        <v>0.93659853100000001</v>
      </c>
    </row>
    <row r="1064" spans="1:40" x14ac:dyDescent="0.25">
      <c r="A1064" s="134">
        <v>1054</v>
      </c>
      <c r="B1064" s="134" t="s">
        <v>206</v>
      </c>
      <c r="C1064" s="134" t="s">
        <v>205</v>
      </c>
      <c r="D1064" s="134" t="s">
        <v>62</v>
      </c>
      <c r="E1064" s="134">
        <v>40</v>
      </c>
      <c r="F1064" s="134">
        <v>124</v>
      </c>
      <c r="G1064" s="134">
        <v>2813</v>
      </c>
      <c r="H1064" s="134">
        <v>75</v>
      </c>
      <c r="I1064" s="200">
        <v>4.7391145115400004</v>
      </c>
      <c r="J1064" s="134">
        <v>199</v>
      </c>
      <c r="K1064" s="134">
        <v>41.9909667756</v>
      </c>
      <c r="L1064" s="42">
        <v>0.95267363245199999</v>
      </c>
      <c r="M1064" s="42">
        <v>0.65217391304299999</v>
      </c>
      <c r="N1064" s="134">
        <v>0</v>
      </c>
      <c r="O1064" s="43" t="s">
        <v>665</v>
      </c>
      <c r="P1064" s="43">
        <f t="shared" si="229"/>
        <v>21.699512358899518</v>
      </c>
      <c r="Q1064" s="43">
        <f t="shared" si="230"/>
        <v>1.3354193E-2</v>
      </c>
      <c r="R1064" s="43">
        <f t="shared" si="231"/>
        <v>8.1019200000000005E-4</v>
      </c>
      <c r="S1064" s="43">
        <f t="shared" si="232"/>
        <v>0.95267363199999999</v>
      </c>
      <c r="T1064" s="43">
        <f t="shared" si="233"/>
        <v>6.9661016949999999</v>
      </c>
      <c r="U1064" s="43">
        <f t="shared" si="234"/>
        <v>19.899813389999998</v>
      </c>
      <c r="V1064" s="43">
        <f t="shared" si="235"/>
        <v>3.5018531387596905E-3</v>
      </c>
      <c r="W1064" s="230">
        <f t="shared" si="236"/>
        <v>4.1704774099140293E-2</v>
      </c>
      <c r="X1064" s="43">
        <f t="shared" si="237"/>
        <v>0.89674410100000002</v>
      </c>
      <c r="Y1064" s="43">
        <v>0.71808934099999999</v>
      </c>
      <c r="Z1064" s="43">
        <f t="shared" si="226"/>
        <v>0</v>
      </c>
      <c r="AA1064" s="43">
        <f t="shared" si="227"/>
        <v>81011</v>
      </c>
      <c r="AB1064" s="43">
        <f t="shared" si="228"/>
        <v>29053</v>
      </c>
      <c r="AC1064" s="43">
        <f t="shared" si="238"/>
        <v>2.1404971853430661E-2</v>
      </c>
      <c r="AD1064" s="43">
        <f t="shared" si="239"/>
        <v>0.87688609315999988</v>
      </c>
      <c r="AF1064" s="43">
        <v>21.699512358899518</v>
      </c>
      <c r="AG1064" s="43">
        <v>1.3354193E-2</v>
      </c>
      <c r="AH1064" s="43">
        <v>8.1019200000000005E-4</v>
      </c>
      <c r="AI1064" s="43">
        <v>0.95267363199999999</v>
      </c>
      <c r="AJ1064" s="43">
        <v>6.9661016949999999</v>
      </c>
      <c r="AK1064" s="43">
        <v>19.899813389999998</v>
      </c>
      <c r="AL1064" s="43">
        <v>0</v>
      </c>
      <c r="AM1064" s="230">
        <v>4.1704774099140293E-2</v>
      </c>
      <c r="AN1064" s="43">
        <v>0.89674410100000002</v>
      </c>
    </row>
    <row r="1065" spans="1:40" x14ac:dyDescent="0.25">
      <c r="A1065" s="134">
        <v>1055</v>
      </c>
      <c r="B1065" s="134" t="s">
        <v>206</v>
      </c>
      <c r="C1065" s="134" t="s">
        <v>205</v>
      </c>
      <c r="D1065" s="134" t="s">
        <v>62</v>
      </c>
      <c r="E1065" s="134">
        <v>771</v>
      </c>
      <c r="F1065" s="134">
        <v>2405</v>
      </c>
      <c r="G1065" s="134">
        <v>2880</v>
      </c>
      <c r="H1065" s="134">
        <v>298</v>
      </c>
      <c r="I1065" s="200">
        <v>4.8514759465999999</v>
      </c>
      <c r="J1065" s="134">
        <v>2703</v>
      </c>
      <c r="K1065" s="134">
        <v>557.15003635000005</v>
      </c>
      <c r="L1065" s="42">
        <v>0.91520961493700004</v>
      </c>
      <c r="M1065" s="42">
        <v>0.27876520112300002</v>
      </c>
      <c r="N1065" s="134">
        <v>0</v>
      </c>
      <c r="O1065" s="43" t="s">
        <v>665</v>
      </c>
      <c r="P1065" s="43">
        <f t="shared" si="229"/>
        <v>18.889984075508234</v>
      </c>
      <c r="Q1065" s="43">
        <f t="shared" si="230"/>
        <v>2.1252236000000001E-2</v>
      </c>
      <c r="R1065" s="43">
        <f t="shared" si="231"/>
        <v>1.0438639E-2</v>
      </c>
      <c r="S1065" s="43">
        <f t="shared" si="232"/>
        <v>0.91520961499999998</v>
      </c>
      <c r="T1065" s="43">
        <f t="shared" si="233"/>
        <v>4.0551022369999998</v>
      </c>
      <c r="U1065" s="43">
        <f t="shared" si="234"/>
        <v>13.631977239999999</v>
      </c>
      <c r="V1065" s="43">
        <f t="shared" si="235"/>
        <v>1.0303560000000001E-3</v>
      </c>
      <c r="W1065" s="230">
        <f t="shared" si="236"/>
        <v>5.7419544165117867E-2</v>
      </c>
      <c r="X1065" s="43">
        <f t="shared" si="237"/>
        <v>0.92947927900000005</v>
      </c>
      <c r="Y1065" s="43">
        <v>1.008943734</v>
      </c>
      <c r="Z1065" s="43">
        <f t="shared" si="226"/>
        <v>0</v>
      </c>
      <c r="AA1065" s="43">
        <f t="shared" si="227"/>
        <v>81011</v>
      </c>
      <c r="AB1065" s="43">
        <f t="shared" si="228"/>
        <v>29053</v>
      </c>
      <c r="AC1065" s="43">
        <f t="shared" si="238"/>
        <v>2.1404971853430661E-2</v>
      </c>
      <c r="AD1065" s="43">
        <f t="shared" si="239"/>
        <v>0.87688609315999988</v>
      </c>
      <c r="AF1065" s="43">
        <v>18.889984075508234</v>
      </c>
      <c r="AG1065" s="43">
        <v>2.1252236000000001E-2</v>
      </c>
      <c r="AH1065" s="43">
        <v>1.0438639E-2</v>
      </c>
      <c r="AI1065" s="43">
        <v>0.91520961499999998</v>
      </c>
      <c r="AJ1065" s="43">
        <v>4.0551022369999998</v>
      </c>
      <c r="AK1065" s="43">
        <v>13.631977239999999</v>
      </c>
      <c r="AL1065" s="43">
        <v>1.0303560000000001E-3</v>
      </c>
      <c r="AM1065" s="230">
        <v>5.7419544165117867E-2</v>
      </c>
      <c r="AN1065" s="43">
        <v>0.92947927900000005</v>
      </c>
    </row>
    <row r="1066" spans="1:40" x14ac:dyDescent="0.25">
      <c r="A1066" s="134">
        <v>1056</v>
      </c>
      <c r="B1066" s="134" t="s">
        <v>206</v>
      </c>
      <c r="C1066" s="134" t="s">
        <v>205</v>
      </c>
      <c r="D1066" s="134" t="s">
        <v>62</v>
      </c>
      <c r="E1066" s="134">
        <v>534</v>
      </c>
      <c r="F1066" s="134">
        <v>1668</v>
      </c>
      <c r="G1066" s="134">
        <v>130</v>
      </c>
      <c r="H1066" s="134">
        <v>276</v>
      </c>
      <c r="I1066" s="200">
        <v>0.21912692323999999</v>
      </c>
      <c r="J1066" s="134">
        <v>1944</v>
      </c>
      <c r="K1066" s="134">
        <v>8871.5707374400008</v>
      </c>
      <c r="L1066" s="42">
        <v>0.90019089046400003</v>
      </c>
      <c r="M1066" s="42">
        <v>0.34074074074100003</v>
      </c>
      <c r="N1066" s="134">
        <v>0</v>
      </c>
      <c r="O1066" s="43" t="s">
        <v>666</v>
      </c>
      <c r="P1066" s="43">
        <f t="shared" si="229"/>
        <v>17.479124237970364</v>
      </c>
      <c r="Q1066" s="43">
        <f t="shared" si="230"/>
        <v>1.507988E-2</v>
      </c>
      <c r="R1066" s="43">
        <f t="shared" si="231"/>
        <v>1.0580651999999999E-2</v>
      </c>
      <c r="S1066" s="43">
        <f t="shared" si="232"/>
        <v>0.90019088999999997</v>
      </c>
      <c r="T1066" s="43">
        <f t="shared" si="233"/>
        <v>3.10635481</v>
      </c>
      <c r="U1066" s="43">
        <f t="shared" si="234"/>
        <v>11.30843909</v>
      </c>
      <c r="V1066" s="43">
        <f t="shared" si="235"/>
        <v>2.2502889999999999E-3</v>
      </c>
      <c r="W1066" s="230">
        <f t="shared" si="236"/>
        <v>3.8450591479142579E-2</v>
      </c>
      <c r="X1066" s="43">
        <f t="shared" si="237"/>
        <v>0.93224228399999998</v>
      </c>
      <c r="Y1066" s="43">
        <v>42.020310299999998</v>
      </c>
      <c r="Z1066" s="43">
        <f t="shared" si="226"/>
        <v>0</v>
      </c>
      <c r="AA1066" s="43">
        <f t="shared" si="227"/>
        <v>81011</v>
      </c>
      <c r="AB1066" s="43">
        <f t="shared" si="228"/>
        <v>29053</v>
      </c>
      <c r="AC1066" s="43">
        <f t="shared" si="238"/>
        <v>2.1404971853430661E-2</v>
      </c>
      <c r="AD1066" s="43">
        <f t="shared" si="239"/>
        <v>0.87688609315999988</v>
      </c>
      <c r="AF1066" s="43">
        <v>17.479124237970364</v>
      </c>
      <c r="AG1066" s="43">
        <v>1.507988E-2</v>
      </c>
      <c r="AH1066" s="43">
        <v>1.0580651999999999E-2</v>
      </c>
      <c r="AI1066" s="43">
        <v>0.90019088999999997</v>
      </c>
      <c r="AJ1066" s="43">
        <v>3.10635481</v>
      </c>
      <c r="AK1066" s="43">
        <v>11.30843909</v>
      </c>
      <c r="AL1066" s="43">
        <v>2.2502889999999999E-3</v>
      </c>
      <c r="AM1066" s="230">
        <v>3.8450591479142579E-2</v>
      </c>
      <c r="AN1066" s="43">
        <v>0.93224228399999998</v>
      </c>
    </row>
    <row r="1067" spans="1:40" x14ac:dyDescent="0.25">
      <c r="A1067" s="134">
        <v>1057</v>
      </c>
      <c r="B1067" s="134" t="s">
        <v>206</v>
      </c>
      <c r="C1067" s="134" t="s">
        <v>205</v>
      </c>
      <c r="D1067" s="134" t="s">
        <v>62</v>
      </c>
      <c r="E1067" s="134">
        <v>188</v>
      </c>
      <c r="F1067" s="134">
        <v>586</v>
      </c>
      <c r="G1067" s="134">
        <v>150</v>
      </c>
      <c r="H1067" s="134">
        <v>84</v>
      </c>
      <c r="I1067" s="200">
        <v>0.25410441425699998</v>
      </c>
      <c r="J1067" s="134">
        <v>670</v>
      </c>
      <c r="K1067" s="134">
        <v>2636.7113769299999</v>
      </c>
      <c r="L1067" s="42">
        <v>0.90262273584099995</v>
      </c>
      <c r="M1067" s="42">
        <v>0.30882352941199998</v>
      </c>
      <c r="N1067" s="134">
        <v>0</v>
      </c>
      <c r="O1067" s="43" t="s">
        <v>666</v>
      </c>
      <c r="P1067" s="43">
        <f t="shared" si="229"/>
        <v>17.316658077737912</v>
      </c>
      <c r="Q1067" s="43">
        <f t="shared" si="230"/>
        <v>1.7039586999999998E-2</v>
      </c>
      <c r="R1067" s="43">
        <f t="shared" si="231"/>
        <v>1.0769608999999999E-2</v>
      </c>
      <c r="S1067" s="43">
        <f t="shared" si="232"/>
        <v>0.90262273599999998</v>
      </c>
      <c r="T1067" s="43">
        <f t="shared" si="233"/>
        <v>3.3273491210000001</v>
      </c>
      <c r="U1067" s="43">
        <f t="shared" si="234"/>
        <v>11.68517374</v>
      </c>
      <c r="V1067" s="43">
        <f t="shared" si="235"/>
        <v>1.210717E-3</v>
      </c>
      <c r="W1067" s="230">
        <f t="shared" si="236"/>
        <v>3.2399852608306579E-2</v>
      </c>
      <c r="X1067" s="43">
        <f t="shared" si="237"/>
        <v>0.91993472700000001</v>
      </c>
      <c r="Y1067" s="43">
        <v>56.978056639999998</v>
      </c>
      <c r="Z1067" s="43">
        <f t="shared" si="226"/>
        <v>0</v>
      </c>
      <c r="AA1067" s="43">
        <f t="shared" si="227"/>
        <v>81011</v>
      </c>
      <c r="AB1067" s="43">
        <f t="shared" si="228"/>
        <v>29053</v>
      </c>
      <c r="AC1067" s="43">
        <f t="shared" si="238"/>
        <v>2.1404971853430661E-2</v>
      </c>
      <c r="AD1067" s="43">
        <f t="shared" si="239"/>
        <v>0.87688609315999988</v>
      </c>
      <c r="AF1067" s="43">
        <v>17.316658077737912</v>
      </c>
      <c r="AG1067" s="43">
        <v>1.7039586999999998E-2</v>
      </c>
      <c r="AH1067" s="43">
        <v>1.0769608999999999E-2</v>
      </c>
      <c r="AI1067" s="43">
        <v>0.90262273599999998</v>
      </c>
      <c r="AJ1067" s="43">
        <v>3.3273491210000001</v>
      </c>
      <c r="AK1067" s="43">
        <v>11.68517374</v>
      </c>
      <c r="AL1067" s="43">
        <v>1.210717E-3</v>
      </c>
      <c r="AM1067" s="230">
        <v>3.2399852608306579E-2</v>
      </c>
      <c r="AN1067" s="43">
        <v>0.91993472700000001</v>
      </c>
    </row>
    <row r="1068" spans="1:40" x14ac:dyDescent="0.25">
      <c r="A1068" s="134">
        <v>1058</v>
      </c>
      <c r="B1068" s="134" t="s">
        <v>206</v>
      </c>
      <c r="C1068" s="134" t="s">
        <v>205</v>
      </c>
      <c r="D1068" s="134" t="s">
        <v>62</v>
      </c>
      <c r="E1068" s="134">
        <v>0</v>
      </c>
      <c r="F1068" s="134">
        <v>0</v>
      </c>
      <c r="G1068" s="134">
        <v>886</v>
      </c>
      <c r="H1068" s="134">
        <v>0</v>
      </c>
      <c r="I1068" s="200">
        <v>1.49142211718</v>
      </c>
      <c r="J1068" s="134">
        <v>0</v>
      </c>
      <c r="K1068" s="134">
        <v>0</v>
      </c>
      <c r="L1068" s="42">
        <v>0.98823529411800004</v>
      </c>
      <c r="M1068" s="42">
        <v>0</v>
      </c>
      <c r="N1068" s="134">
        <v>0</v>
      </c>
      <c r="O1068" s="43" t="s">
        <v>665</v>
      </c>
      <c r="P1068" s="43">
        <f t="shared" si="229"/>
        <v>15.938931331497235</v>
      </c>
      <c r="Q1068" s="43">
        <f t="shared" si="230"/>
        <v>2.1597879613138693E-2</v>
      </c>
      <c r="R1068" s="43">
        <f t="shared" si="231"/>
        <v>1.9117673115942022E-2</v>
      </c>
      <c r="S1068" s="43">
        <f t="shared" si="232"/>
        <v>0.98823529399999999</v>
      </c>
      <c r="T1068" s="43">
        <f t="shared" si="233"/>
        <v>3.4268881297463767</v>
      </c>
      <c r="U1068" s="43">
        <f t="shared" si="234"/>
        <v>35.420479299999997</v>
      </c>
      <c r="V1068" s="43">
        <f t="shared" si="235"/>
        <v>3.5018531387596905E-3</v>
      </c>
      <c r="W1068" s="230">
        <f t="shared" si="236"/>
        <v>4.2755492704656055E-2</v>
      </c>
      <c r="X1068" s="43">
        <f t="shared" si="237"/>
        <v>0.8898048499007094</v>
      </c>
      <c r="Y1068" s="43">
        <v>2.614140694</v>
      </c>
      <c r="Z1068" s="43">
        <f t="shared" si="226"/>
        <v>0</v>
      </c>
      <c r="AA1068" s="43">
        <f t="shared" si="227"/>
        <v>81011</v>
      </c>
      <c r="AB1068" s="43">
        <f t="shared" si="228"/>
        <v>29053</v>
      </c>
      <c r="AC1068" s="43">
        <f t="shared" si="238"/>
        <v>2.1404971853430661E-2</v>
      </c>
      <c r="AD1068" s="43">
        <f t="shared" si="239"/>
        <v>0.87688609315999988</v>
      </c>
      <c r="AF1068" s="43" t="e">
        <v>#DIV/0!</v>
      </c>
      <c r="AG1068" s="43">
        <v>0</v>
      </c>
      <c r="AH1068" s="43">
        <v>0</v>
      </c>
      <c r="AI1068" s="43">
        <v>0.98823529399999999</v>
      </c>
      <c r="AJ1068" s="43" t="e">
        <v>#DIV/0!</v>
      </c>
      <c r="AK1068" s="43">
        <v>35.420479299999997</v>
      </c>
      <c r="AL1068" s="43" t="e">
        <v>#DIV/0!</v>
      </c>
      <c r="AM1068" s="230" t="e">
        <v>#DIV/0!</v>
      </c>
      <c r="AN1068" s="43" t="e">
        <v>#DIV/0!</v>
      </c>
    </row>
    <row r="1069" spans="1:40" x14ac:dyDescent="0.25">
      <c r="A1069" s="134">
        <v>1059</v>
      </c>
      <c r="B1069" s="134" t="s">
        <v>206</v>
      </c>
      <c r="C1069" s="134" t="s">
        <v>205</v>
      </c>
      <c r="D1069" s="134" t="s">
        <v>62</v>
      </c>
      <c r="E1069" s="134">
        <v>285</v>
      </c>
      <c r="F1069" s="134">
        <v>890</v>
      </c>
      <c r="G1069" s="134">
        <v>228</v>
      </c>
      <c r="H1069" s="134">
        <v>59</v>
      </c>
      <c r="I1069" s="200">
        <v>0.38387348540600003</v>
      </c>
      <c r="J1069" s="134">
        <v>949</v>
      </c>
      <c r="K1069" s="134">
        <v>2472.16865994</v>
      </c>
      <c r="L1069" s="42">
        <v>0.928352914842</v>
      </c>
      <c r="M1069" s="42">
        <v>0.171511627907</v>
      </c>
      <c r="N1069" s="134">
        <v>0</v>
      </c>
      <c r="O1069" s="43" t="s">
        <v>665</v>
      </c>
      <c r="P1069" s="43">
        <f t="shared" si="229"/>
        <v>17.87715114421373</v>
      </c>
      <c r="Q1069" s="43">
        <f t="shared" si="230"/>
        <v>1.141027E-2</v>
      </c>
      <c r="R1069" s="43">
        <f t="shared" si="231"/>
        <v>1.0497678E-2</v>
      </c>
      <c r="S1069" s="43">
        <f t="shared" si="232"/>
        <v>0.92835291499999995</v>
      </c>
      <c r="T1069" s="43">
        <f t="shared" si="233"/>
        <v>3.539427012</v>
      </c>
      <c r="U1069" s="43">
        <f t="shared" si="234"/>
        <v>13.383710560000001</v>
      </c>
      <c r="V1069" s="43">
        <f t="shared" si="235"/>
        <v>7.2224699999999997E-4</v>
      </c>
      <c r="W1069" s="230">
        <f t="shared" si="236"/>
        <v>3.4550742743368015E-2</v>
      </c>
      <c r="X1069" s="43">
        <f t="shared" si="237"/>
        <v>0.93749634000000004</v>
      </c>
      <c r="Y1069" s="43">
        <v>39.53883123</v>
      </c>
      <c r="Z1069" s="43">
        <f t="shared" si="226"/>
        <v>0</v>
      </c>
      <c r="AA1069" s="43">
        <f t="shared" si="227"/>
        <v>81011</v>
      </c>
      <c r="AB1069" s="43">
        <f t="shared" si="228"/>
        <v>29053</v>
      </c>
      <c r="AC1069" s="43">
        <f t="shared" si="238"/>
        <v>2.1404971853430661E-2</v>
      </c>
      <c r="AD1069" s="43">
        <f t="shared" si="239"/>
        <v>0.87688609315999988</v>
      </c>
      <c r="AF1069" s="43">
        <v>17.87715114421373</v>
      </c>
      <c r="AG1069" s="43">
        <v>1.141027E-2</v>
      </c>
      <c r="AH1069" s="43">
        <v>1.0497678E-2</v>
      </c>
      <c r="AI1069" s="43">
        <v>0.92835291499999995</v>
      </c>
      <c r="AJ1069" s="43">
        <v>3.539427012</v>
      </c>
      <c r="AK1069" s="43">
        <v>13.383710560000001</v>
      </c>
      <c r="AL1069" s="43">
        <v>7.2224699999999997E-4</v>
      </c>
      <c r="AM1069" s="230">
        <v>3.4550742743368015E-2</v>
      </c>
      <c r="AN1069" s="43">
        <v>0.93749634000000004</v>
      </c>
    </row>
    <row r="1070" spans="1:40" x14ac:dyDescent="0.25">
      <c r="A1070" s="134">
        <v>1060</v>
      </c>
      <c r="B1070" s="134" t="s">
        <v>206</v>
      </c>
      <c r="C1070" s="134" t="s">
        <v>205</v>
      </c>
      <c r="D1070" s="134" t="s">
        <v>62</v>
      </c>
      <c r="E1070" s="134">
        <v>345</v>
      </c>
      <c r="F1070" s="134">
        <v>892</v>
      </c>
      <c r="G1070" s="134">
        <v>310</v>
      </c>
      <c r="H1070" s="134">
        <v>159</v>
      </c>
      <c r="I1070" s="200">
        <v>0.492602424885</v>
      </c>
      <c r="J1070" s="134">
        <v>1051</v>
      </c>
      <c r="K1070" s="134">
        <v>2133.5664359500001</v>
      </c>
      <c r="L1070" s="42">
        <v>0.88641531768199999</v>
      </c>
      <c r="M1070" s="42">
        <v>0.31547619047600001</v>
      </c>
      <c r="N1070" s="134">
        <v>0</v>
      </c>
      <c r="O1070" s="43" t="s">
        <v>666</v>
      </c>
      <c r="P1070" s="43">
        <f t="shared" si="229"/>
        <v>17.27047100074315</v>
      </c>
      <c r="Q1070" s="43">
        <f t="shared" si="230"/>
        <v>4.7514718999999997E-2</v>
      </c>
      <c r="R1070" s="43">
        <f t="shared" si="231"/>
        <v>1.2766466000000001E-2</v>
      </c>
      <c r="S1070" s="43">
        <f t="shared" si="232"/>
        <v>0.88641531799999995</v>
      </c>
      <c r="T1070" s="43">
        <f t="shared" si="233"/>
        <v>3.9500611499999998</v>
      </c>
      <c r="U1070" s="43">
        <f t="shared" si="234"/>
        <v>12.18327665</v>
      </c>
      <c r="V1070" s="43">
        <f t="shared" si="235"/>
        <v>2.7823600000000002E-3</v>
      </c>
      <c r="W1070" s="230">
        <f t="shared" si="236"/>
        <v>4.8399726762299859E-2</v>
      </c>
      <c r="X1070" s="43">
        <f t="shared" si="237"/>
        <v>0.92111094500000001</v>
      </c>
      <c r="Y1070" s="43">
        <v>23.577546099999999</v>
      </c>
      <c r="Z1070" s="43">
        <f t="shared" si="226"/>
        <v>0</v>
      </c>
      <c r="AA1070" s="43">
        <f t="shared" si="227"/>
        <v>81011</v>
      </c>
      <c r="AB1070" s="43">
        <f t="shared" si="228"/>
        <v>29053</v>
      </c>
      <c r="AC1070" s="43">
        <f t="shared" si="238"/>
        <v>2.1404971853430661E-2</v>
      </c>
      <c r="AD1070" s="43">
        <f t="shared" si="239"/>
        <v>0.87688609315999988</v>
      </c>
      <c r="AF1070" s="43">
        <v>17.27047100074315</v>
      </c>
      <c r="AG1070" s="43">
        <v>4.7514718999999997E-2</v>
      </c>
      <c r="AH1070" s="43">
        <v>1.2766466000000001E-2</v>
      </c>
      <c r="AI1070" s="43">
        <v>0.88641531799999995</v>
      </c>
      <c r="AJ1070" s="43">
        <v>3.9500611499999998</v>
      </c>
      <c r="AK1070" s="43">
        <v>12.18327665</v>
      </c>
      <c r="AL1070" s="43">
        <v>2.7823600000000002E-3</v>
      </c>
      <c r="AM1070" s="230">
        <v>4.8399726762299859E-2</v>
      </c>
      <c r="AN1070" s="43">
        <v>0.92111094500000001</v>
      </c>
    </row>
    <row r="1071" spans="1:40" x14ac:dyDescent="0.25">
      <c r="A1071" s="134">
        <v>1061</v>
      </c>
      <c r="B1071" s="134" t="s">
        <v>206</v>
      </c>
      <c r="C1071" s="134" t="s">
        <v>205</v>
      </c>
      <c r="D1071" s="134" t="s">
        <v>62</v>
      </c>
      <c r="E1071" s="134">
        <v>1160</v>
      </c>
      <c r="F1071" s="134">
        <v>3000</v>
      </c>
      <c r="G1071" s="134">
        <v>304</v>
      </c>
      <c r="H1071" s="134">
        <v>366</v>
      </c>
      <c r="I1071" s="200">
        <v>0.48399081279299999</v>
      </c>
      <c r="J1071" s="134">
        <v>3366</v>
      </c>
      <c r="K1071" s="134">
        <v>6954.6774670599998</v>
      </c>
      <c r="L1071" s="42">
        <v>0.88833594436600005</v>
      </c>
      <c r="M1071" s="42">
        <v>0.23984272608099999</v>
      </c>
      <c r="N1071" s="134">
        <v>0</v>
      </c>
      <c r="O1071" s="43" t="s">
        <v>666</v>
      </c>
      <c r="P1071" s="43">
        <f t="shared" si="229"/>
        <v>17.781008361232789</v>
      </c>
      <c r="Q1071" s="43">
        <f t="shared" si="230"/>
        <v>1.7182376999999999E-2</v>
      </c>
      <c r="R1071" s="43">
        <f t="shared" si="231"/>
        <v>1.149211E-2</v>
      </c>
      <c r="S1071" s="43">
        <f t="shared" si="232"/>
        <v>0.88833594400000004</v>
      </c>
      <c r="T1071" s="43">
        <f t="shared" si="233"/>
        <v>3.407491185</v>
      </c>
      <c r="U1071" s="43">
        <f t="shared" si="234"/>
        <v>11.313948030000001</v>
      </c>
      <c r="V1071" s="43">
        <f t="shared" si="235"/>
        <v>2.1452049999999999E-3</v>
      </c>
      <c r="W1071" s="230">
        <f t="shared" si="236"/>
        <v>4.1439363358514503E-2</v>
      </c>
      <c r="X1071" s="43">
        <f t="shared" si="237"/>
        <v>0.92928896800000005</v>
      </c>
      <c r="Y1071" s="43">
        <v>145.70262410000001</v>
      </c>
      <c r="Z1071" s="43">
        <f t="shared" si="226"/>
        <v>0</v>
      </c>
      <c r="AA1071" s="43">
        <f t="shared" si="227"/>
        <v>81011</v>
      </c>
      <c r="AB1071" s="43">
        <f t="shared" si="228"/>
        <v>29053</v>
      </c>
      <c r="AC1071" s="43">
        <f t="shared" si="238"/>
        <v>2.1404971853430661E-2</v>
      </c>
      <c r="AD1071" s="43">
        <f t="shared" si="239"/>
        <v>0.87688609315999988</v>
      </c>
      <c r="AF1071" s="43">
        <v>17.781008361232789</v>
      </c>
      <c r="AG1071" s="43">
        <v>1.7182376999999999E-2</v>
      </c>
      <c r="AH1071" s="43">
        <v>1.149211E-2</v>
      </c>
      <c r="AI1071" s="43">
        <v>0.88833594400000004</v>
      </c>
      <c r="AJ1071" s="43">
        <v>3.407491185</v>
      </c>
      <c r="AK1071" s="43">
        <v>11.313948030000001</v>
      </c>
      <c r="AL1071" s="43">
        <v>2.1452049999999999E-3</v>
      </c>
      <c r="AM1071" s="230">
        <v>4.1439363358514503E-2</v>
      </c>
      <c r="AN1071" s="43">
        <v>0.92928896800000005</v>
      </c>
    </row>
    <row r="1072" spans="1:40" x14ac:dyDescent="0.25">
      <c r="A1072" s="134">
        <v>1062</v>
      </c>
      <c r="B1072" s="134" t="s">
        <v>206</v>
      </c>
      <c r="C1072" s="134" t="s">
        <v>205</v>
      </c>
      <c r="D1072" s="134" t="s">
        <v>62</v>
      </c>
      <c r="E1072" s="134">
        <v>0</v>
      </c>
      <c r="F1072" s="134">
        <v>0</v>
      </c>
      <c r="G1072" s="134">
        <v>1280</v>
      </c>
      <c r="H1072" s="134">
        <v>60</v>
      </c>
      <c r="I1072" s="200">
        <v>2.0355200389500001</v>
      </c>
      <c r="J1072" s="134">
        <v>60</v>
      </c>
      <c r="K1072" s="134">
        <v>29.476496842</v>
      </c>
      <c r="L1072" s="42">
        <v>0.95686801820400003</v>
      </c>
      <c r="M1072" s="42">
        <v>1</v>
      </c>
      <c r="N1072" s="134">
        <v>0</v>
      </c>
      <c r="O1072" s="43" t="s">
        <v>665</v>
      </c>
      <c r="P1072" s="43">
        <f t="shared" si="229"/>
        <v>16.836389717508599</v>
      </c>
      <c r="Q1072" s="43">
        <f t="shared" si="230"/>
        <v>2.1597879613138693E-2</v>
      </c>
      <c r="R1072" s="43">
        <f t="shared" si="231"/>
        <v>8.2747199999999999E-4</v>
      </c>
      <c r="S1072" s="43">
        <f t="shared" si="232"/>
        <v>0.95686801799999999</v>
      </c>
      <c r="T1072" s="43">
        <f t="shared" si="233"/>
        <v>17.5</v>
      </c>
      <c r="U1072" s="43">
        <f t="shared" si="234"/>
        <v>14.49251684</v>
      </c>
      <c r="V1072" s="43">
        <f t="shared" si="235"/>
        <v>3.5018531387596905E-3</v>
      </c>
      <c r="W1072" s="230">
        <f t="shared" si="236"/>
        <v>4.2755492704656055E-2</v>
      </c>
      <c r="X1072" s="43">
        <f t="shared" si="237"/>
        <v>0.91278552400000001</v>
      </c>
      <c r="Y1072" s="43">
        <v>23.77064747</v>
      </c>
      <c r="Z1072" s="43">
        <f t="shared" si="226"/>
        <v>0</v>
      </c>
      <c r="AA1072" s="43">
        <f t="shared" si="227"/>
        <v>81011</v>
      </c>
      <c r="AB1072" s="43">
        <f t="shared" si="228"/>
        <v>29053</v>
      </c>
      <c r="AC1072" s="43">
        <f t="shared" si="238"/>
        <v>2.1404971853430661E-2</v>
      </c>
      <c r="AD1072" s="43">
        <f t="shared" si="239"/>
        <v>0.87688609315999988</v>
      </c>
      <c r="AF1072" s="43">
        <v>16.836389717508599</v>
      </c>
      <c r="AG1072" s="43">
        <v>0</v>
      </c>
      <c r="AH1072" s="43">
        <v>8.2747199999999999E-4</v>
      </c>
      <c r="AI1072" s="43">
        <v>0.95686801799999999</v>
      </c>
      <c r="AJ1072" s="43">
        <v>17.5</v>
      </c>
      <c r="AK1072" s="43">
        <v>14.49251684</v>
      </c>
      <c r="AL1072" s="43">
        <v>0</v>
      </c>
      <c r="AM1072" s="230">
        <v>0</v>
      </c>
      <c r="AN1072" s="43">
        <v>0.91278552400000001</v>
      </c>
    </row>
    <row r="1073" spans="1:40" x14ac:dyDescent="0.25">
      <c r="A1073" s="134">
        <v>1063</v>
      </c>
      <c r="B1073" s="134" t="s">
        <v>206</v>
      </c>
      <c r="C1073" s="134" t="s">
        <v>205</v>
      </c>
      <c r="D1073" s="134" t="s">
        <v>62</v>
      </c>
      <c r="E1073" s="134">
        <v>656</v>
      </c>
      <c r="F1073" s="134">
        <v>1696</v>
      </c>
      <c r="G1073" s="134">
        <v>86</v>
      </c>
      <c r="H1073" s="134">
        <v>60</v>
      </c>
      <c r="I1073" s="200">
        <v>0.13655220350200001</v>
      </c>
      <c r="J1073" s="134">
        <v>1756</v>
      </c>
      <c r="K1073" s="134">
        <v>12859.550816200001</v>
      </c>
      <c r="L1073" s="42">
        <v>0.89589056128800004</v>
      </c>
      <c r="M1073" s="42">
        <v>8.3798882681600004E-2</v>
      </c>
      <c r="N1073" s="134">
        <v>0</v>
      </c>
      <c r="O1073" s="43" t="s">
        <v>666</v>
      </c>
      <c r="P1073" s="43">
        <f t="shared" si="229"/>
        <v>17.388081852790751</v>
      </c>
      <c r="Q1073" s="43">
        <f t="shared" si="230"/>
        <v>2.0226546000000001E-2</v>
      </c>
      <c r="R1073" s="43">
        <f t="shared" si="231"/>
        <v>1.2496699E-2</v>
      </c>
      <c r="S1073" s="43">
        <f t="shared" si="232"/>
        <v>0.89589056099999997</v>
      </c>
      <c r="T1073" s="43">
        <f t="shared" si="233"/>
        <v>3.7108764230000002</v>
      </c>
      <c r="U1073" s="43">
        <f t="shared" si="234"/>
        <v>11.743581300000001</v>
      </c>
      <c r="V1073" s="43">
        <f t="shared" si="235"/>
        <v>1.909256E-3</v>
      </c>
      <c r="W1073" s="230">
        <f t="shared" si="236"/>
        <v>4.5688365701499437E-2</v>
      </c>
      <c r="X1073" s="43">
        <f t="shared" si="237"/>
        <v>0.92434726599999995</v>
      </c>
      <c r="Y1073" s="43">
        <v>24.4894994</v>
      </c>
      <c r="Z1073" s="43">
        <f t="shared" si="226"/>
        <v>0</v>
      </c>
      <c r="AA1073" s="43">
        <f t="shared" si="227"/>
        <v>81011</v>
      </c>
      <c r="AB1073" s="43">
        <f t="shared" si="228"/>
        <v>29053</v>
      </c>
      <c r="AC1073" s="43">
        <f t="shared" si="238"/>
        <v>2.1404971853430661E-2</v>
      </c>
      <c r="AD1073" s="43">
        <f t="shared" si="239"/>
        <v>0.87688609315999988</v>
      </c>
      <c r="AF1073" s="43">
        <v>17.388081852790751</v>
      </c>
      <c r="AG1073" s="43">
        <v>2.0226546000000001E-2</v>
      </c>
      <c r="AH1073" s="43">
        <v>1.2496699E-2</v>
      </c>
      <c r="AI1073" s="43">
        <v>0.89589056099999997</v>
      </c>
      <c r="AJ1073" s="43">
        <v>3.7108764230000002</v>
      </c>
      <c r="AK1073" s="43">
        <v>11.743581300000001</v>
      </c>
      <c r="AL1073" s="43">
        <v>1.909256E-3</v>
      </c>
      <c r="AM1073" s="230">
        <v>4.5688365701499437E-2</v>
      </c>
      <c r="AN1073" s="43">
        <v>0.92434726599999995</v>
      </c>
    </row>
    <row r="1074" spans="1:40" x14ac:dyDescent="0.25">
      <c r="A1074" s="134">
        <v>1064</v>
      </c>
      <c r="B1074" s="134" t="s">
        <v>206</v>
      </c>
      <c r="C1074" s="134" t="s">
        <v>205</v>
      </c>
      <c r="D1074" s="134" t="s">
        <v>62</v>
      </c>
      <c r="E1074" s="134">
        <v>3</v>
      </c>
      <c r="F1074" s="134">
        <v>8</v>
      </c>
      <c r="G1074" s="134">
        <v>80</v>
      </c>
      <c r="H1074" s="134">
        <v>1311</v>
      </c>
      <c r="I1074" s="200">
        <v>0.12404298141</v>
      </c>
      <c r="J1074" s="134">
        <v>1319</v>
      </c>
      <c r="K1074" s="134">
        <v>10633.4109758</v>
      </c>
      <c r="L1074" s="42">
        <v>0.889066492687</v>
      </c>
      <c r="M1074" s="42">
        <v>0.997716894977</v>
      </c>
      <c r="N1074" s="134">
        <v>0</v>
      </c>
      <c r="O1074" s="43" t="s">
        <v>666</v>
      </c>
      <c r="P1074" s="43">
        <f t="shared" si="229"/>
        <v>14.96957200412522</v>
      </c>
      <c r="Q1074" s="43">
        <f t="shared" si="230"/>
        <v>1.524493E-2</v>
      </c>
      <c r="R1074" s="43">
        <f t="shared" si="231"/>
        <v>7.916055E-3</v>
      </c>
      <c r="S1074" s="43">
        <f t="shared" si="232"/>
        <v>0.88906649299999996</v>
      </c>
      <c r="T1074" s="43">
        <f t="shared" si="233"/>
        <v>2.5276508230000001</v>
      </c>
      <c r="U1074" s="43">
        <f t="shared" si="234"/>
        <v>8.1666066120000007</v>
      </c>
      <c r="V1074" s="43">
        <f t="shared" si="235"/>
        <v>3.8574920000000001E-3</v>
      </c>
      <c r="W1074" s="230">
        <f t="shared" si="236"/>
        <v>1.8512591594373792E-2</v>
      </c>
      <c r="X1074" s="43">
        <f t="shared" si="237"/>
        <v>0.93595552900000001</v>
      </c>
      <c r="Y1074" s="43">
        <v>63.582043089999999</v>
      </c>
      <c r="Z1074" s="43">
        <f t="shared" si="226"/>
        <v>0</v>
      </c>
      <c r="AA1074" s="43">
        <f t="shared" si="227"/>
        <v>81011</v>
      </c>
      <c r="AB1074" s="43">
        <f t="shared" si="228"/>
        <v>29053</v>
      </c>
      <c r="AC1074" s="43">
        <f t="shared" si="238"/>
        <v>2.1404971853430661E-2</v>
      </c>
      <c r="AD1074" s="43">
        <f t="shared" si="239"/>
        <v>0.87688609315999988</v>
      </c>
      <c r="AF1074" s="43">
        <v>14.96957200412522</v>
      </c>
      <c r="AG1074" s="43">
        <v>1.524493E-2</v>
      </c>
      <c r="AH1074" s="43">
        <v>7.916055E-3</v>
      </c>
      <c r="AI1074" s="43">
        <v>0.88906649299999996</v>
      </c>
      <c r="AJ1074" s="43">
        <v>2.5276508230000001</v>
      </c>
      <c r="AK1074" s="43">
        <v>8.1666066120000007</v>
      </c>
      <c r="AL1074" s="43">
        <v>3.8574920000000001E-3</v>
      </c>
      <c r="AM1074" s="230">
        <v>1.8512591594373792E-2</v>
      </c>
      <c r="AN1074" s="43">
        <v>0.93595552900000001</v>
      </c>
    </row>
    <row r="1075" spans="1:40" x14ac:dyDescent="0.25">
      <c r="A1075" s="134">
        <v>1065</v>
      </c>
      <c r="B1075" s="134" t="s">
        <v>206</v>
      </c>
      <c r="C1075" s="134" t="s">
        <v>205</v>
      </c>
      <c r="D1075" s="134" t="s">
        <v>62</v>
      </c>
      <c r="E1075" s="134">
        <v>777</v>
      </c>
      <c r="F1075" s="134">
        <v>2121</v>
      </c>
      <c r="G1075" s="134">
        <v>191</v>
      </c>
      <c r="H1075" s="134">
        <v>118</v>
      </c>
      <c r="I1075" s="200">
        <v>0.295247428205</v>
      </c>
      <c r="J1075" s="134">
        <v>2239</v>
      </c>
      <c r="K1075" s="134">
        <v>7583.4699513300002</v>
      </c>
      <c r="L1075" s="42">
        <v>0.86954552766100002</v>
      </c>
      <c r="M1075" s="42">
        <v>0.13184357541899999</v>
      </c>
      <c r="N1075" s="134">
        <v>0</v>
      </c>
      <c r="O1075" s="43" t="s">
        <v>666</v>
      </c>
      <c r="P1075" s="43">
        <f t="shared" si="229"/>
        <v>16.33474466705702</v>
      </c>
      <c r="Q1075" s="43">
        <f t="shared" si="230"/>
        <v>2.3180193000000002E-2</v>
      </c>
      <c r="R1075" s="43">
        <f t="shared" si="231"/>
        <v>1.2375802999999999E-2</v>
      </c>
      <c r="S1075" s="43">
        <f t="shared" si="232"/>
        <v>0.86954552799999996</v>
      </c>
      <c r="T1075" s="43">
        <f t="shared" si="233"/>
        <v>2.8224840260000001</v>
      </c>
      <c r="U1075" s="43">
        <f t="shared" si="234"/>
        <v>9.8881446139999998</v>
      </c>
      <c r="V1075" s="43">
        <f t="shared" si="235"/>
        <v>2.3065939999999999E-3</v>
      </c>
      <c r="W1075" s="230">
        <f t="shared" si="236"/>
        <v>4.75795243977764E-2</v>
      </c>
      <c r="X1075" s="43">
        <f t="shared" si="237"/>
        <v>0.91554393099999998</v>
      </c>
      <c r="Y1075" s="43">
        <v>83.172289689999999</v>
      </c>
      <c r="Z1075" s="43">
        <f t="shared" si="226"/>
        <v>0</v>
      </c>
      <c r="AA1075" s="43">
        <f t="shared" si="227"/>
        <v>81011</v>
      </c>
      <c r="AB1075" s="43">
        <f t="shared" si="228"/>
        <v>29053</v>
      </c>
      <c r="AC1075" s="43">
        <f t="shared" si="238"/>
        <v>2.1404971853430661E-2</v>
      </c>
      <c r="AD1075" s="43">
        <f t="shared" si="239"/>
        <v>0.87688609315999988</v>
      </c>
      <c r="AF1075" s="43">
        <v>16.33474466705702</v>
      </c>
      <c r="AG1075" s="43">
        <v>2.3180193000000002E-2</v>
      </c>
      <c r="AH1075" s="43">
        <v>1.2375802999999999E-2</v>
      </c>
      <c r="AI1075" s="43">
        <v>0.86954552799999996</v>
      </c>
      <c r="AJ1075" s="43">
        <v>2.8224840260000001</v>
      </c>
      <c r="AK1075" s="43">
        <v>9.8881446139999998</v>
      </c>
      <c r="AL1075" s="43">
        <v>2.3065939999999999E-3</v>
      </c>
      <c r="AM1075" s="230">
        <v>4.75795243977764E-2</v>
      </c>
      <c r="AN1075" s="43">
        <v>0.91554393099999998</v>
      </c>
    </row>
    <row r="1076" spans="1:40" x14ac:dyDescent="0.25">
      <c r="A1076" s="134">
        <v>1066</v>
      </c>
      <c r="B1076" s="134" t="s">
        <v>206</v>
      </c>
      <c r="C1076" s="134" t="s">
        <v>205</v>
      </c>
      <c r="D1076" s="134" t="s">
        <v>62</v>
      </c>
      <c r="E1076" s="134">
        <v>111</v>
      </c>
      <c r="F1076" s="134">
        <v>302</v>
      </c>
      <c r="G1076" s="134">
        <v>32</v>
      </c>
      <c r="H1076" s="134">
        <v>106</v>
      </c>
      <c r="I1076" s="200">
        <v>4.8765659250400002E-2</v>
      </c>
      <c r="J1076" s="134">
        <v>408</v>
      </c>
      <c r="K1076" s="134">
        <v>8366.5433067400008</v>
      </c>
      <c r="L1076" s="42">
        <v>0.87855337965900004</v>
      </c>
      <c r="M1076" s="42">
        <v>0.48847926267300001</v>
      </c>
      <c r="N1076" s="134">
        <v>0</v>
      </c>
      <c r="O1076" s="43" t="s">
        <v>666</v>
      </c>
      <c r="P1076" s="43">
        <f t="shared" si="229"/>
        <v>16.046686875981905</v>
      </c>
      <c r="Q1076" s="43">
        <f t="shared" si="230"/>
        <v>1.6496296000000001E-2</v>
      </c>
      <c r="R1076" s="43">
        <f t="shared" si="231"/>
        <v>1.1212887E-2</v>
      </c>
      <c r="S1076" s="43">
        <f t="shared" si="232"/>
        <v>0.87855338000000005</v>
      </c>
      <c r="T1076" s="43">
        <f t="shared" si="233"/>
        <v>3.0713830469999999</v>
      </c>
      <c r="U1076" s="43">
        <f t="shared" si="234"/>
        <v>9.8055344059999996</v>
      </c>
      <c r="V1076" s="43">
        <f t="shared" si="235"/>
        <v>2.475728E-3</v>
      </c>
      <c r="W1076" s="230">
        <f t="shared" si="236"/>
        <v>2.7766990291262134E-2</v>
      </c>
      <c r="X1076" s="43">
        <f t="shared" si="237"/>
        <v>0.90364077700000001</v>
      </c>
      <c r="Y1076" s="43">
        <v>96.679328389999995</v>
      </c>
      <c r="Z1076" s="43">
        <f t="shared" si="226"/>
        <v>0</v>
      </c>
      <c r="AA1076" s="43">
        <f t="shared" si="227"/>
        <v>81011</v>
      </c>
      <c r="AB1076" s="43">
        <f t="shared" si="228"/>
        <v>29053</v>
      </c>
      <c r="AC1076" s="43">
        <f t="shared" si="238"/>
        <v>2.1404971853430661E-2</v>
      </c>
      <c r="AD1076" s="43">
        <f t="shared" si="239"/>
        <v>0.87688609315999988</v>
      </c>
      <c r="AF1076" s="43">
        <v>16.046686875981905</v>
      </c>
      <c r="AG1076" s="43">
        <v>1.6496296000000001E-2</v>
      </c>
      <c r="AH1076" s="43">
        <v>1.1212887E-2</v>
      </c>
      <c r="AI1076" s="43">
        <v>0.87855338000000005</v>
      </c>
      <c r="AJ1076" s="43">
        <v>3.0713830469999999</v>
      </c>
      <c r="AK1076" s="43">
        <v>9.8055344059999996</v>
      </c>
      <c r="AL1076" s="43">
        <v>2.475728E-3</v>
      </c>
      <c r="AM1076" s="230">
        <v>2.7766990291262134E-2</v>
      </c>
      <c r="AN1076" s="43">
        <v>0.90364077700000001</v>
      </c>
    </row>
    <row r="1077" spans="1:40" x14ac:dyDescent="0.25">
      <c r="A1077" s="134">
        <v>1067</v>
      </c>
      <c r="B1077" s="134" t="s">
        <v>206</v>
      </c>
      <c r="C1077" s="134" t="s">
        <v>205</v>
      </c>
      <c r="D1077" s="134" t="s">
        <v>62</v>
      </c>
      <c r="E1077" s="134">
        <v>832</v>
      </c>
      <c r="F1077" s="134">
        <v>2270</v>
      </c>
      <c r="G1077" s="134">
        <v>153</v>
      </c>
      <c r="H1077" s="134">
        <v>202</v>
      </c>
      <c r="I1077" s="200">
        <v>0.23631579554599999</v>
      </c>
      <c r="J1077" s="134">
        <v>2472</v>
      </c>
      <c r="K1077" s="134">
        <v>10460.5787958</v>
      </c>
      <c r="L1077" s="42">
        <v>0.86162653593100003</v>
      </c>
      <c r="M1077" s="42">
        <v>0.19535783365600001</v>
      </c>
      <c r="N1077" s="134">
        <v>0</v>
      </c>
      <c r="O1077" s="43" t="s">
        <v>666</v>
      </c>
      <c r="P1077" s="43">
        <f t="shared" si="229"/>
        <v>16.61718873316514</v>
      </c>
      <c r="Q1077" s="43">
        <f t="shared" si="230"/>
        <v>2.1423252E-2</v>
      </c>
      <c r="R1077" s="43">
        <f t="shared" si="231"/>
        <v>1.2327345999999999E-2</v>
      </c>
      <c r="S1077" s="43">
        <f t="shared" si="232"/>
        <v>0.86162653600000005</v>
      </c>
      <c r="T1077" s="43">
        <f t="shared" si="233"/>
        <v>2.8257418599999999</v>
      </c>
      <c r="U1077" s="43">
        <f t="shared" si="234"/>
        <v>9.9278814210000004</v>
      </c>
      <c r="V1077" s="43">
        <f t="shared" si="235"/>
        <v>2.8820149999999999E-3</v>
      </c>
      <c r="W1077" s="230">
        <f t="shared" si="236"/>
        <v>4.1007437457741713E-2</v>
      </c>
      <c r="X1077" s="43">
        <f t="shared" si="237"/>
        <v>0.89873225199999995</v>
      </c>
      <c r="Y1077" s="43">
        <v>96.340653649999993</v>
      </c>
      <c r="Z1077" s="43">
        <f t="shared" si="226"/>
        <v>0</v>
      </c>
      <c r="AA1077" s="43">
        <f t="shared" si="227"/>
        <v>81011</v>
      </c>
      <c r="AB1077" s="43">
        <f t="shared" si="228"/>
        <v>29053</v>
      </c>
      <c r="AC1077" s="43">
        <f t="shared" si="238"/>
        <v>2.1404971853430661E-2</v>
      </c>
      <c r="AD1077" s="43">
        <f t="shared" si="239"/>
        <v>0.87688609315999988</v>
      </c>
      <c r="AF1077" s="43">
        <v>16.61718873316514</v>
      </c>
      <c r="AG1077" s="43">
        <v>2.1423252E-2</v>
      </c>
      <c r="AH1077" s="43">
        <v>1.2327345999999999E-2</v>
      </c>
      <c r="AI1077" s="43">
        <v>0.86162653600000005</v>
      </c>
      <c r="AJ1077" s="43">
        <v>2.8257418599999999</v>
      </c>
      <c r="AK1077" s="43">
        <v>9.9278814210000004</v>
      </c>
      <c r="AL1077" s="43">
        <v>2.8820149999999999E-3</v>
      </c>
      <c r="AM1077" s="230">
        <v>4.1007437457741713E-2</v>
      </c>
      <c r="AN1077" s="43">
        <v>0.89873225199999995</v>
      </c>
    </row>
    <row r="1078" spans="1:40" x14ac:dyDescent="0.25">
      <c r="A1078" s="134">
        <v>1068</v>
      </c>
      <c r="B1078" s="134" t="s">
        <v>206</v>
      </c>
      <c r="C1078" s="134" t="s">
        <v>205</v>
      </c>
      <c r="D1078" s="134" t="s">
        <v>62</v>
      </c>
      <c r="E1078" s="134">
        <v>68</v>
      </c>
      <c r="F1078" s="134">
        <v>185</v>
      </c>
      <c r="G1078" s="134">
        <v>66</v>
      </c>
      <c r="H1078" s="134">
        <v>1899</v>
      </c>
      <c r="I1078" s="200">
        <v>0.10244690089900001</v>
      </c>
      <c r="J1078" s="134">
        <v>2084</v>
      </c>
      <c r="K1078" s="134">
        <v>20342.245414000001</v>
      </c>
      <c r="L1078" s="42">
        <v>0.88743155582599997</v>
      </c>
      <c r="M1078" s="42">
        <v>0.96542958820500002</v>
      </c>
      <c r="N1078" s="134">
        <v>0</v>
      </c>
      <c r="O1078" s="43" t="s">
        <v>664</v>
      </c>
      <c r="P1078" s="43">
        <f t="shared" si="229"/>
        <v>15.996103151896444</v>
      </c>
      <c r="Q1078" s="43">
        <f t="shared" si="230"/>
        <v>1.8753506E-2</v>
      </c>
      <c r="R1078" s="43">
        <f t="shared" si="231"/>
        <v>6.9372569999999996E-3</v>
      </c>
      <c r="S1078" s="43">
        <f t="shared" si="232"/>
        <v>0.88743155600000001</v>
      </c>
      <c r="T1078" s="43">
        <f t="shared" si="233"/>
        <v>3.070434536</v>
      </c>
      <c r="U1078" s="43">
        <f t="shared" si="234"/>
        <v>10.814661340000001</v>
      </c>
      <c r="V1078" s="43">
        <f t="shared" si="235"/>
        <v>4.0866909999999999E-3</v>
      </c>
      <c r="W1078" s="230">
        <f t="shared" si="236"/>
        <v>2.2828526446253307E-2</v>
      </c>
      <c r="X1078" s="43">
        <f t="shared" si="237"/>
        <v>0.91685090300000005</v>
      </c>
      <c r="Y1078" s="43">
        <v>96.482592479999994</v>
      </c>
      <c r="Z1078" s="43">
        <f t="shared" si="226"/>
        <v>0</v>
      </c>
      <c r="AA1078" s="43">
        <f t="shared" si="227"/>
        <v>81011</v>
      </c>
      <c r="AB1078" s="43">
        <f t="shared" si="228"/>
        <v>29053</v>
      </c>
      <c r="AC1078" s="43">
        <f t="shared" si="238"/>
        <v>2.1404971853430661E-2</v>
      </c>
      <c r="AD1078" s="43">
        <f t="shared" si="239"/>
        <v>0.87688609315999988</v>
      </c>
      <c r="AF1078" s="43">
        <v>15.996103151896444</v>
      </c>
      <c r="AG1078" s="43">
        <v>1.8753506E-2</v>
      </c>
      <c r="AH1078" s="43">
        <v>6.9372569999999996E-3</v>
      </c>
      <c r="AI1078" s="43">
        <v>0.88743155600000001</v>
      </c>
      <c r="AJ1078" s="43">
        <v>3.070434536</v>
      </c>
      <c r="AK1078" s="43">
        <v>10.814661340000001</v>
      </c>
      <c r="AL1078" s="43">
        <v>4.0866909999999999E-3</v>
      </c>
      <c r="AM1078" s="230">
        <v>2.2828526446253307E-2</v>
      </c>
      <c r="AN1078" s="43">
        <v>0.91685090300000005</v>
      </c>
    </row>
    <row r="1079" spans="1:40" x14ac:dyDescent="0.25">
      <c r="A1079" s="134">
        <v>1069</v>
      </c>
      <c r="B1079" s="134" t="s">
        <v>206</v>
      </c>
      <c r="C1079" s="134" t="s">
        <v>205</v>
      </c>
      <c r="D1079" s="134" t="s">
        <v>62</v>
      </c>
      <c r="E1079" s="134">
        <v>0</v>
      </c>
      <c r="F1079" s="134">
        <v>0</v>
      </c>
      <c r="G1079" s="134">
        <v>158</v>
      </c>
      <c r="H1079" s="134">
        <v>10</v>
      </c>
      <c r="I1079" s="200">
        <v>0.24503153799399999</v>
      </c>
      <c r="J1079" s="134">
        <v>10</v>
      </c>
      <c r="K1079" s="134">
        <v>40.811073063800002</v>
      </c>
      <c r="L1079" s="42">
        <v>0.88580750407800002</v>
      </c>
      <c r="M1079" s="42">
        <v>1</v>
      </c>
      <c r="N1079" s="134">
        <v>0</v>
      </c>
      <c r="O1079" s="43" t="s">
        <v>666</v>
      </c>
      <c r="P1079" s="43">
        <f t="shared" si="229"/>
        <v>15.603817660876073</v>
      </c>
      <c r="Q1079" s="43">
        <f t="shared" si="230"/>
        <v>2.1597879613138693E-2</v>
      </c>
      <c r="R1079" s="43">
        <f t="shared" si="231"/>
        <v>1.9117673115942022E-2</v>
      </c>
      <c r="S1079" s="43">
        <f t="shared" si="232"/>
        <v>0.88580750399999997</v>
      </c>
      <c r="T1079" s="43">
        <f t="shared" si="233"/>
        <v>3.4268881297463767</v>
      </c>
      <c r="U1079" s="43">
        <f t="shared" si="234"/>
        <v>9.200065274</v>
      </c>
      <c r="V1079" s="43">
        <f t="shared" si="235"/>
        <v>3.5018531387596905E-3</v>
      </c>
      <c r="W1079" s="230">
        <f t="shared" si="236"/>
        <v>4.2755492704656055E-2</v>
      </c>
      <c r="X1079" s="43">
        <f t="shared" si="237"/>
        <v>0.84412469999999995</v>
      </c>
      <c r="Y1079" s="43">
        <v>32.040579139999998</v>
      </c>
      <c r="Z1079" s="43">
        <f t="shared" si="226"/>
        <v>0</v>
      </c>
      <c r="AA1079" s="43">
        <f t="shared" si="227"/>
        <v>81011</v>
      </c>
      <c r="AB1079" s="43">
        <f t="shared" si="228"/>
        <v>29053</v>
      </c>
      <c r="AC1079" s="43">
        <f t="shared" si="238"/>
        <v>2.1404971853430661E-2</v>
      </c>
      <c r="AD1079" s="43">
        <f t="shared" si="239"/>
        <v>0.87688609315999988</v>
      </c>
      <c r="AF1079" s="43">
        <v>15.603817660876073</v>
      </c>
      <c r="AG1079" s="43">
        <v>0</v>
      </c>
      <c r="AH1079" s="43">
        <v>0</v>
      </c>
      <c r="AI1079" s="43">
        <v>0.88580750399999997</v>
      </c>
      <c r="AJ1079" s="43" t="e">
        <v>#DIV/0!</v>
      </c>
      <c r="AK1079" s="43">
        <v>9.200065274</v>
      </c>
      <c r="AL1079" s="43">
        <v>0</v>
      </c>
      <c r="AM1079" s="230">
        <v>0</v>
      </c>
      <c r="AN1079" s="43">
        <v>0.84412469999999995</v>
      </c>
    </row>
    <row r="1080" spans="1:40" x14ac:dyDescent="0.25">
      <c r="A1080" s="134">
        <v>1070</v>
      </c>
      <c r="B1080" s="134" t="s">
        <v>206</v>
      </c>
      <c r="C1080" s="134" t="s">
        <v>205</v>
      </c>
      <c r="D1080" s="134" t="s">
        <v>62</v>
      </c>
      <c r="E1080" s="134">
        <v>0</v>
      </c>
      <c r="F1080" s="134">
        <v>0</v>
      </c>
      <c r="G1080" s="134">
        <v>187</v>
      </c>
      <c r="H1080" s="134">
        <v>10</v>
      </c>
      <c r="I1080" s="200">
        <v>0.290254477668</v>
      </c>
      <c r="J1080" s="134">
        <v>10</v>
      </c>
      <c r="K1080" s="134">
        <v>34.452526212000002</v>
      </c>
      <c r="L1080" s="42">
        <v>0.87086092715200003</v>
      </c>
      <c r="M1080" s="42">
        <v>1</v>
      </c>
      <c r="N1080" s="134">
        <v>0</v>
      </c>
      <c r="O1080" s="43" t="s">
        <v>666</v>
      </c>
      <c r="P1080" s="43">
        <f t="shared" si="229"/>
        <v>14.021461957933003</v>
      </c>
      <c r="Q1080" s="43">
        <f t="shared" si="230"/>
        <v>1.3245033E-2</v>
      </c>
      <c r="R1080" s="43">
        <f t="shared" si="231"/>
        <v>1.9117673115942022E-2</v>
      </c>
      <c r="S1080" s="43">
        <f t="shared" si="232"/>
        <v>0.87086092699999995</v>
      </c>
      <c r="T1080" s="43">
        <f t="shared" si="233"/>
        <v>3.4268881297463767</v>
      </c>
      <c r="U1080" s="43">
        <f t="shared" si="234"/>
        <v>8.4819518719999998</v>
      </c>
      <c r="V1080" s="43">
        <f t="shared" si="235"/>
        <v>3.5018531387596905E-3</v>
      </c>
      <c r="W1080" s="230">
        <f t="shared" si="236"/>
        <v>4.2755492704656055E-2</v>
      </c>
      <c r="X1080" s="43">
        <f t="shared" si="237"/>
        <v>0.84482758599999996</v>
      </c>
      <c r="Y1080" s="43">
        <v>32.220698579999997</v>
      </c>
      <c r="Z1080" s="43">
        <f t="shared" si="226"/>
        <v>0</v>
      </c>
      <c r="AA1080" s="43">
        <f t="shared" si="227"/>
        <v>81011</v>
      </c>
      <c r="AB1080" s="43">
        <f t="shared" si="228"/>
        <v>29053</v>
      </c>
      <c r="AC1080" s="43">
        <f t="shared" si="238"/>
        <v>2.1404971853430661E-2</v>
      </c>
      <c r="AD1080" s="43">
        <f t="shared" si="239"/>
        <v>0.87688609315999988</v>
      </c>
      <c r="AF1080" s="43">
        <v>14.021461957933003</v>
      </c>
      <c r="AG1080" s="43">
        <v>1.3245033E-2</v>
      </c>
      <c r="AH1080" s="43">
        <v>0</v>
      </c>
      <c r="AI1080" s="43">
        <v>0.87086092699999995</v>
      </c>
      <c r="AJ1080" s="43" t="e">
        <v>#DIV/0!</v>
      </c>
      <c r="AK1080" s="43">
        <v>8.4819518719999998</v>
      </c>
      <c r="AL1080" s="43">
        <v>0</v>
      </c>
      <c r="AM1080" s="230">
        <v>0</v>
      </c>
      <c r="AN1080" s="43">
        <v>0.84482758599999996</v>
      </c>
    </row>
    <row r="1081" spans="1:40" x14ac:dyDescent="0.25">
      <c r="A1081" s="134">
        <v>1071</v>
      </c>
      <c r="B1081" s="134" t="s">
        <v>206</v>
      </c>
      <c r="C1081" s="134" t="s">
        <v>205</v>
      </c>
      <c r="D1081" s="134" t="s">
        <v>62</v>
      </c>
      <c r="E1081" s="134">
        <v>283</v>
      </c>
      <c r="F1081" s="134">
        <v>807</v>
      </c>
      <c r="G1081" s="134">
        <v>58</v>
      </c>
      <c r="H1081" s="134">
        <v>224</v>
      </c>
      <c r="I1081" s="200">
        <v>9.07491319864E-2</v>
      </c>
      <c r="J1081" s="134">
        <v>1031</v>
      </c>
      <c r="K1081" s="134">
        <v>11360.9902093</v>
      </c>
      <c r="L1081" s="42">
        <v>0.91740101433499999</v>
      </c>
      <c r="M1081" s="42">
        <v>0.44181459566100001</v>
      </c>
      <c r="N1081" s="134">
        <v>0</v>
      </c>
      <c r="O1081" s="43" t="s">
        <v>666</v>
      </c>
      <c r="P1081" s="43">
        <f t="shared" si="229"/>
        <v>16.85609241511316</v>
      </c>
      <c r="Q1081" s="43">
        <f t="shared" si="230"/>
        <v>2.1964421000000001E-2</v>
      </c>
      <c r="R1081" s="43">
        <f t="shared" si="231"/>
        <v>1.2074105999999999E-2</v>
      </c>
      <c r="S1081" s="43">
        <f t="shared" si="232"/>
        <v>0.91740101399999996</v>
      </c>
      <c r="T1081" s="43">
        <f t="shared" si="233"/>
        <v>3.9098790779999999</v>
      </c>
      <c r="U1081" s="43">
        <f t="shared" si="234"/>
        <v>11.311434439999999</v>
      </c>
      <c r="V1081" s="43">
        <f t="shared" si="235"/>
        <v>3.1088660000000001E-3</v>
      </c>
      <c r="W1081" s="230">
        <f t="shared" si="236"/>
        <v>4.389422454153482E-2</v>
      </c>
      <c r="X1081" s="43">
        <f t="shared" si="237"/>
        <v>0.92594237499999998</v>
      </c>
      <c r="Y1081" s="43">
        <v>140.41044460000001</v>
      </c>
      <c r="Z1081" s="43">
        <f t="shared" si="226"/>
        <v>0</v>
      </c>
      <c r="AA1081" s="43">
        <f t="shared" si="227"/>
        <v>81011</v>
      </c>
      <c r="AB1081" s="43">
        <f t="shared" si="228"/>
        <v>29053</v>
      </c>
      <c r="AC1081" s="43">
        <f t="shared" si="238"/>
        <v>2.1404971853430661E-2</v>
      </c>
      <c r="AD1081" s="43">
        <f t="shared" si="239"/>
        <v>0.87688609315999988</v>
      </c>
      <c r="AF1081" s="43">
        <v>16.85609241511316</v>
      </c>
      <c r="AG1081" s="43">
        <v>2.1964421000000001E-2</v>
      </c>
      <c r="AH1081" s="43">
        <v>1.2074105999999999E-2</v>
      </c>
      <c r="AI1081" s="43">
        <v>0.91740101399999996</v>
      </c>
      <c r="AJ1081" s="43">
        <v>3.9098790779999999</v>
      </c>
      <c r="AK1081" s="43">
        <v>11.311434439999999</v>
      </c>
      <c r="AL1081" s="43">
        <v>3.1088660000000001E-3</v>
      </c>
      <c r="AM1081" s="230">
        <v>4.389422454153482E-2</v>
      </c>
      <c r="AN1081" s="43">
        <v>0.92594237499999998</v>
      </c>
    </row>
    <row r="1082" spans="1:40" x14ac:dyDescent="0.25">
      <c r="A1082" s="134">
        <v>1072</v>
      </c>
      <c r="B1082" s="134" t="s">
        <v>206</v>
      </c>
      <c r="C1082" s="134" t="s">
        <v>205</v>
      </c>
      <c r="D1082" s="134" t="s">
        <v>62</v>
      </c>
      <c r="E1082" s="134">
        <v>0</v>
      </c>
      <c r="F1082" s="134">
        <v>0</v>
      </c>
      <c r="G1082" s="134">
        <v>39</v>
      </c>
      <c r="H1082" s="134">
        <v>10</v>
      </c>
      <c r="I1082" s="200">
        <v>6.0617279583799998E-2</v>
      </c>
      <c r="J1082" s="134">
        <v>10</v>
      </c>
      <c r="K1082" s="134">
        <v>164.969461986</v>
      </c>
      <c r="L1082" s="42">
        <v>0.92411924119199995</v>
      </c>
      <c r="M1082" s="42">
        <v>1</v>
      </c>
      <c r="N1082" s="134">
        <v>0</v>
      </c>
      <c r="O1082" s="43" t="s">
        <v>666</v>
      </c>
      <c r="P1082" s="43">
        <f t="shared" si="229"/>
        <v>14.390261956139911</v>
      </c>
      <c r="Q1082" s="43">
        <f t="shared" si="230"/>
        <v>2.1680217000000002E-2</v>
      </c>
      <c r="R1082" s="43">
        <f t="shared" si="231"/>
        <v>1.3550140000000001E-3</v>
      </c>
      <c r="S1082" s="43">
        <f t="shared" si="232"/>
        <v>0.92411924099999998</v>
      </c>
      <c r="T1082" s="43">
        <f t="shared" si="233"/>
        <v>6</v>
      </c>
      <c r="U1082" s="43">
        <f t="shared" si="234"/>
        <v>10.59688502</v>
      </c>
      <c r="V1082" s="43">
        <f t="shared" si="235"/>
        <v>3.5018531387596905E-3</v>
      </c>
      <c r="W1082" s="230">
        <f t="shared" si="236"/>
        <v>4.2755492704656055E-2</v>
      </c>
      <c r="X1082" s="43">
        <f t="shared" si="237"/>
        <v>0.85280373799999998</v>
      </c>
      <c r="Y1082" s="43">
        <v>33.361212440000003</v>
      </c>
      <c r="Z1082" s="43">
        <f t="shared" si="226"/>
        <v>0</v>
      </c>
      <c r="AA1082" s="43">
        <f t="shared" si="227"/>
        <v>81011</v>
      </c>
      <c r="AB1082" s="43">
        <f t="shared" si="228"/>
        <v>29053</v>
      </c>
      <c r="AC1082" s="43">
        <f t="shared" si="238"/>
        <v>2.1404971853430661E-2</v>
      </c>
      <c r="AD1082" s="43">
        <f t="shared" si="239"/>
        <v>0.87688609315999988</v>
      </c>
      <c r="AF1082" s="43">
        <v>14.390261956139911</v>
      </c>
      <c r="AG1082" s="43">
        <v>2.1680217000000002E-2</v>
      </c>
      <c r="AH1082" s="43">
        <v>1.3550140000000001E-3</v>
      </c>
      <c r="AI1082" s="43">
        <v>0.92411924099999998</v>
      </c>
      <c r="AJ1082" s="43">
        <v>6</v>
      </c>
      <c r="AK1082" s="43">
        <v>10.59688502</v>
      </c>
      <c r="AL1082" s="43">
        <v>0</v>
      </c>
      <c r="AM1082" s="230">
        <v>0</v>
      </c>
      <c r="AN1082" s="43">
        <v>0.85280373799999998</v>
      </c>
    </row>
    <row r="1083" spans="1:40" x14ac:dyDescent="0.25">
      <c r="A1083" s="134">
        <v>1073</v>
      </c>
      <c r="B1083" s="134" t="s">
        <v>206</v>
      </c>
      <c r="C1083" s="134" t="s">
        <v>205</v>
      </c>
      <c r="D1083" s="134" t="s">
        <v>62</v>
      </c>
      <c r="E1083" s="134">
        <v>301</v>
      </c>
      <c r="F1083" s="134">
        <v>856</v>
      </c>
      <c r="G1083" s="134">
        <v>80</v>
      </c>
      <c r="H1083" s="134">
        <v>199</v>
      </c>
      <c r="I1083" s="200">
        <v>0.124578965096</v>
      </c>
      <c r="J1083" s="134">
        <v>1055</v>
      </c>
      <c r="K1083" s="134">
        <v>8468.5243546900001</v>
      </c>
      <c r="L1083" s="42">
        <v>0.88975416649299999</v>
      </c>
      <c r="M1083" s="42">
        <v>0.39800000000000002</v>
      </c>
      <c r="N1083" s="134">
        <v>0</v>
      </c>
      <c r="O1083" s="43" t="s">
        <v>666</v>
      </c>
      <c r="P1083" s="43">
        <f t="shared" si="229"/>
        <v>15.907215885651398</v>
      </c>
      <c r="Q1083" s="43">
        <f t="shared" si="230"/>
        <v>2.7326379000000001E-2</v>
      </c>
      <c r="R1083" s="43">
        <f t="shared" si="231"/>
        <v>1.2000748E-2</v>
      </c>
      <c r="S1083" s="43">
        <f t="shared" si="232"/>
        <v>0.88975416600000001</v>
      </c>
      <c r="T1083" s="43">
        <f t="shared" si="233"/>
        <v>3.2536436809999998</v>
      </c>
      <c r="U1083" s="43">
        <f t="shared" si="234"/>
        <v>10.063121560000001</v>
      </c>
      <c r="V1083" s="43">
        <f t="shared" si="235"/>
        <v>3.083335E-3</v>
      </c>
      <c r="W1083" s="230">
        <f t="shared" si="236"/>
        <v>5.2450573466379796E-2</v>
      </c>
      <c r="X1083" s="43">
        <f t="shared" si="237"/>
        <v>0.905890525</v>
      </c>
      <c r="Y1083" s="43">
        <v>143.1428305</v>
      </c>
      <c r="Z1083" s="43">
        <f t="shared" si="226"/>
        <v>0</v>
      </c>
      <c r="AA1083" s="43">
        <f t="shared" si="227"/>
        <v>81011</v>
      </c>
      <c r="AB1083" s="43">
        <f t="shared" si="228"/>
        <v>29053</v>
      </c>
      <c r="AC1083" s="43">
        <f t="shared" si="238"/>
        <v>2.1404971853430661E-2</v>
      </c>
      <c r="AD1083" s="43">
        <f t="shared" si="239"/>
        <v>0.87688609315999988</v>
      </c>
      <c r="AF1083" s="43">
        <v>15.907215885651398</v>
      </c>
      <c r="AG1083" s="43">
        <v>2.7326379000000001E-2</v>
      </c>
      <c r="AH1083" s="43">
        <v>1.2000748E-2</v>
      </c>
      <c r="AI1083" s="43">
        <v>0.88975416600000001</v>
      </c>
      <c r="AJ1083" s="43">
        <v>3.2536436809999998</v>
      </c>
      <c r="AK1083" s="43">
        <v>10.063121560000001</v>
      </c>
      <c r="AL1083" s="43">
        <v>3.083335E-3</v>
      </c>
      <c r="AM1083" s="230">
        <v>5.2450573466379796E-2</v>
      </c>
      <c r="AN1083" s="43">
        <v>0.905890525</v>
      </c>
    </row>
    <row r="1084" spans="1:40" x14ac:dyDescent="0.25">
      <c r="A1084" s="134">
        <v>1074</v>
      </c>
      <c r="B1084" s="134" t="s">
        <v>206</v>
      </c>
      <c r="C1084" s="134" t="s">
        <v>205</v>
      </c>
      <c r="D1084" s="134" t="s">
        <v>62</v>
      </c>
      <c r="E1084" s="134">
        <v>313</v>
      </c>
      <c r="F1084" s="134">
        <v>892</v>
      </c>
      <c r="G1084" s="134">
        <v>32</v>
      </c>
      <c r="H1084" s="134">
        <v>10</v>
      </c>
      <c r="I1084" s="200">
        <v>4.9871180485700002E-2</v>
      </c>
      <c r="J1084" s="134">
        <v>902</v>
      </c>
      <c r="K1084" s="134">
        <v>18086.598135699998</v>
      </c>
      <c r="L1084" s="42">
        <v>0.85529410127600003</v>
      </c>
      <c r="M1084" s="42">
        <v>3.0959752322E-2</v>
      </c>
      <c r="N1084" s="134">
        <v>0</v>
      </c>
      <c r="O1084" s="43" t="s">
        <v>664</v>
      </c>
      <c r="P1084" s="43">
        <f t="shared" si="229"/>
        <v>15.786568485917437</v>
      </c>
      <c r="Q1084" s="43">
        <f t="shared" si="230"/>
        <v>3.7390590000000001E-2</v>
      </c>
      <c r="R1084" s="43">
        <f t="shared" si="231"/>
        <v>1.3317005999999999E-2</v>
      </c>
      <c r="S1084" s="43">
        <f t="shared" si="232"/>
        <v>0.85529410100000003</v>
      </c>
      <c r="T1084" s="43">
        <f t="shared" si="233"/>
        <v>2.954438948</v>
      </c>
      <c r="U1084" s="43">
        <f t="shared" si="234"/>
        <v>9.3607606689999994</v>
      </c>
      <c r="V1084" s="43">
        <f t="shared" si="235"/>
        <v>1.6299719999999999E-3</v>
      </c>
      <c r="W1084" s="230">
        <f t="shared" si="236"/>
        <v>8.1012042330616707E-2</v>
      </c>
      <c r="X1084" s="43">
        <f t="shared" si="237"/>
        <v>0.85714633299999998</v>
      </c>
      <c r="Y1084" s="43">
        <v>142.74852670000001</v>
      </c>
      <c r="Z1084" s="43">
        <f t="shared" si="226"/>
        <v>0</v>
      </c>
      <c r="AA1084" s="43">
        <f t="shared" si="227"/>
        <v>81011</v>
      </c>
      <c r="AB1084" s="43">
        <f t="shared" si="228"/>
        <v>29053</v>
      </c>
      <c r="AC1084" s="43">
        <f t="shared" si="238"/>
        <v>2.1404971853430661E-2</v>
      </c>
      <c r="AD1084" s="43">
        <f t="shared" si="239"/>
        <v>0.87688609315999988</v>
      </c>
      <c r="AF1084" s="43">
        <v>15.786568485917437</v>
      </c>
      <c r="AG1084" s="43">
        <v>3.7390590000000001E-2</v>
      </c>
      <c r="AH1084" s="43">
        <v>1.3317005999999999E-2</v>
      </c>
      <c r="AI1084" s="43">
        <v>0.85529410100000003</v>
      </c>
      <c r="AJ1084" s="43">
        <v>2.954438948</v>
      </c>
      <c r="AK1084" s="43">
        <v>9.3607606689999994</v>
      </c>
      <c r="AL1084" s="43">
        <v>1.6299719999999999E-3</v>
      </c>
      <c r="AM1084" s="230">
        <v>8.1012042330616707E-2</v>
      </c>
      <c r="AN1084" s="43">
        <v>0.85714633299999998</v>
      </c>
    </row>
    <row r="1085" spans="1:40" x14ac:dyDescent="0.25">
      <c r="A1085" s="134">
        <v>1075</v>
      </c>
      <c r="B1085" s="134" t="s">
        <v>206</v>
      </c>
      <c r="C1085" s="134" t="s">
        <v>205</v>
      </c>
      <c r="D1085" s="134" t="s">
        <v>62</v>
      </c>
      <c r="E1085" s="134">
        <v>46</v>
      </c>
      <c r="F1085" s="134">
        <v>130</v>
      </c>
      <c r="G1085" s="134">
        <v>27</v>
      </c>
      <c r="H1085" s="134">
        <v>1590</v>
      </c>
      <c r="I1085" s="200">
        <v>4.13426572958E-2</v>
      </c>
      <c r="J1085" s="134">
        <v>1720</v>
      </c>
      <c r="K1085" s="134">
        <v>41603.518315100002</v>
      </c>
      <c r="L1085" s="42">
        <v>0.87084755163799998</v>
      </c>
      <c r="M1085" s="42">
        <v>0.97188264058700002</v>
      </c>
      <c r="N1085" s="134">
        <v>0</v>
      </c>
      <c r="O1085" s="43" t="s">
        <v>664</v>
      </c>
      <c r="P1085" s="43">
        <f t="shared" si="229"/>
        <v>14.210492201635198</v>
      </c>
      <c r="Q1085" s="43">
        <f t="shared" si="230"/>
        <v>2.6820846999999998E-2</v>
      </c>
      <c r="R1085" s="43">
        <f t="shared" si="231"/>
        <v>7.90598E-3</v>
      </c>
      <c r="S1085" s="43">
        <f t="shared" si="232"/>
        <v>0.87084755199999997</v>
      </c>
      <c r="T1085" s="43">
        <f t="shared" si="233"/>
        <v>2.5100534489999999</v>
      </c>
      <c r="U1085" s="43">
        <f t="shared" si="234"/>
        <v>8.8517598769999992</v>
      </c>
      <c r="V1085" s="43">
        <f t="shared" si="235"/>
        <v>4.6742909999999997E-3</v>
      </c>
      <c r="W1085" s="230">
        <f t="shared" si="236"/>
        <v>4.247748494391955E-2</v>
      </c>
      <c r="X1085" s="43">
        <f t="shared" si="237"/>
        <v>0.88141886300000005</v>
      </c>
      <c r="Y1085" s="43">
        <v>101.4624587</v>
      </c>
      <c r="Z1085" s="43">
        <f t="shared" si="226"/>
        <v>0</v>
      </c>
      <c r="AA1085" s="43">
        <f t="shared" si="227"/>
        <v>81011</v>
      </c>
      <c r="AB1085" s="43">
        <f t="shared" si="228"/>
        <v>29053</v>
      </c>
      <c r="AC1085" s="43">
        <f t="shared" si="238"/>
        <v>2.1404971853430661E-2</v>
      </c>
      <c r="AD1085" s="43">
        <f t="shared" si="239"/>
        <v>0.87688609315999988</v>
      </c>
      <c r="AF1085" s="43">
        <v>14.210492201635198</v>
      </c>
      <c r="AG1085" s="43">
        <v>2.6820846999999998E-2</v>
      </c>
      <c r="AH1085" s="43">
        <v>7.90598E-3</v>
      </c>
      <c r="AI1085" s="43">
        <v>0.87084755199999997</v>
      </c>
      <c r="AJ1085" s="43">
        <v>2.5100534489999999</v>
      </c>
      <c r="AK1085" s="43">
        <v>8.8517598769999992</v>
      </c>
      <c r="AL1085" s="43">
        <v>4.6742909999999997E-3</v>
      </c>
      <c r="AM1085" s="230">
        <v>4.247748494391955E-2</v>
      </c>
      <c r="AN1085" s="43">
        <v>0.88141886300000005</v>
      </c>
    </row>
    <row r="1086" spans="1:40" x14ac:dyDescent="0.25">
      <c r="A1086" s="134">
        <v>1076</v>
      </c>
      <c r="B1086" s="134" t="s">
        <v>206</v>
      </c>
      <c r="C1086" s="134" t="s">
        <v>205</v>
      </c>
      <c r="D1086" s="134" t="s">
        <v>62</v>
      </c>
      <c r="E1086" s="134">
        <v>314</v>
      </c>
      <c r="F1086" s="134">
        <v>894</v>
      </c>
      <c r="G1086" s="134">
        <v>62</v>
      </c>
      <c r="H1086" s="134">
        <v>909</v>
      </c>
      <c r="I1086" s="200">
        <v>9.6150127970100002E-2</v>
      </c>
      <c r="J1086" s="134">
        <v>1803</v>
      </c>
      <c r="K1086" s="134">
        <v>18751.925120299999</v>
      </c>
      <c r="L1086" s="42">
        <v>0.87446380081599995</v>
      </c>
      <c r="M1086" s="42">
        <v>0.74325429272300003</v>
      </c>
      <c r="N1086" s="134">
        <v>0</v>
      </c>
      <c r="O1086" s="43" t="s">
        <v>664</v>
      </c>
      <c r="P1086" s="43">
        <f t="shared" si="229"/>
        <v>15.132703146110918</v>
      </c>
      <c r="Q1086" s="43">
        <f t="shared" si="230"/>
        <v>2.5796592E-2</v>
      </c>
      <c r="R1086" s="43">
        <f t="shared" si="231"/>
        <v>1.1229028E-2</v>
      </c>
      <c r="S1086" s="43">
        <f t="shared" si="232"/>
        <v>0.87446380099999999</v>
      </c>
      <c r="T1086" s="43">
        <f t="shared" si="233"/>
        <v>2.7598361850000002</v>
      </c>
      <c r="U1086" s="43">
        <f t="shared" si="234"/>
        <v>8.9375639679999992</v>
      </c>
      <c r="V1086" s="43">
        <f t="shared" si="235"/>
        <v>5.0577870000000002E-3</v>
      </c>
      <c r="W1086" s="230">
        <f t="shared" si="236"/>
        <v>4.6052485636327328E-2</v>
      </c>
      <c r="X1086" s="43">
        <f t="shared" si="237"/>
        <v>0.895705317</v>
      </c>
      <c r="Y1086" s="43">
        <v>32.714971200000001</v>
      </c>
      <c r="Z1086" s="43">
        <f t="shared" si="226"/>
        <v>0</v>
      </c>
      <c r="AA1086" s="43">
        <f t="shared" si="227"/>
        <v>81011</v>
      </c>
      <c r="AB1086" s="43">
        <f t="shared" si="228"/>
        <v>29053</v>
      </c>
      <c r="AC1086" s="43">
        <f t="shared" si="238"/>
        <v>2.1404971853430661E-2</v>
      </c>
      <c r="AD1086" s="43">
        <f t="shared" si="239"/>
        <v>0.87688609315999988</v>
      </c>
      <c r="AF1086" s="43">
        <v>15.132703146110918</v>
      </c>
      <c r="AG1086" s="43">
        <v>2.5796592E-2</v>
      </c>
      <c r="AH1086" s="43">
        <v>1.1229028E-2</v>
      </c>
      <c r="AI1086" s="43">
        <v>0.87446380099999999</v>
      </c>
      <c r="AJ1086" s="43">
        <v>2.7598361850000002</v>
      </c>
      <c r="AK1086" s="43">
        <v>8.9375639679999992</v>
      </c>
      <c r="AL1086" s="43">
        <v>5.0577870000000002E-3</v>
      </c>
      <c r="AM1086" s="230">
        <v>4.6052485636327328E-2</v>
      </c>
      <c r="AN1086" s="43">
        <v>0.895705317</v>
      </c>
    </row>
    <row r="1087" spans="1:40" x14ac:dyDescent="0.25">
      <c r="A1087" s="134">
        <v>1077</v>
      </c>
      <c r="B1087" s="134" t="s">
        <v>206</v>
      </c>
      <c r="C1087" s="134" t="s">
        <v>205</v>
      </c>
      <c r="D1087" s="134" t="s">
        <v>62</v>
      </c>
      <c r="E1087" s="134">
        <v>409</v>
      </c>
      <c r="F1087" s="134">
        <v>1166</v>
      </c>
      <c r="G1087" s="134">
        <v>101</v>
      </c>
      <c r="H1087" s="134">
        <v>10</v>
      </c>
      <c r="I1087" s="200">
        <v>0.157219745351</v>
      </c>
      <c r="J1087" s="134">
        <v>1176</v>
      </c>
      <c r="K1087" s="134">
        <v>7479.9764964400001</v>
      </c>
      <c r="L1087" s="42">
        <v>0.86590006184599999</v>
      </c>
      <c r="M1087" s="42">
        <v>2.38663484487E-2</v>
      </c>
      <c r="N1087" s="134">
        <v>0</v>
      </c>
      <c r="O1087" s="43" t="s">
        <v>666</v>
      </c>
      <c r="P1087" s="43">
        <f t="shared" si="229"/>
        <v>15.649638912305893</v>
      </c>
      <c r="Q1087" s="43">
        <f t="shared" si="230"/>
        <v>3.5393452999999998E-2</v>
      </c>
      <c r="R1087" s="43">
        <f t="shared" si="231"/>
        <v>1.2379585E-2</v>
      </c>
      <c r="S1087" s="43">
        <f t="shared" si="232"/>
        <v>0.86590006200000003</v>
      </c>
      <c r="T1087" s="43">
        <f t="shared" si="233"/>
        <v>2.8272862299999999</v>
      </c>
      <c r="U1087" s="43">
        <f t="shared" si="234"/>
        <v>9.6094721629999995</v>
      </c>
      <c r="V1087" s="43">
        <f t="shared" si="235"/>
        <v>7.4696500000000004E-4</v>
      </c>
      <c r="W1087" s="230">
        <f t="shared" si="236"/>
        <v>7.7385620915032677E-2</v>
      </c>
      <c r="X1087" s="43">
        <f t="shared" si="237"/>
        <v>0.87116713400000001</v>
      </c>
      <c r="Y1087" s="43">
        <v>104.8749254</v>
      </c>
      <c r="Z1087" s="43">
        <f t="shared" si="226"/>
        <v>0</v>
      </c>
      <c r="AA1087" s="43">
        <f t="shared" si="227"/>
        <v>81011</v>
      </c>
      <c r="AB1087" s="43">
        <f t="shared" si="228"/>
        <v>29053</v>
      </c>
      <c r="AC1087" s="43">
        <f t="shared" si="238"/>
        <v>2.1404971853430661E-2</v>
      </c>
      <c r="AD1087" s="43">
        <f t="shared" si="239"/>
        <v>0.87688609315999988</v>
      </c>
      <c r="AF1087" s="43">
        <v>15.649638912305893</v>
      </c>
      <c r="AG1087" s="43">
        <v>3.5393452999999998E-2</v>
      </c>
      <c r="AH1087" s="43">
        <v>1.2379585E-2</v>
      </c>
      <c r="AI1087" s="43">
        <v>0.86590006200000003</v>
      </c>
      <c r="AJ1087" s="43">
        <v>2.8272862299999999</v>
      </c>
      <c r="AK1087" s="43">
        <v>9.6094721629999995</v>
      </c>
      <c r="AL1087" s="43">
        <v>7.4696500000000004E-4</v>
      </c>
      <c r="AM1087" s="230">
        <v>7.7385620915032677E-2</v>
      </c>
      <c r="AN1087" s="43">
        <v>0.87116713400000001</v>
      </c>
    </row>
    <row r="1088" spans="1:40" x14ac:dyDescent="0.25">
      <c r="A1088" s="134">
        <v>1078</v>
      </c>
      <c r="B1088" s="134" t="s">
        <v>206</v>
      </c>
      <c r="C1088" s="134" t="s">
        <v>205</v>
      </c>
      <c r="D1088" s="134" t="s">
        <v>62</v>
      </c>
      <c r="E1088" s="134">
        <v>322</v>
      </c>
      <c r="F1088" s="134">
        <v>916</v>
      </c>
      <c r="G1088" s="134">
        <v>68</v>
      </c>
      <c r="H1088" s="134">
        <v>60</v>
      </c>
      <c r="I1088" s="200">
        <v>0.1063928648</v>
      </c>
      <c r="J1088" s="134">
        <v>976</v>
      </c>
      <c r="K1088" s="134">
        <v>9173.5475102700002</v>
      </c>
      <c r="L1088" s="42">
        <v>0.90107648369600002</v>
      </c>
      <c r="M1088" s="42">
        <v>0.157068062827</v>
      </c>
      <c r="N1088" s="134">
        <v>0</v>
      </c>
      <c r="O1088" s="43" t="s">
        <v>666</v>
      </c>
      <c r="P1088" s="43">
        <f t="shared" si="229"/>
        <v>16.170636988022864</v>
      </c>
      <c r="Q1088" s="43">
        <f t="shared" si="230"/>
        <v>2.5346013000000001E-2</v>
      </c>
      <c r="R1088" s="43">
        <f t="shared" si="231"/>
        <v>1.2993127E-2</v>
      </c>
      <c r="S1088" s="43">
        <f t="shared" si="232"/>
        <v>0.90107648399999996</v>
      </c>
      <c r="T1088" s="43">
        <f t="shared" si="233"/>
        <v>3.4007263920000002</v>
      </c>
      <c r="U1088" s="43">
        <f t="shared" si="234"/>
        <v>11.03221394</v>
      </c>
      <c r="V1088" s="43">
        <f t="shared" si="235"/>
        <v>2.0215630000000001E-3</v>
      </c>
      <c r="W1088" s="230">
        <f t="shared" si="236"/>
        <v>4.6832884097035045E-2</v>
      </c>
      <c r="X1088" s="43">
        <f t="shared" si="237"/>
        <v>0.91475741200000005</v>
      </c>
      <c r="Y1088" s="43">
        <v>34.875904040000002</v>
      </c>
      <c r="Z1088" s="43">
        <f t="shared" si="226"/>
        <v>0</v>
      </c>
      <c r="AA1088" s="43">
        <f t="shared" si="227"/>
        <v>81011</v>
      </c>
      <c r="AB1088" s="43">
        <f t="shared" si="228"/>
        <v>29053</v>
      </c>
      <c r="AC1088" s="43">
        <f t="shared" si="238"/>
        <v>2.1404971853430661E-2</v>
      </c>
      <c r="AD1088" s="43">
        <f t="shared" si="239"/>
        <v>0.87688609315999988</v>
      </c>
      <c r="AF1088" s="43">
        <v>16.170636988022864</v>
      </c>
      <c r="AG1088" s="43">
        <v>2.5346013000000001E-2</v>
      </c>
      <c r="AH1088" s="43">
        <v>1.2993127E-2</v>
      </c>
      <c r="AI1088" s="43">
        <v>0.90107648399999996</v>
      </c>
      <c r="AJ1088" s="43">
        <v>3.4007263920000002</v>
      </c>
      <c r="AK1088" s="43">
        <v>11.03221394</v>
      </c>
      <c r="AL1088" s="43">
        <v>2.0215630000000001E-3</v>
      </c>
      <c r="AM1088" s="230">
        <v>4.6832884097035045E-2</v>
      </c>
      <c r="AN1088" s="43">
        <v>0.91475741200000005</v>
      </c>
    </row>
    <row r="1089" spans="1:40" x14ac:dyDescent="0.25">
      <c r="A1089" s="134">
        <v>1079</v>
      </c>
      <c r="B1089" s="134" t="s">
        <v>206</v>
      </c>
      <c r="C1089" s="134" t="s">
        <v>205</v>
      </c>
      <c r="D1089" s="134" t="s">
        <v>62</v>
      </c>
      <c r="E1089" s="134">
        <v>182</v>
      </c>
      <c r="F1089" s="134">
        <v>519</v>
      </c>
      <c r="G1089" s="134">
        <v>28</v>
      </c>
      <c r="H1089" s="134">
        <v>10</v>
      </c>
      <c r="I1089" s="200">
        <v>4.2977759486000001E-2</v>
      </c>
      <c r="J1089" s="134">
        <v>529</v>
      </c>
      <c r="K1089" s="134">
        <v>12308.691898499999</v>
      </c>
      <c r="L1089" s="42">
        <v>0.87934480051399999</v>
      </c>
      <c r="M1089" s="42">
        <v>5.2083333333300001E-2</v>
      </c>
      <c r="N1089" s="134">
        <v>0</v>
      </c>
      <c r="O1089" s="43" t="s">
        <v>666</v>
      </c>
      <c r="P1089" s="43">
        <f t="shared" si="229"/>
        <v>16.190938036293847</v>
      </c>
      <c r="Q1089" s="43">
        <f t="shared" si="230"/>
        <v>3.4698926999999997E-2</v>
      </c>
      <c r="R1089" s="43">
        <f t="shared" si="231"/>
        <v>1.3025480000000001E-2</v>
      </c>
      <c r="S1089" s="43">
        <f t="shared" si="232"/>
        <v>0.87934480100000001</v>
      </c>
      <c r="T1089" s="43">
        <f t="shared" si="233"/>
        <v>3.1947104419999999</v>
      </c>
      <c r="U1089" s="43">
        <f t="shared" si="234"/>
        <v>10.22616408</v>
      </c>
      <c r="V1089" s="43">
        <f t="shared" si="235"/>
        <v>1.000042E-3</v>
      </c>
      <c r="W1089" s="230">
        <f t="shared" si="236"/>
        <v>7.2128005333555567E-2</v>
      </c>
      <c r="X1089" s="43">
        <f t="shared" si="237"/>
        <v>0.869661236</v>
      </c>
      <c r="Y1089" s="43">
        <v>32.232772799999999</v>
      </c>
      <c r="Z1089" s="43">
        <f t="shared" si="226"/>
        <v>0</v>
      </c>
      <c r="AA1089" s="43">
        <f t="shared" si="227"/>
        <v>81011</v>
      </c>
      <c r="AB1089" s="43">
        <f t="shared" si="228"/>
        <v>29053</v>
      </c>
      <c r="AC1089" s="43">
        <f t="shared" si="238"/>
        <v>2.1404971853430661E-2</v>
      </c>
      <c r="AD1089" s="43">
        <f t="shared" si="239"/>
        <v>0.87688609315999988</v>
      </c>
      <c r="AF1089" s="43">
        <v>16.190938036293847</v>
      </c>
      <c r="AG1089" s="43">
        <v>3.4698926999999997E-2</v>
      </c>
      <c r="AH1089" s="43">
        <v>1.3025480000000001E-2</v>
      </c>
      <c r="AI1089" s="43">
        <v>0.87934480100000001</v>
      </c>
      <c r="AJ1089" s="43">
        <v>3.1947104419999999</v>
      </c>
      <c r="AK1089" s="43">
        <v>10.22616408</v>
      </c>
      <c r="AL1089" s="43">
        <v>1.000042E-3</v>
      </c>
      <c r="AM1089" s="230">
        <v>7.2128005333555567E-2</v>
      </c>
      <c r="AN1089" s="43">
        <v>0.869661236</v>
      </c>
    </row>
    <row r="1090" spans="1:40" x14ac:dyDescent="0.25">
      <c r="A1090" s="134">
        <v>1080</v>
      </c>
      <c r="B1090" s="134" t="s">
        <v>206</v>
      </c>
      <c r="C1090" s="134" t="s">
        <v>205</v>
      </c>
      <c r="D1090" s="134" t="s">
        <v>62</v>
      </c>
      <c r="E1090" s="134">
        <v>0</v>
      </c>
      <c r="F1090" s="134">
        <v>0</v>
      </c>
      <c r="G1090" s="134">
        <v>169</v>
      </c>
      <c r="H1090" s="134">
        <v>10</v>
      </c>
      <c r="I1090" s="200">
        <v>0.26262843099099997</v>
      </c>
      <c r="J1090" s="134">
        <v>10</v>
      </c>
      <c r="K1090" s="134">
        <v>38.076608698699999</v>
      </c>
      <c r="L1090" s="42">
        <v>0.928315412186</v>
      </c>
      <c r="M1090" s="42">
        <v>1</v>
      </c>
      <c r="N1090" s="134">
        <v>0</v>
      </c>
      <c r="O1090" s="43" t="s">
        <v>666</v>
      </c>
      <c r="P1090" s="43">
        <f t="shared" si="229"/>
        <v>13.450999817503975</v>
      </c>
      <c r="Q1090" s="43">
        <f t="shared" si="230"/>
        <v>2.1597879613138693E-2</v>
      </c>
      <c r="R1090" s="43">
        <f t="shared" si="231"/>
        <v>1.9117673115942022E-2</v>
      </c>
      <c r="S1090" s="43">
        <f t="shared" si="232"/>
        <v>0.92831541200000001</v>
      </c>
      <c r="T1090" s="43">
        <f t="shared" si="233"/>
        <v>3.4268881297463767</v>
      </c>
      <c r="U1090" s="43">
        <f t="shared" si="234"/>
        <v>13.26385224</v>
      </c>
      <c r="V1090" s="43">
        <f t="shared" si="235"/>
        <v>3.5018531387596905E-3</v>
      </c>
      <c r="W1090" s="230">
        <f t="shared" si="236"/>
        <v>4.2755492704656055E-2</v>
      </c>
      <c r="X1090" s="43">
        <f t="shared" si="237"/>
        <v>0.82185273199999997</v>
      </c>
      <c r="Y1090" s="43">
        <v>32.232772799999999</v>
      </c>
      <c r="Z1090" s="43">
        <f t="shared" si="226"/>
        <v>0</v>
      </c>
      <c r="AA1090" s="43">
        <f t="shared" si="227"/>
        <v>81011</v>
      </c>
      <c r="AB1090" s="43">
        <f t="shared" si="228"/>
        <v>29053</v>
      </c>
      <c r="AC1090" s="43">
        <f t="shared" si="238"/>
        <v>2.1404971853430661E-2</v>
      </c>
      <c r="AD1090" s="43">
        <f t="shared" si="239"/>
        <v>0.87688609315999988</v>
      </c>
      <c r="AF1090" s="43">
        <v>13.450999817503975</v>
      </c>
      <c r="AG1090" s="43">
        <v>0</v>
      </c>
      <c r="AH1090" s="43">
        <v>0</v>
      </c>
      <c r="AI1090" s="43">
        <v>0.92831541200000001</v>
      </c>
      <c r="AJ1090" s="43" t="e">
        <v>#DIV/0!</v>
      </c>
      <c r="AK1090" s="43">
        <v>13.26385224</v>
      </c>
      <c r="AL1090" s="43">
        <v>0</v>
      </c>
      <c r="AM1090" s="230">
        <v>0</v>
      </c>
      <c r="AN1090" s="43">
        <v>0.82185273199999997</v>
      </c>
    </row>
    <row r="1091" spans="1:40" x14ac:dyDescent="0.25">
      <c r="A1091" s="134">
        <v>1081</v>
      </c>
      <c r="B1091" s="134" t="s">
        <v>206</v>
      </c>
      <c r="C1091" s="134" t="s">
        <v>205</v>
      </c>
      <c r="D1091" s="134" t="s">
        <v>62</v>
      </c>
      <c r="E1091" s="134">
        <v>0</v>
      </c>
      <c r="F1091" s="134">
        <v>0</v>
      </c>
      <c r="G1091" s="134">
        <v>128</v>
      </c>
      <c r="H1091" s="134">
        <v>198</v>
      </c>
      <c r="I1091" s="200">
        <v>0.19962490841300001</v>
      </c>
      <c r="J1091" s="134">
        <v>198</v>
      </c>
      <c r="K1091" s="134">
        <v>991.86019206799995</v>
      </c>
      <c r="L1091" s="42">
        <v>0.94490261449400004</v>
      </c>
      <c r="M1091" s="42">
        <v>1</v>
      </c>
      <c r="N1091" s="134">
        <v>0</v>
      </c>
      <c r="O1091" s="43" t="s">
        <v>665</v>
      </c>
      <c r="P1091" s="43">
        <f t="shared" si="229"/>
        <v>15.290801214650083</v>
      </c>
      <c r="Q1091" s="43">
        <f t="shared" si="230"/>
        <v>3.4216530000000002E-3</v>
      </c>
      <c r="R1091" s="43">
        <f t="shared" si="231"/>
        <v>2.6320409999999999E-3</v>
      </c>
      <c r="S1091" s="43">
        <f t="shared" si="232"/>
        <v>0.94490261399999997</v>
      </c>
      <c r="T1091" s="43">
        <f t="shared" si="233"/>
        <v>4.565217391</v>
      </c>
      <c r="U1091" s="43">
        <f t="shared" si="234"/>
        <v>8.887698962</v>
      </c>
      <c r="V1091" s="43">
        <f t="shared" si="235"/>
        <v>2.805049E-3</v>
      </c>
      <c r="W1091" s="230">
        <f t="shared" si="236"/>
        <v>1.5895278167367926E-3</v>
      </c>
      <c r="X1091" s="43">
        <f t="shared" si="237"/>
        <v>0.94408602200000002</v>
      </c>
      <c r="Y1091" s="43">
        <v>33.738339979999999</v>
      </c>
      <c r="Z1091" s="43">
        <f t="shared" si="226"/>
        <v>0</v>
      </c>
      <c r="AA1091" s="43">
        <f t="shared" si="227"/>
        <v>81011</v>
      </c>
      <c r="AB1091" s="43">
        <f t="shared" si="228"/>
        <v>29053</v>
      </c>
      <c r="AC1091" s="43">
        <f t="shared" si="238"/>
        <v>2.1404971853430661E-2</v>
      </c>
      <c r="AD1091" s="43">
        <f t="shared" si="239"/>
        <v>0.87688609315999988</v>
      </c>
      <c r="AF1091" s="43">
        <v>15.290801214650083</v>
      </c>
      <c r="AG1091" s="43">
        <v>3.4216530000000002E-3</v>
      </c>
      <c r="AH1091" s="43">
        <v>2.6320409999999999E-3</v>
      </c>
      <c r="AI1091" s="43">
        <v>0.94490261399999997</v>
      </c>
      <c r="AJ1091" s="43">
        <v>4.565217391</v>
      </c>
      <c r="AK1091" s="43">
        <v>8.887698962</v>
      </c>
      <c r="AL1091" s="43">
        <v>2.805049E-3</v>
      </c>
      <c r="AM1091" s="230">
        <v>1.5895278167367926E-3</v>
      </c>
      <c r="AN1091" s="43">
        <v>0.94408602200000002</v>
      </c>
    </row>
    <row r="1092" spans="1:40" x14ac:dyDescent="0.25">
      <c r="A1092" s="134">
        <v>1082</v>
      </c>
      <c r="B1092" s="134" t="s">
        <v>206</v>
      </c>
      <c r="C1092" s="134" t="s">
        <v>205</v>
      </c>
      <c r="D1092" s="134" t="s">
        <v>62</v>
      </c>
      <c r="E1092" s="134">
        <v>0</v>
      </c>
      <c r="F1092" s="134">
        <v>0</v>
      </c>
      <c r="G1092" s="134">
        <v>142</v>
      </c>
      <c r="H1092" s="134">
        <v>2086</v>
      </c>
      <c r="I1092" s="200">
        <v>0.22142887751099999</v>
      </c>
      <c r="J1092" s="134">
        <v>2086</v>
      </c>
      <c r="K1092" s="134">
        <v>9420.6321390600006</v>
      </c>
      <c r="L1092" s="42">
        <v>0.92943924600299999</v>
      </c>
      <c r="M1092" s="42">
        <v>1</v>
      </c>
      <c r="N1092" s="134">
        <v>0</v>
      </c>
      <c r="O1092" s="43" t="s">
        <v>666</v>
      </c>
      <c r="P1092" s="43">
        <f t="shared" si="229"/>
        <v>15.352895874297595</v>
      </c>
      <c r="Q1092" s="43">
        <f t="shared" si="230"/>
        <v>1.2628373E-2</v>
      </c>
      <c r="R1092" s="43">
        <f t="shared" si="231"/>
        <v>6.7050110000000003E-3</v>
      </c>
      <c r="S1092" s="43">
        <f t="shared" si="232"/>
        <v>0.92943924600000005</v>
      </c>
      <c r="T1092" s="43">
        <f t="shared" si="233"/>
        <v>3.1473259329999999</v>
      </c>
      <c r="U1092" s="43">
        <f t="shared" si="234"/>
        <v>9.2731855309999993</v>
      </c>
      <c r="V1092" s="43">
        <f t="shared" si="235"/>
        <v>4.0776110000000001E-3</v>
      </c>
      <c r="W1092" s="230">
        <f t="shared" si="236"/>
        <v>1.1666788960051994E-2</v>
      </c>
      <c r="X1092" s="43">
        <f t="shared" si="237"/>
        <v>0.95832241399999996</v>
      </c>
      <c r="Y1092" s="43">
        <v>105.29146540000001</v>
      </c>
      <c r="Z1092" s="43">
        <f t="shared" si="226"/>
        <v>0</v>
      </c>
      <c r="AA1092" s="43">
        <f t="shared" si="227"/>
        <v>81011</v>
      </c>
      <c r="AB1092" s="43">
        <f t="shared" si="228"/>
        <v>29053</v>
      </c>
      <c r="AC1092" s="43">
        <f t="shared" si="238"/>
        <v>2.1404971853430661E-2</v>
      </c>
      <c r="AD1092" s="43">
        <f t="shared" si="239"/>
        <v>0.87688609315999988</v>
      </c>
      <c r="AF1092" s="43">
        <v>15.352895874297595</v>
      </c>
      <c r="AG1092" s="43">
        <v>1.2628373E-2</v>
      </c>
      <c r="AH1092" s="43">
        <v>6.7050110000000003E-3</v>
      </c>
      <c r="AI1092" s="43">
        <v>0.92943924600000005</v>
      </c>
      <c r="AJ1092" s="43">
        <v>3.1473259329999999</v>
      </c>
      <c r="AK1092" s="43">
        <v>9.2731855309999993</v>
      </c>
      <c r="AL1092" s="43">
        <v>4.0776110000000001E-3</v>
      </c>
      <c r="AM1092" s="230">
        <v>1.1666788960051994E-2</v>
      </c>
      <c r="AN1092" s="43">
        <v>0.95832241399999996</v>
      </c>
    </row>
    <row r="1093" spans="1:40" x14ac:dyDescent="0.25">
      <c r="A1093" s="134">
        <v>1083</v>
      </c>
      <c r="B1093" s="134" t="s">
        <v>206</v>
      </c>
      <c r="C1093" s="134" t="s">
        <v>205</v>
      </c>
      <c r="D1093" s="134" t="s">
        <v>62</v>
      </c>
      <c r="E1093" s="134">
        <v>167</v>
      </c>
      <c r="F1093" s="134">
        <v>476</v>
      </c>
      <c r="G1093" s="134">
        <v>44</v>
      </c>
      <c r="H1093" s="134">
        <v>149</v>
      </c>
      <c r="I1093" s="200">
        <v>6.7948276325400001E-2</v>
      </c>
      <c r="J1093" s="134">
        <v>625</v>
      </c>
      <c r="K1093" s="134">
        <v>9198.1729897999994</v>
      </c>
      <c r="L1093" s="42">
        <v>0.87207131351599998</v>
      </c>
      <c r="M1093" s="42">
        <v>0.47151898734199998</v>
      </c>
      <c r="N1093" s="134">
        <v>0</v>
      </c>
      <c r="O1093" s="43" t="s">
        <v>666</v>
      </c>
      <c r="P1093" s="43">
        <f t="shared" si="229"/>
        <v>15.174332605174913</v>
      </c>
      <c r="Q1093" s="43">
        <f t="shared" si="230"/>
        <v>2.3667448000000001E-2</v>
      </c>
      <c r="R1093" s="43">
        <f t="shared" si="231"/>
        <v>1.1458486E-2</v>
      </c>
      <c r="S1093" s="43">
        <f t="shared" si="232"/>
        <v>0.87207131400000004</v>
      </c>
      <c r="T1093" s="43">
        <f t="shared" si="233"/>
        <v>2.695185038</v>
      </c>
      <c r="U1093" s="43">
        <f t="shared" si="234"/>
        <v>9.1283640619999993</v>
      </c>
      <c r="V1093" s="43">
        <f t="shared" si="235"/>
        <v>3.2834729999999999E-3</v>
      </c>
      <c r="W1093" s="230">
        <f t="shared" si="236"/>
        <v>3.6209412623130245E-2</v>
      </c>
      <c r="X1093" s="43">
        <f t="shared" si="237"/>
        <v>0.89833394099999997</v>
      </c>
      <c r="Y1093" s="43">
        <v>131.8973402</v>
      </c>
      <c r="Z1093" s="43">
        <f t="shared" si="226"/>
        <v>0</v>
      </c>
      <c r="AA1093" s="43">
        <f t="shared" si="227"/>
        <v>81011</v>
      </c>
      <c r="AB1093" s="43">
        <f t="shared" si="228"/>
        <v>29053</v>
      </c>
      <c r="AC1093" s="43">
        <f t="shared" si="238"/>
        <v>2.1404971853430661E-2</v>
      </c>
      <c r="AD1093" s="43">
        <f t="shared" si="239"/>
        <v>0.87688609315999988</v>
      </c>
      <c r="AF1093" s="43">
        <v>15.174332605174913</v>
      </c>
      <c r="AG1093" s="43">
        <v>2.3667448000000001E-2</v>
      </c>
      <c r="AH1093" s="43">
        <v>1.1458486E-2</v>
      </c>
      <c r="AI1093" s="43">
        <v>0.87207131400000004</v>
      </c>
      <c r="AJ1093" s="43">
        <v>2.695185038</v>
      </c>
      <c r="AK1093" s="43">
        <v>9.1283640619999993</v>
      </c>
      <c r="AL1093" s="43">
        <v>3.2834729999999999E-3</v>
      </c>
      <c r="AM1093" s="230">
        <v>3.6209412623130245E-2</v>
      </c>
      <c r="AN1093" s="43">
        <v>0.89833394099999997</v>
      </c>
    </row>
    <row r="1094" spans="1:40" x14ac:dyDescent="0.25">
      <c r="A1094" s="134">
        <v>1084</v>
      </c>
      <c r="B1094" s="134" t="s">
        <v>206</v>
      </c>
      <c r="C1094" s="134" t="s">
        <v>205</v>
      </c>
      <c r="D1094" s="134" t="s">
        <v>62</v>
      </c>
      <c r="E1094" s="134">
        <v>187</v>
      </c>
      <c r="F1094" s="134">
        <v>533</v>
      </c>
      <c r="G1094" s="134">
        <v>50</v>
      </c>
      <c r="H1094" s="134">
        <v>174</v>
      </c>
      <c r="I1094" s="200">
        <v>7.7814800787200003E-2</v>
      </c>
      <c r="J1094" s="134">
        <v>707</v>
      </c>
      <c r="K1094" s="134">
        <v>9085.6751266800002</v>
      </c>
      <c r="L1094" s="42">
        <v>0.87527659301500005</v>
      </c>
      <c r="M1094" s="42">
        <v>0.48199445983400002</v>
      </c>
      <c r="N1094" s="134">
        <v>0</v>
      </c>
      <c r="O1094" s="43" t="s">
        <v>666</v>
      </c>
      <c r="P1094" s="43">
        <f t="shared" si="229"/>
        <v>15.13538246264247</v>
      </c>
      <c r="Q1094" s="43">
        <f t="shared" si="230"/>
        <v>2.6649136E-2</v>
      </c>
      <c r="R1094" s="43">
        <f t="shared" si="231"/>
        <v>1.1304236E-2</v>
      </c>
      <c r="S1094" s="43">
        <f t="shared" si="232"/>
        <v>0.87527659300000005</v>
      </c>
      <c r="T1094" s="43">
        <f t="shared" si="233"/>
        <v>2.739808579</v>
      </c>
      <c r="U1094" s="43">
        <f t="shared" si="234"/>
        <v>9.1166556270000001</v>
      </c>
      <c r="V1094" s="43">
        <f t="shared" si="235"/>
        <v>3.265736E-3</v>
      </c>
      <c r="W1094" s="230">
        <f t="shared" si="236"/>
        <v>4.5325256781669744E-2</v>
      </c>
      <c r="X1094" s="43">
        <f t="shared" si="237"/>
        <v>0.89209902600000002</v>
      </c>
      <c r="Y1094" s="43">
        <v>126.63957499999999</v>
      </c>
      <c r="Z1094" s="43">
        <f t="shared" si="226"/>
        <v>0</v>
      </c>
      <c r="AA1094" s="43">
        <f t="shared" si="227"/>
        <v>81011</v>
      </c>
      <c r="AB1094" s="43">
        <f t="shared" si="228"/>
        <v>29053</v>
      </c>
      <c r="AC1094" s="43">
        <f t="shared" si="238"/>
        <v>2.1404971853430661E-2</v>
      </c>
      <c r="AD1094" s="43">
        <f t="shared" si="239"/>
        <v>0.87688609315999988</v>
      </c>
      <c r="AF1094" s="43">
        <v>15.13538246264247</v>
      </c>
      <c r="AG1094" s="43">
        <v>2.6649136E-2</v>
      </c>
      <c r="AH1094" s="43">
        <v>1.1304236E-2</v>
      </c>
      <c r="AI1094" s="43">
        <v>0.87527659300000005</v>
      </c>
      <c r="AJ1094" s="43">
        <v>2.739808579</v>
      </c>
      <c r="AK1094" s="43">
        <v>9.1166556270000001</v>
      </c>
      <c r="AL1094" s="43">
        <v>3.265736E-3</v>
      </c>
      <c r="AM1094" s="230">
        <v>4.5325256781669744E-2</v>
      </c>
      <c r="AN1094" s="43">
        <v>0.89209902600000002</v>
      </c>
    </row>
    <row r="1095" spans="1:40" x14ac:dyDescent="0.25">
      <c r="A1095" s="134">
        <v>1085</v>
      </c>
      <c r="B1095" s="134" t="s">
        <v>206</v>
      </c>
      <c r="C1095" s="134" t="s">
        <v>205</v>
      </c>
      <c r="D1095" s="134" t="s">
        <v>62</v>
      </c>
      <c r="E1095" s="134">
        <v>109</v>
      </c>
      <c r="F1095" s="134">
        <v>310</v>
      </c>
      <c r="G1095" s="134">
        <v>30</v>
      </c>
      <c r="H1095" s="134">
        <v>54</v>
      </c>
      <c r="I1095" s="200">
        <v>4.7421378085999999E-2</v>
      </c>
      <c r="J1095" s="134">
        <v>364</v>
      </c>
      <c r="K1095" s="134">
        <v>7675.8629692300001</v>
      </c>
      <c r="L1095" s="42">
        <v>0.867883291444</v>
      </c>
      <c r="M1095" s="42">
        <v>0.33128834355800002</v>
      </c>
      <c r="N1095" s="134">
        <v>0</v>
      </c>
      <c r="O1095" s="43" t="s">
        <v>666</v>
      </c>
      <c r="P1095" s="43">
        <f t="shared" si="229"/>
        <v>15.211546325451025</v>
      </c>
      <c r="Q1095" s="43">
        <f t="shared" si="230"/>
        <v>2.5789531000000001E-2</v>
      </c>
      <c r="R1095" s="43">
        <f t="shared" si="231"/>
        <v>1.1729137000000001E-2</v>
      </c>
      <c r="S1095" s="43">
        <f t="shared" si="232"/>
        <v>0.86788329099999995</v>
      </c>
      <c r="T1095" s="43">
        <f t="shared" si="233"/>
        <v>2.9946442229999999</v>
      </c>
      <c r="U1095" s="43">
        <f t="shared" si="234"/>
        <v>9.4494750510000003</v>
      </c>
      <c r="V1095" s="43">
        <f t="shared" si="235"/>
        <v>2.050797E-3</v>
      </c>
      <c r="W1095" s="230">
        <f t="shared" si="236"/>
        <v>3.4758374086343795E-2</v>
      </c>
      <c r="X1095" s="43">
        <f t="shared" si="237"/>
        <v>0.89335857399999996</v>
      </c>
      <c r="Y1095" s="43">
        <v>104.24335240000001</v>
      </c>
      <c r="Z1095" s="43">
        <f t="shared" si="226"/>
        <v>0</v>
      </c>
      <c r="AA1095" s="43">
        <f t="shared" si="227"/>
        <v>81011</v>
      </c>
      <c r="AB1095" s="43">
        <f t="shared" si="228"/>
        <v>29053</v>
      </c>
      <c r="AC1095" s="43">
        <f t="shared" si="238"/>
        <v>2.1404971853430661E-2</v>
      </c>
      <c r="AD1095" s="43">
        <f t="shared" si="239"/>
        <v>0.87688609315999988</v>
      </c>
      <c r="AF1095" s="43">
        <v>15.211546325451025</v>
      </c>
      <c r="AG1095" s="43">
        <v>2.5789531000000001E-2</v>
      </c>
      <c r="AH1095" s="43">
        <v>1.1729137000000001E-2</v>
      </c>
      <c r="AI1095" s="43">
        <v>0.86788329099999995</v>
      </c>
      <c r="AJ1095" s="43">
        <v>2.9946442229999999</v>
      </c>
      <c r="AK1095" s="43">
        <v>9.4494750510000003</v>
      </c>
      <c r="AL1095" s="43">
        <v>2.050797E-3</v>
      </c>
      <c r="AM1095" s="230">
        <v>3.4758374086343795E-2</v>
      </c>
      <c r="AN1095" s="43">
        <v>0.89335857399999996</v>
      </c>
    </row>
    <row r="1096" spans="1:40" x14ac:dyDescent="0.25">
      <c r="A1096" s="134">
        <v>1086</v>
      </c>
      <c r="B1096" s="134" t="s">
        <v>206</v>
      </c>
      <c r="C1096" s="134" t="s">
        <v>205</v>
      </c>
      <c r="D1096" s="134" t="s">
        <v>62</v>
      </c>
      <c r="E1096" s="134">
        <v>272</v>
      </c>
      <c r="F1096" s="134">
        <v>775</v>
      </c>
      <c r="G1096" s="134">
        <v>29</v>
      </c>
      <c r="H1096" s="134">
        <v>256</v>
      </c>
      <c r="I1096" s="200">
        <v>4.58255369142E-2</v>
      </c>
      <c r="J1096" s="134">
        <v>1031</v>
      </c>
      <c r="K1096" s="134">
        <v>22498.372510699999</v>
      </c>
      <c r="L1096" s="42">
        <v>0.86693981175699997</v>
      </c>
      <c r="M1096" s="42">
        <v>0.48484848484800003</v>
      </c>
      <c r="N1096" s="134">
        <v>0</v>
      </c>
      <c r="O1096" s="43" t="s">
        <v>664</v>
      </c>
      <c r="P1096" s="43">
        <f t="shared" si="229"/>
        <v>15.321142674211472</v>
      </c>
      <c r="Q1096" s="43">
        <f t="shared" si="230"/>
        <v>2.1081022000000001E-2</v>
      </c>
      <c r="R1096" s="43">
        <f t="shared" si="231"/>
        <v>1.1201012999999999E-2</v>
      </c>
      <c r="S1096" s="43">
        <f t="shared" si="232"/>
        <v>0.86693981200000003</v>
      </c>
      <c r="T1096" s="43">
        <f t="shared" si="233"/>
        <v>2.515375154</v>
      </c>
      <c r="U1096" s="43">
        <f t="shared" si="234"/>
        <v>7.8430790830000001</v>
      </c>
      <c r="V1096" s="43">
        <f t="shared" si="235"/>
        <v>5.0589600000000004E-3</v>
      </c>
      <c r="W1096" s="230">
        <f t="shared" si="236"/>
        <v>3.9883000055188647E-2</v>
      </c>
      <c r="X1096" s="43">
        <f t="shared" si="237"/>
        <v>0.901414669</v>
      </c>
      <c r="Y1096" s="43">
        <v>105.02533939999999</v>
      </c>
      <c r="Z1096" s="43">
        <f t="shared" si="226"/>
        <v>0</v>
      </c>
      <c r="AA1096" s="43">
        <f t="shared" si="227"/>
        <v>81011</v>
      </c>
      <c r="AB1096" s="43">
        <f t="shared" si="228"/>
        <v>29053</v>
      </c>
      <c r="AC1096" s="43">
        <f t="shared" si="238"/>
        <v>2.1404971853430661E-2</v>
      </c>
      <c r="AD1096" s="43">
        <f t="shared" si="239"/>
        <v>0.87688609315999988</v>
      </c>
      <c r="AF1096" s="43">
        <v>15.321142674211472</v>
      </c>
      <c r="AG1096" s="43">
        <v>2.1081022000000001E-2</v>
      </c>
      <c r="AH1096" s="43">
        <v>1.1201012999999999E-2</v>
      </c>
      <c r="AI1096" s="43">
        <v>0.86693981200000003</v>
      </c>
      <c r="AJ1096" s="43">
        <v>2.515375154</v>
      </c>
      <c r="AK1096" s="43">
        <v>7.8430790830000001</v>
      </c>
      <c r="AL1096" s="43">
        <v>5.0589600000000004E-3</v>
      </c>
      <c r="AM1096" s="230">
        <v>3.9883000055188647E-2</v>
      </c>
      <c r="AN1096" s="43">
        <v>0.901414669</v>
      </c>
    </row>
    <row r="1097" spans="1:40" x14ac:dyDescent="0.25">
      <c r="A1097" s="134">
        <v>1087</v>
      </c>
      <c r="B1097" s="134" t="s">
        <v>206</v>
      </c>
      <c r="C1097" s="134" t="s">
        <v>205</v>
      </c>
      <c r="D1097" s="134" t="s">
        <v>62</v>
      </c>
      <c r="E1097" s="134">
        <v>2</v>
      </c>
      <c r="F1097" s="134">
        <v>5</v>
      </c>
      <c r="G1097" s="134">
        <v>669</v>
      </c>
      <c r="H1097" s="134">
        <v>17</v>
      </c>
      <c r="I1097" s="200">
        <v>1.04093061542</v>
      </c>
      <c r="J1097" s="134">
        <v>22</v>
      </c>
      <c r="K1097" s="134">
        <v>21.1349341389</v>
      </c>
      <c r="L1097" s="42">
        <v>0.85973482205200003</v>
      </c>
      <c r="M1097" s="42">
        <v>0.89473684210500004</v>
      </c>
      <c r="N1097" s="134">
        <v>0</v>
      </c>
      <c r="O1097" s="43" t="s">
        <v>666</v>
      </c>
      <c r="P1097" s="43">
        <f t="shared" si="229"/>
        <v>16.698839263184457</v>
      </c>
      <c r="Q1097" s="43">
        <f t="shared" si="230"/>
        <v>6.9783699999999998E-4</v>
      </c>
      <c r="R1097" s="43">
        <f t="shared" si="231"/>
        <v>6.9783699999999998E-4</v>
      </c>
      <c r="S1097" s="43">
        <f t="shared" si="232"/>
        <v>0.85973482199999995</v>
      </c>
      <c r="T1097" s="43">
        <f t="shared" si="233"/>
        <v>9.6666666669999994</v>
      </c>
      <c r="U1097" s="43">
        <f t="shared" si="234"/>
        <v>9.2144679299999996</v>
      </c>
      <c r="V1097" s="43">
        <f t="shared" si="235"/>
        <v>3.5018531387596905E-3</v>
      </c>
      <c r="W1097" s="230">
        <f t="shared" si="236"/>
        <v>8.6430423509075197E-4</v>
      </c>
      <c r="X1097" s="43">
        <f t="shared" si="237"/>
        <v>0.85220397599999997</v>
      </c>
      <c r="Y1097" s="43">
        <v>32.292400239999999</v>
      </c>
      <c r="Z1097" s="43">
        <f t="shared" si="226"/>
        <v>0</v>
      </c>
      <c r="AA1097" s="43">
        <f t="shared" si="227"/>
        <v>81011</v>
      </c>
      <c r="AB1097" s="43">
        <f t="shared" si="228"/>
        <v>29053</v>
      </c>
      <c r="AC1097" s="43">
        <f t="shared" si="238"/>
        <v>2.1404971853430661E-2</v>
      </c>
      <c r="AD1097" s="43">
        <f t="shared" si="239"/>
        <v>0.87688609315999988</v>
      </c>
      <c r="AF1097" s="43">
        <v>16.698839263184457</v>
      </c>
      <c r="AG1097" s="43">
        <v>6.9783699999999998E-4</v>
      </c>
      <c r="AH1097" s="43">
        <v>6.9783699999999998E-4</v>
      </c>
      <c r="AI1097" s="43">
        <v>0.85973482199999995</v>
      </c>
      <c r="AJ1097" s="43">
        <v>9.6666666669999994</v>
      </c>
      <c r="AK1097" s="43">
        <v>9.2144679299999996</v>
      </c>
      <c r="AL1097" s="43">
        <v>0</v>
      </c>
      <c r="AM1097" s="230">
        <v>8.6430423509075197E-4</v>
      </c>
      <c r="AN1097" s="43">
        <v>0.85220397599999997</v>
      </c>
    </row>
    <row r="1098" spans="1:40" x14ac:dyDescent="0.25">
      <c r="A1098" s="134">
        <v>1088</v>
      </c>
      <c r="B1098" s="134" t="s">
        <v>206</v>
      </c>
      <c r="C1098" s="134" t="s">
        <v>205</v>
      </c>
      <c r="D1098" s="134" t="s">
        <v>62</v>
      </c>
      <c r="E1098" s="134">
        <v>331</v>
      </c>
      <c r="F1098" s="134">
        <v>943</v>
      </c>
      <c r="G1098" s="134">
        <v>149</v>
      </c>
      <c r="H1098" s="134">
        <v>10</v>
      </c>
      <c r="I1098" s="200">
        <v>0.23113448071600001</v>
      </c>
      <c r="J1098" s="134">
        <v>953</v>
      </c>
      <c r="K1098" s="134">
        <v>4123.14076656</v>
      </c>
      <c r="L1098" s="42">
        <v>0.88047767594799997</v>
      </c>
      <c r="M1098" s="42">
        <v>2.9325513196500001E-2</v>
      </c>
      <c r="N1098" s="134">
        <v>0</v>
      </c>
      <c r="O1098" s="43" t="s">
        <v>666</v>
      </c>
      <c r="P1098" s="43">
        <f t="shared" si="229"/>
        <v>16.358365249564354</v>
      </c>
      <c r="Q1098" s="43">
        <f t="shared" si="230"/>
        <v>3.2744956999999998E-2</v>
      </c>
      <c r="R1098" s="43">
        <f t="shared" si="231"/>
        <v>1.2723386E-2</v>
      </c>
      <c r="S1098" s="43">
        <f t="shared" si="232"/>
        <v>0.88047767600000004</v>
      </c>
      <c r="T1098" s="43">
        <f t="shared" si="233"/>
        <v>3.1715810879999999</v>
      </c>
      <c r="U1098" s="43">
        <f t="shared" si="234"/>
        <v>10.24139813</v>
      </c>
      <c r="V1098" s="43">
        <f t="shared" si="235"/>
        <v>5.0200799999999997E-4</v>
      </c>
      <c r="W1098" s="230">
        <f t="shared" si="236"/>
        <v>7.4913289521723256E-2</v>
      </c>
      <c r="X1098" s="43">
        <f t="shared" si="237"/>
        <v>0.88415023699999995</v>
      </c>
      <c r="Y1098" s="43">
        <v>75.130821049999994</v>
      </c>
      <c r="Z1098" s="43">
        <f t="shared" si="226"/>
        <v>0</v>
      </c>
      <c r="AA1098" s="43">
        <f t="shared" si="227"/>
        <v>81011</v>
      </c>
      <c r="AB1098" s="43">
        <f t="shared" si="228"/>
        <v>29053</v>
      </c>
      <c r="AC1098" s="43">
        <f t="shared" si="238"/>
        <v>2.1404971853430661E-2</v>
      </c>
      <c r="AD1098" s="43">
        <f t="shared" si="239"/>
        <v>0.87688609315999988</v>
      </c>
      <c r="AF1098" s="43">
        <v>16.358365249564354</v>
      </c>
      <c r="AG1098" s="43">
        <v>3.2744956999999998E-2</v>
      </c>
      <c r="AH1098" s="43">
        <v>1.2723386E-2</v>
      </c>
      <c r="AI1098" s="43">
        <v>0.88047767600000004</v>
      </c>
      <c r="AJ1098" s="43">
        <v>3.1715810879999999</v>
      </c>
      <c r="AK1098" s="43">
        <v>10.24139813</v>
      </c>
      <c r="AL1098" s="43">
        <v>5.0200799999999997E-4</v>
      </c>
      <c r="AM1098" s="230">
        <v>7.4913289521723256E-2</v>
      </c>
      <c r="AN1098" s="43">
        <v>0.88415023699999995</v>
      </c>
    </row>
    <row r="1099" spans="1:40" x14ac:dyDescent="0.25">
      <c r="A1099" s="134">
        <v>1089</v>
      </c>
      <c r="B1099" s="134" t="s">
        <v>206</v>
      </c>
      <c r="C1099" s="134" t="s">
        <v>205</v>
      </c>
      <c r="D1099" s="134" t="s">
        <v>62</v>
      </c>
      <c r="E1099" s="134">
        <v>0</v>
      </c>
      <c r="F1099" s="134">
        <v>0</v>
      </c>
      <c r="G1099" s="134">
        <v>21</v>
      </c>
      <c r="H1099" s="134">
        <v>457</v>
      </c>
      <c r="I1099" s="200">
        <v>3.2642815131499997E-2</v>
      </c>
      <c r="J1099" s="134">
        <v>457</v>
      </c>
      <c r="K1099" s="134">
        <v>14000.018018000001</v>
      </c>
      <c r="L1099" s="42">
        <v>0.87532796246599998</v>
      </c>
      <c r="M1099" s="42">
        <v>1</v>
      </c>
      <c r="N1099" s="134">
        <v>0</v>
      </c>
      <c r="O1099" s="43" t="s">
        <v>664</v>
      </c>
      <c r="P1099" s="43">
        <f t="shared" si="229"/>
        <v>14.609989882534109</v>
      </c>
      <c r="Q1099" s="43">
        <f t="shared" si="230"/>
        <v>1.6158904000000002E-2</v>
      </c>
      <c r="R1099" s="43">
        <f t="shared" si="231"/>
        <v>7.1457229999999997E-3</v>
      </c>
      <c r="S1099" s="43">
        <f t="shared" si="232"/>
        <v>0.87532796199999996</v>
      </c>
      <c r="T1099" s="43">
        <f t="shared" si="233"/>
        <v>2.7148981779999999</v>
      </c>
      <c r="U1099" s="43">
        <f t="shared" si="234"/>
        <v>8.4401224890000002</v>
      </c>
      <c r="V1099" s="43">
        <f t="shared" si="235"/>
        <v>4.1998119999999998E-3</v>
      </c>
      <c r="W1099" s="230">
        <f t="shared" si="236"/>
        <v>1.6305153416670784E-2</v>
      </c>
      <c r="X1099" s="43">
        <f t="shared" si="237"/>
        <v>0.89090370100000005</v>
      </c>
      <c r="Y1099" s="43">
        <v>37.5005302</v>
      </c>
      <c r="Z1099" s="43">
        <f t="shared" ref="Z1099:Z1162" si="240">IF(B1099="Berkeley",1,0)</f>
        <v>0</v>
      </c>
      <c r="AA1099" s="43">
        <f t="shared" ref="AA1099:AA1162" si="241">SUMIFS(F:F,B:B,B1099)</f>
        <v>81011</v>
      </c>
      <c r="AB1099" s="43">
        <f t="shared" ref="AB1099:AB1162" si="242">SUMIFS(E:E,B:B,B1099)</f>
        <v>29053</v>
      </c>
      <c r="AC1099" s="43">
        <f t="shared" si="238"/>
        <v>2.1404971853430661E-2</v>
      </c>
      <c r="AD1099" s="43">
        <f t="shared" si="239"/>
        <v>0.87688609315999988</v>
      </c>
      <c r="AF1099" s="43">
        <v>14.609989882534109</v>
      </c>
      <c r="AG1099" s="43">
        <v>1.6158904000000002E-2</v>
      </c>
      <c r="AH1099" s="43">
        <v>7.1457229999999997E-3</v>
      </c>
      <c r="AI1099" s="43">
        <v>0.87532796199999996</v>
      </c>
      <c r="AJ1099" s="43">
        <v>2.7148981779999999</v>
      </c>
      <c r="AK1099" s="43">
        <v>8.4401224890000002</v>
      </c>
      <c r="AL1099" s="43">
        <v>4.1998119999999998E-3</v>
      </c>
      <c r="AM1099" s="230">
        <v>1.6305153416670784E-2</v>
      </c>
      <c r="AN1099" s="43">
        <v>0.89090370100000005</v>
      </c>
    </row>
    <row r="1100" spans="1:40" x14ac:dyDescent="0.25">
      <c r="A1100" s="134">
        <v>1090</v>
      </c>
      <c r="B1100" s="134" t="s">
        <v>206</v>
      </c>
      <c r="C1100" s="134" t="s">
        <v>205</v>
      </c>
      <c r="D1100" s="134" t="s">
        <v>62</v>
      </c>
      <c r="E1100" s="134">
        <v>94</v>
      </c>
      <c r="F1100" s="134">
        <v>261</v>
      </c>
      <c r="G1100" s="134">
        <v>40</v>
      </c>
      <c r="H1100" s="134">
        <v>564</v>
      </c>
      <c r="I1100" s="200">
        <v>6.4506407656099995E-2</v>
      </c>
      <c r="J1100" s="134">
        <v>825</v>
      </c>
      <c r="K1100" s="134">
        <v>12789.4271279</v>
      </c>
      <c r="L1100" s="42">
        <v>0.90516707698099996</v>
      </c>
      <c r="M1100" s="42">
        <v>0.85714285714299998</v>
      </c>
      <c r="N1100" s="134">
        <v>0</v>
      </c>
      <c r="O1100" s="43" t="s">
        <v>666</v>
      </c>
      <c r="P1100" s="43">
        <f t="shared" ref="P1100:P1163" si="243">IF(OR(IFERROR(AF1100=0,TRUE),ISERROR(AF1100)),AVERAGEIFS(AF:AF,$B:$B,$B1100,AF:AF,"&gt;0"),AF1100)</f>
        <v>15.656716648194674</v>
      </c>
      <c r="Q1100" s="43">
        <f t="shared" ref="Q1100:Q1163" si="244">IF(OR(IFERROR(AG1100=0,TRUE),ISERROR(AG1100)),AVERAGEIFS(AG:AG,$B:$B,$B1100,AG:AG,"&gt;0"),AG1100)</f>
        <v>1.6664506999999999E-2</v>
      </c>
      <c r="R1100" s="43">
        <f t="shared" ref="R1100:R1163" si="245">IF(OR(IFERROR(AH1100=0,TRUE),ISERROR(AH1100)),AVERAGEIFS(AH:AH,$B:$B,$B1100,AH:AH,"&gt;0"),AH1100)</f>
        <v>1.0819331999999999E-2</v>
      </c>
      <c r="S1100" s="43">
        <f t="shared" ref="S1100:S1163" si="246">IF(OR(IFERROR(AI1100=0,TRUE),ISERROR(AI1100)),AVERAGEIFS(AI:AI,$B:$B,$B1100,AI:AI,"&gt;0"),AI1100)</f>
        <v>0.90516707699999999</v>
      </c>
      <c r="T1100" s="43">
        <f t="shared" ref="T1100:T1163" si="247">IF(OR(IFERROR(AJ1100=0,TRUE),ISERROR(AJ1100)),AVERAGEIFS(AJ:AJ,$B:$B,$B1100,AJ:AJ,"&gt;0"),AJ1100)</f>
        <v>2.9916777630000002</v>
      </c>
      <c r="U1100" s="43">
        <f t="shared" ref="U1100:U1163" si="248">IF(OR(IFERROR(AK1100=0,TRUE),ISERROR(AK1100)),AVERAGEIFS(AK:AK,$B:$B,$B1100,AK:AK,"&gt;0"),AK1100)</f>
        <v>9.5175973070000008</v>
      </c>
      <c r="V1100" s="43">
        <f t="shared" ref="V1100:V1163" si="249">IF(OR(IFERROR(AL1100=0,TRUE),ISERROR(AL1100)),AVERAGEIFS(AL:AL,$B:$B,$B1100,AL:AL,"&gt;0"),AL1100)</f>
        <v>5.9122360000000004E-3</v>
      </c>
      <c r="W1100" s="230">
        <f t="shared" ref="W1100:W1163" si="250">IF(OR(IFERROR(AM1100=0,TRUE),ISERROR(AM1100)),AVERAGEIFS(AM:AM,$B:$B,$B1100,AM:AM,"&gt;0"),AM1100)</f>
        <v>2.8926162739774018E-2</v>
      </c>
      <c r="X1100" s="43">
        <f t="shared" ref="X1100:X1163" si="251">IF(OR(IFERROR(AN1100=0,TRUE),ISERROR(AN1100)),AVERAGEIFS(AN:AN,$B:$B,$B1100,AN:AN,"&gt;0"),AN1100)</f>
        <v>0.91696592799999999</v>
      </c>
      <c r="Y1100" s="43">
        <v>37.754099029999999</v>
      </c>
      <c r="Z1100" s="43">
        <f t="shared" si="240"/>
        <v>0</v>
      </c>
      <c r="AA1100" s="43">
        <f t="shared" si="241"/>
        <v>81011</v>
      </c>
      <c r="AB1100" s="43">
        <f t="shared" si="242"/>
        <v>29053</v>
      </c>
      <c r="AC1100" s="43">
        <f t="shared" ref="AC1100:AC1163" si="252">AVERAGEIFS(Q:Q,B:B,B1100,N:N,0,Q:Q,"&gt;0")</f>
        <v>2.1404971853430661E-2</v>
      </c>
      <c r="AD1100" s="43">
        <f t="shared" ref="AD1100:AD1163" si="253">AVERAGEIFS(S:S,B:B,B1100,N:N,0,S:S,"&gt;0")</f>
        <v>0.87688609315999988</v>
      </c>
      <c r="AF1100" s="43">
        <v>15.656716648194674</v>
      </c>
      <c r="AG1100" s="43">
        <v>1.6664506999999999E-2</v>
      </c>
      <c r="AH1100" s="43">
        <v>1.0819331999999999E-2</v>
      </c>
      <c r="AI1100" s="43">
        <v>0.90516707699999999</v>
      </c>
      <c r="AJ1100" s="43">
        <v>2.9916777630000002</v>
      </c>
      <c r="AK1100" s="43">
        <v>9.5175973070000008</v>
      </c>
      <c r="AL1100" s="43">
        <v>5.9122360000000004E-3</v>
      </c>
      <c r="AM1100" s="230">
        <v>2.8926162739774018E-2</v>
      </c>
      <c r="AN1100" s="43">
        <v>0.91696592799999999</v>
      </c>
    </row>
    <row r="1101" spans="1:40" x14ac:dyDescent="0.25">
      <c r="A1101" s="134">
        <v>1091</v>
      </c>
      <c r="B1101" s="134" t="s">
        <v>206</v>
      </c>
      <c r="C1101" s="134" t="s">
        <v>205</v>
      </c>
      <c r="D1101" s="134" t="s">
        <v>62</v>
      </c>
      <c r="E1101" s="134">
        <v>0</v>
      </c>
      <c r="F1101" s="134">
        <v>0</v>
      </c>
      <c r="G1101" s="134">
        <v>35</v>
      </c>
      <c r="H1101" s="134">
        <v>537</v>
      </c>
      <c r="I1101" s="200">
        <v>5.6897585647499999E-2</v>
      </c>
      <c r="J1101" s="134">
        <v>537</v>
      </c>
      <c r="K1101" s="134">
        <v>9438.0103107899995</v>
      </c>
      <c r="L1101" s="42">
        <v>0.87375956619899997</v>
      </c>
      <c r="M1101" s="42">
        <v>1</v>
      </c>
      <c r="N1101" s="134">
        <v>0</v>
      </c>
      <c r="O1101" s="43" t="s">
        <v>664</v>
      </c>
      <c r="P1101" s="43">
        <f t="shared" si="243"/>
        <v>14.374412354892245</v>
      </c>
      <c r="Q1101" s="43">
        <f t="shared" si="244"/>
        <v>1.7603140999999999E-2</v>
      </c>
      <c r="R1101" s="43">
        <f t="shared" si="245"/>
        <v>7.3858400000000003E-3</v>
      </c>
      <c r="S1101" s="43">
        <f t="shared" si="246"/>
        <v>0.87375956600000004</v>
      </c>
      <c r="T1101" s="43">
        <f t="shared" si="247"/>
        <v>2.7192660549999998</v>
      </c>
      <c r="U1101" s="43">
        <f t="shared" si="248"/>
        <v>8.2661294040000008</v>
      </c>
      <c r="V1101" s="43">
        <f t="shared" si="249"/>
        <v>4.4617729999999996E-3</v>
      </c>
      <c r="W1101" s="230">
        <f t="shared" si="250"/>
        <v>1.9052978535252032E-2</v>
      </c>
      <c r="X1101" s="43">
        <f t="shared" si="251"/>
        <v>0.89774097600000002</v>
      </c>
      <c r="Y1101" s="43">
        <v>37.5005302</v>
      </c>
      <c r="Z1101" s="43">
        <f t="shared" si="240"/>
        <v>0</v>
      </c>
      <c r="AA1101" s="43">
        <f t="shared" si="241"/>
        <v>81011</v>
      </c>
      <c r="AB1101" s="43">
        <f t="shared" si="242"/>
        <v>29053</v>
      </c>
      <c r="AC1101" s="43">
        <f t="shared" si="252"/>
        <v>2.1404971853430661E-2</v>
      </c>
      <c r="AD1101" s="43">
        <f t="shared" si="253"/>
        <v>0.87688609315999988</v>
      </c>
      <c r="AF1101" s="43">
        <v>14.374412354892245</v>
      </c>
      <c r="AG1101" s="43">
        <v>1.7603140999999999E-2</v>
      </c>
      <c r="AH1101" s="43">
        <v>7.3858400000000003E-3</v>
      </c>
      <c r="AI1101" s="43">
        <v>0.87375956600000004</v>
      </c>
      <c r="AJ1101" s="43">
        <v>2.7192660549999998</v>
      </c>
      <c r="AK1101" s="43">
        <v>8.2661294040000008</v>
      </c>
      <c r="AL1101" s="43">
        <v>4.4617729999999996E-3</v>
      </c>
      <c r="AM1101" s="230">
        <v>1.9052978535252032E-2</v>
      </c>
      <c r="AN1101" s="43">
        <v>0.89774097600000002</v>
      </c>
    </row>
    <row r="1102" spans="1:40" x14ac:dyDescent="0.25">
      <c r="A1102" s="134">
        <v>1092</v>
      </c>
      <c r="B1102" s="134" t="s">
        <v>206</v>
      </c>
      <c r="C1102" s="134" t="s">
        <v>205</v>
      </c>
      <c r="D1102" s="134" t="s">
        <v>62</v>
      </c>
      <c r="E1102" s="134">
        <v>0</v>
      </c>
      <c r="F1102" s="134">
        <v>0</v>
      </c>
      <c r="G1102" s="134">
        <v>21</v>
      </c>
      <c r="H1102" s="134">
        <v>878</v>
      </c>
      <c r="I1102" s="200">
        <v>3.38469511093E-2</v>
      </c>
      <c r="J1102" s="134">
        <v>878</v>
      </c>
      <c r="K1102" s="134">
        <v>25940.2980542</v>
      </c>
      <c r="L1102" s="42">
        <v>0.89652676032099998</v>
      </c>
      <c r="M1102" s="42">
        <v>1</v>
      </c>
      <c r="N1102" s="134">
        <v>0</v>
      </c>
      <c r="O1102" s="43" t="s">
        <v>664</v>
      </c>
      <c r="P1102" s="43">
        <f t="shared" si="243"/>
        <v>14.868955485282472</v>
      </c>
      <c r="Q1102" s="43">
        <f t="shared" si="244"/>
        <v>2.1184176999999998E-2</v>
      </c>
      <c r="R1102" s="43">
        <f t="shared" si="245"/>
        <v>5.9812119999999996E-3</v>
      </c>
      <c r="S1102" s="43">
        <f t="shared" si="246"/>
        <v>0.89652675999999998</v>
      </c>
      <c r="T1102" s="43">
        <f t="shared" si="247"/>
        <v>2.9225251079999999</v>
      </c>
      <c r="U1102" s="43">
        <f t="shared" si="248"/>
        <v>8.1006085619999997</v>
      </c>
      <c r="V1102" s="43">
        <f t="shared" si="249"/>
        <v>4.3264610000000002E-3</v>
      </c>
      <c r="W1102" s="230">
        <f t="shared" si="250"/>
        <v>2.4810383506035677E-2</v>
      </c>
      <c r="X1102" s="43">
        <f t="shared" si="251"/>
        <v>0.90997222499999997</v>
      </c>
      <c r="Y1102" s="43">
        <v>37.5005302</v>
      </c>
      <c r="Z1102" s="43">
        <f t="shared" si="240"/>
        <v>0</v>
      </c>
      <c r="AA1102" s="43">
        <f t="shared" si="241"/>
        <v>81011</v>
      </c>
      <c r="AB1102" s="43">
        <f t="shared" si="242"/>
        <v>29053</v>
      </c>
      <c r="AC1102" s="43">
        <f t="shared" si="252"/>
        <v>2.1404971853430661E-2</v>
      </c>
      <c r="AD1102" s="43">
        <f t="shared" si="253"/>
        <v>0.87688609315999988</v>
      </c>
      <c r="AF1102" s="43">
        <v>14.868955485282472</v>
      </c>
      <c r="AG1102" s="43">
        <v>2.1184176999999998E-2</v>
      </c>
      <c r="AH1102" s="43">
        <v>5.9812119999999996E-3</v>
      </c>
      <c r="AI1102" s="43">
        <v>0.89652675999999998</v>
      </c>
      <c r="AJ1102" s="43">
        <v>2.9225251079999999</v>
      </c>
      <c r="AK1102" s="43">
        <v>8.1006085619999997</v>
      </c>
      <c r="AL1102" s="43">
        <v>4.3264610000000002E-3</v>
      </c>
      <c r="AM1102" s="230">
        <v>2.4810383506035677E-2</v>
      </c>
      <c r="AN1102" s="43">
        <v>0.90997222499999997</v>
      </c>
    </row>
    <row r="1103" spans="1:40" x14ac:dyDescent="0.25">
      <c r="A1103" s="134">
        <v>1093</v>
      </c>
      <c r="B1103" s="134" t="s">
        <v>206</v>
      </c>
      <c r="C1103" s="134" t="s">
        <v>205</v>
      </c>
      <c r="D1103" s="134" t="s">
        <v>62</v>
      </c>
      <c r="E1103" s="134">
        <v>0</v>
      </c>
      <c r="F1103" s="134">
        <v>0</v>
      </c>
      <c r="G1103" s="134">
        <v>17</v>
      </c>
      <c r="H1103" s="134">
        <v>162</v>
      </c>
      <c r="I1103" s="200">
        <v>2.6240800749099999E-2</v>
      </c>
      <c r="J1103" s="134">
        <v>162</v>
      </c>
      <c r="K1103" s="134">
        <v>6173.5920922799996</v>
      </c>
      <c r="L1103" s="42">
        <v>0.87574738837099997</v>
      </c>
      <c r="M1103" s="42">
        <v>1</v>
      </c>
      <c r="N1103" s="134">
        <v>1</v>
      </c>
      <c r="O1103" s="43" t="s">
        <v>664</v>
      </c>
      <c r="P1103" s="43">
        <f t="shared" si="243"/>
        <v>14.139670734163184</v>
      </c>
      <c r="Q1103" s="43">
        <f t="shared" si="244"/>
        <v>1.6109745000000002E-2</v>
      </c>
      <c r="R1103" s="43">
        <f t="shared" si="245"/>
        <v>7.8969339999999996E-3</v>
      </c>
      <c r="S1103" s="43">
        <f t="shared" si="246"/>
        <v>0.87574738799999996</v>
      </c>
      <c r="T1103" s="43">
        <f t="shared" si="247"/>
        <v>2.6681034480000001</v>
      </c>
      <c r="U1103" s="43">
        <f t="shared" si="248"/>
        <v>7.016815072</v>
      </c>
      <c r="V1103" s="43">
        <f t="shared" si="249"/>
        <v>3.130299E-3</v>
      </c>
      <c r="W1103" s="230">
        <f t="shared" si="250"/>
        <v>1.0043041606886656E-2</v>
      </c>
      <c r="X1103" s="43">
        <f t="shared" si="251"/>
        <v>0.89278727000000002</v>
      </c>
      <c r="Y1103" s="43">
        <v>38.011837159999999</v>
      </c>
      <c r="Z1103" s="43">
        <f t="shared" si="240"/>
        <v>0</v>
      </c>
      <c r="AA1103" s="43">
        <f t="shared" si="241"/>
        <v>81011</v>
      </c>
      <c r="AB1103" s="43">
        <f t="shared" si="242"/>
        <v>29053</v>
      </c>
      <c r="AC1103" s="43">
        <f t="shared" si="252"/>
        <v>2.1404971853430661E-2</v>
      </c>
      <c r="AD1103" s="43">
        <f t="shared" si="253"/>
        <v>0.87688609315999988</v>
      </c>
      <c r="AF1103" s="43">
        <v>14.139670734163184</v>
      </c>
      <c r="AG1103" s="43">
        <v>1.6109745000000002E-2</v>
      </c>
      <c r="AH1103" s="43">
        <v>7.8969339999999996E-3</v>
      </c>
      <c r="AI1103" s="43">
        <v>0.87574738799999996</v>
      </c>
      <c r="AJ1103" s="43">
        <v>2.6681034480000001</v>
      </c>
      <c r="AK1103" s="43">
        <v>7.016815072</v>
      </c>
      <c r="AL1103" s="43">
        <v>3.130299E-3</v>
      </c>
      <c r="AM1103" s="230">
        <v>1.0043041606886656E-2</v>
      </c>
      <c r="AN1103" s="43">
        <v>0.89278727000000002</v>
      </c>
    </row>
    <row r="1104" spans="1:40" x14ac:dyDescent="0.25">
      <c r="A1104" s="134">
        <v>1094</v>
      </c>
      <c r="B1104" s="134" t="s">
        <v>206</v>
      </c>
      <c r="C1104" s="134" t="s">
        <v>205</v>
      </c>
      <c r="D1104" s="134" t="s">
        <v>62</v>
      </c>
      <c r="E1104" s="134">
        <v>0</v>
      </c>
      <c r="F1104" s="134">
        <v>0</v>
      </c>
      <c r="G1104" s="134">
        <v>31</v>
      </c>
      <c r="H1104" s="134">
        <v>785</v>
      </c>
      <c r="I1104" s="200">
        <v>5.0230381140899998E-2</v>
      </c>
      <c r="J1104" s="134">
        <v>785</v>
      </c>
      <c r="K1104" s="134">
        <v>15627.992107</v>
      </c>
      <c r="L1104" s="42">
        <v>0.88047440032099999</v>
      </c>
      <c r="M1104" s="42">
        <v>1</v>
      </c>
      <c r="N1104" s="134">
        <v>0</v>
      </c>
      <c r="O1104" s="43" t="s">
        <v>664</v>
      </c>
      <c r="P1104" s="43">
        <f t="shared" si="243"/>
        <v>14.512548444389818</v>
      </c>
      <c r="Q1104" s="43">
        <f t="shared" si="244"/>
        <v>2.0437760999999999E-2</v>
      </c>
      <c r="R1104" s="43">
        <f t="shared" si="245"/>
        <v>7.4136979999999998E-3</v>
      </c>
      <c r="S1104" s="43">
        <f t="shared" si="246"/>
        <v>0.88047439999999999</v>
      </c>
      <c r="T1104" s="43">
        <f t="shared" si="247"/>
        <v>2.7822997420000002</v>
      </c>
      <c r="U1104" s="43">
        <f t="shared" si="248"/>
        <v>8.3700674829999997</v>
      </c>
      <c r="V1104" s="43">
        <f t="shared" si="249"/>
        <v>4.4641580000000002E-3</v>
      </c>
      <c r="W1104" s="230">
        <f t="shared" si="250"/>
        <v>2.5811990270424953E-2</v>
      </c>
      <c r="X1104" s="43">
        <f t="shared" si="251"/>
        <v>0.90931463700000004</v>
      </c>
      <c r="Y1104" s="43">
        <v>37.5005302</v>
      </c>
      <c r="Z1104" s="43">
        <f t="shared" si="240"/>
        <v>0</v>
      </c>
      <c r="AA1104" s="43">
        <f t="shared" si="241"/>
        <v>81011</v>
      </c>
      <c r="AB1104" s="43">
        <f t="shared" si="242"/>
        <v>29053</v>
      </c>
      <c r="AC1104" s="43">
        <f t="shared" si="252"/>
        <v>2.1404971853430661E-2</v>
      </c>
      <c r="AD1104" s="43">
        <f t="shared" si="253"/>
        <v>0.87688609315999988</v>
      </c>
      <c r="AF1104" s="43">
        <v>14.512548444389818</v>
      </c>
      <c r="AG1104" s="43">
        <v>2.0437760999999999E-2</v>
      </c>
      <c r="AH1104" s="43">
        <v>7.4136979999999998E-3</v>
      </c>
      <c r="AI1104" s="43">
        <v>0.88047439999999999</v>
      </c>
      <c r="AJ1104" s="43">
        <v>2.7822997420000002</v>
      </c>
      <c r="AK1104" s="43">
        <v>8.3700674829999997</v>
      </c>
      <c r="AL1104" s="43">
        <v>4.4641580000000002E-3</v>
      </c>
      <c r="AM1104" s="230">
        <v>2.5811990270424953E-2</v>
      </c>
      <c r="AN1104" s="43">
        <v>0.90931463700000004</v>
      </c>
    </row>
    <row r="1105" spans="1:40" x14ac:dyDescent="0.25">
      <c r="A1105" s="134">
        <v>1095</v>
      </c>
      <c r="B1105" s="134" t="s">
        <v>206</v>
      </c>
      <c r="C1105" s="134" t="s">
        <v>205</v>
      </c>
      <c r="D1105" s="134" t="s">
        <v>62</v>
      </c>
      <c r="E1105" s="134">
        <v>2</v>
      </c>
      <c r="F1105" s="134">
        <v>4</v>
      </c>
      <c r="G1105" s="134">
        <v>25</v>
      </c>
      <c r="H1105" s="134">
        <v>317</v>
      </c>
      <c r="I1105" s="200">
        <v>4.0538670629199997E-2</v>
      </c>
      <c r="J1105" s="134">
        <v>321</v>
      </c>
      <c r="K1105" s="134">
        <v>7918.3652304699999</v>
      </c>
      <c r="L1105" s="42">
        <v>0.88486891915099997</v>
      </c>
      <c r="M1105" s="42">
        <v>0.99373040752399999</v>
      </c>
      <c r="N1105" s="134">
        <v>0</v>
      </c>
      <c r="O1105" s="43" t="s">
        <v>664</v>
      </c>
      <c r="P1105" s="43">
        <f t="shared" si="243"/>
        <v>14.737856146817498</v>
      </c>
      <c r="Q1105" s="43">
        <f t="shared" si="244"/>
        <v>1.3304933E-2</v>
      </c>
      <c r="R1105" s="43">
        <f t="shared" si="245"/>
        <v>8.3483910000000001E-3</v>
      </c>
      <c r="S1105" s="43">
        <f t="shared" si="246"/>
        <v>0.88486891899999998</v>
      </c>
      <c r="T1105" s="43">
        <f t="shared" si="247"/>
        <v>2.594890511</v>
      </c>
      <c r="U1105" s="43">
        <f t="shared" si="248"/>
        <v>7.3237007519999997</v>
      </c>
      <c r="V1105" s="43">
        <f t="shared" si="249"/>
        <v>4.1430440000000002E-3</v>
      </c>
      <c r="W1105" s="230">
        <f t="shared" si="250"/>
        <v>1.1502398604448323E-2</v>
      </c>
      <c r="X1105" s="43">
        <f t="shared" si="251"/>
        <v>0.91904710000000001</v>
      </c>
      <c r="Y1105" s="43">
        <v>38.512906860000001</v>
      </c>
      <c r="Z1105" s="43">
        <f t="shared" si="240"/>
        <v>0</v>
      </c>
      <c r="AA1105" s="43">
        <f t="shared" si="241"/>
        <v>81011</v>
      </c>
      <c r="AB1105" s="43">
        <f t="shared" si="242"/>
        <v>29053</v>
      </c>
      <c r="AC1105" s="43">
        <f t="shared" si="252"/>
        <v>2.1404971853430661E-2</v>
      </c>
      <c r="AD1105" s="43">
        <f t="shared" si="253"/>
        <v>0.87688609315999988</v>
      </c>
      <c r="AF1105" s="43">
        <v>14.737856146817498</v>
      </c>
      <c r="AG1105" s="43">
        <v>1.3304933E-2</v>
      </c>
      <c r="AH1105" s="43">
        <v>8.3483910000000001E-3</v>
      </c>
      <c r="AI1105" s="43">
        <v>0.88486891899999998</v>
      </c>
      <c r="AJ1105" s="43">
        <v>2.594890511</v>
      </c>
      <c r="AK1105" s="43">
        <v>7.3237007519999997</v>
      </c>
      <c r="AL1105" s="43">
        <v>4.1430440000000002E-3</v>
      </c>
      <c r="AM1105" s="230">
        <v>1.1502398604448323E-2</v>
      </c>
      <c r="AN1105" s="43">
        <v>0.91904710000000001</v>
      </c>
    </row>
    <row r="1106" spans="1:40" x14ac:dyDescent="0.25">
      <c r="A1106" s="134">
        <v>1096</v>
      </c>
      <c r="B1106" s="134" t="s">
        <v>206</v>
      </c>
      <c r="C1106" s="134" t="s">
        <v>205</v>
      </c>
      <c r="D1106" s="134" t="s">
        <v>62</v>
      </c>
      <c r="E1106" s="134">
        <v>0</v>
      </c>
      <c r="F1106" s="134">
        <v>0</v>
      </c>
      <c r="G1106" s="134">
        <v>39</v>
      </c>
      <c r="H1106" s="134">
        <v>233</v>
      </c>
      <c r="I1106" s="200">
        <v>2.8456694105599999E-2</v>
      </c>
      <c r="J1106" s="134">
        <v>233</v>
      </c>
      <c r="K1106" s="134">
        <v>8187.8801218299996</v>
      </c>
      <c r="L1106" s="42">
        <v>0.88722952737899996</v>
      </c>
      <c r="M1106" s="42">
        <v>1</v>
      </c>
      <c r="N1106" s="134">
        <v>0</v>
      </c>
      <c r="O1106" s="43" t="s">
        <v>666</v>
      </c>
      <c r="P1106" s="43">
        <f t="shared" si="243"/>
        <v>14.866878985712219</v>
      </c>
      <c r="Q1106" s="43">
        <f t="shared" si="244"/>
        <v>9.3016799999999997E-3</v>
      </c>
      <c r="R1106" s="43">
        <f t="shared" si="245"/>
        <v>7.7745380000000001E-3</v>
      </c>
      <c r="S1106" s="43">
        <f t="shared" si="246"/>
        <v>0.88722952700000002</v>
      </c>
      <c r="T1106" s="43">
        <f t="shared" si="247"/>
        <v>2.6020278829999999</v>
      </c>
      <c r="U1106" s="43">
        <f t="shared" si="248"/>
        <v>7.4901456470000003</v>
      </c>
      <c r="V1106" s="43">
        <f t="shared" si="249"/>
        <v>3.305512E-3</v>
      </c>
      <c r="W1106" s="230">
        <f t="shared" si="250"/>
        <v>5.7020080985042548E-3</v>
      </c>
      <c r="X1106" s="43">
        <f t="shared" si="251"/>
        <v>0.91546153200000002</v>
      </c>
      <c r="Y1106" s="43">
        <v>50.390834849999997</v>
      </c>
      <c r="Z1106" s="43">
        <f t="shared" si="240"/>
        <v>0</v>
      </c>
      <c r="AA1106" s="43">
        <f t="shared" si="241"/>
        <v>81011</v>
      </c>
      <c r="AB1106" s="43">
        <f t="shared" si="242"/>
        <v>29053</v>
      </c>
      <c r="AC1106" s="43">
        <f t="shared" si="252"/>
        <v>2.1404971853430661E-2</v>
      </c>
      <c r="AD1106" s="43">
        <f t="shared" si="253"/>
        <v>0.87688609315999988</v>
      </c>
      <c r="AF1106" s="43">
        <v>14.866878985712219</v>
      </c>
      <c r="AG1106" s="43">
        <v>9.3016799999999997E-3</v>
      </c>
      <c r="AH1106" s="43">
        <v>7.7745380000000001E-3</v>
      </c>
      <c r="AI1106" s="43">
        <v>0.88722952700000002</v>
      </c>
      <c r="AJ1106" s="43">
        <v>2.6020278829999999</v>
      </c>
      <c r="AK1106" s="43">
        <v>7.4901456470000003</v>
      </c>
      <c r="AL1106" s="43">
        <v>3.305512E-3</v>
      </c>
      <c r="AM1106" s="230">
        <v>5.7020080985042548E-3</v>
      </c>
      <c r="AN1106" s="43">
        <v>0.91546153200000002</v>
      </c>
    </row>
    <row r="1107" spans="1:40" x14ac:dyDescent="0.25">
      <c r="A1107" s="134">
        <v>1097</v>
      </c>
      <c r="B1107" s="134" t="s">
        <v>206</v>
      </c>
      <c r="C1107" s="134" t="s">
        <v>205</v>
      </c>
      <c r="D1107" s="134" t="s">
        <v>62</v>
      </c>
      <c r="E1107" s="134">
        <v>0</v>
      </c>
      <c r="F1107" s="134">
        <v>0</v>
      </c>
      <c r="G1107" s="134">
        <v>19</v>
      </c>
      <c r="H1107" s="134">
        <v>108</v>
      </c>
      <c r="I1107" s="200">
        <v>2.96076964697E-2</v>
      </c>
      <c r="J1107" s="134">
        <v>108</v>
      </c>
      <c r="K1107" s="134">
        <v>3647.7001887199999</v>
      </c>
      <c r="L1107" s="42">
        <v>0.85778263244099995</v>
      </c>
      <c r="M1107" s="42">
        <v>1</v>
      </c>
      <c r="N1107" s="134">
        <v>1</v>
      </c>
      <c r="O1107" s="43" t="s">
        <v>664</v>
      </c>
      <c r="P1107" s="43">
        <f t="shared" si="243"/>
        <v>13.999429655358034</v>
      </c>
      <c r="Q1107" s="43">
        <f t="shared" si="244"/>
        <v>1.9158930000000001E-2</v>
      </c>
      <c r="R1107" s="43">
        <f t="shared" si="245"/>
        <v>8.3670129999999995E-3</v>
      </c>
      <c r="S1107" s="43">
        <f t="shared" si="246"/>
        <v>0.85778263200000004</v>
      </c>
      <c r="T1107" s="43">
        <f t="shared" si="247"/>
        <v>2.4525065960000001</v>
      </c>
      <c r="U1107" s="43">
        <f t="shared" si="248"/>
        <v>6.3359237110000004</v>
      </c>
      <c r="V1107" s="43">
        <f t="shared" si="249"/>
        <v>3.0802680000000002E-3</v>
      </c>
      <c r="W1107" s="230">
        <f t="shared" si="250"/>
        <v>1.014676571842725E-2</v>
      </c>
      <c r="X1107" s="43">
        <f t="shared" si="251"/>
        <v>0.86628012300000001</v>
      </c>
      <c r="Y1107" s="43">
        <v>37.5005302</v>
      </c>
      <c r="Z1107" s="43">
        <f t="shared" si="240"/>
        <v>0</v>
      </c>
      <c r="AA1107" s="43">
        <f t="shared" si="241"/>
        <v>81011</v>
      </c>
      <c r="AB1107" s="43">
        <f t="shared" si="242"/>
        <v>29053</v>
      </c>
      <c r="AC1107" s="43">
        <f t="shared" si="252"/>
        <v>2.1404971853430661E-2</v>
      </c>
      <c r="AD1107" s="43">
        <f t="shared" si="253"/>
        <v>0.87688609315999988</v>
      </c>
      <c r="AF1107" s="43">
        <v>13.999429655358034</v>
      </c>
      <c r="AG1107" s="43">
        <v>1.9158930000000001E-2</v>
      </c>
      <c r="AH1107" s="43">
        <v>8.3670129999999995E-3</v>
      </c>
      <c r="AI1107" s="43">
        <v>0.85778263200000004</v>
      </c>
      <c r="AJ1107" s="43">
        <v>2.4525065960000001</v>
      </c>
      <c r="AK1107" s="43">
        <v>6.3359237110000004</v>
      </c>
      <c r="AL1107" s="43">
        <v>3.0802680000000002E-3</v>
      </c>
      <c r="AM1107" s="230">
        <v>1.014676571842725E-2</v>
      </c>
      <c r="AN1107" s="43">
        <v>0.86628012300000001</v>
      </c>
    </row>
    <row r="1108" spans="1:40" x14ac:dyDescent="0.25">
      <c r="A1108" s="134">
        <v>1098</v>
      </c>
      <c r="B1108" s="134" t="s">
        <v>206</v>
      </c>
      <c r="C1108" s="134" t="s">
        <v>205</v>
      </c>
      <c r="D1108" s="134" t="s">
        <v>62</v>
      </c>
      <c r="E1108" s="134">
        <v>0</v>
      </c>
      <c r="F1108" s="134">
        <v>0</v>
      </c>
      <c r="G1108" s="134">
        <v>18</v>
      </c>
      <c r="H1108" s="134">
        <v>269</v>
      </c>
      <c r="I1108" s="200">
        <v>2.8379934334999999E-2</v>
      </c>
      <c r="J1108" s="134">
        <v>269</v>
      </c>
      <c r="K1108" s="134">
        <v>9478.52792133</v>
      </c>
      <c r="L1108" s="42">
        <v>0.87383725033500004</v>
      </c>
      <c r="M1108" s="42">
        <v>1</v>
      </c>
      <c r="N1108" s="134">
        <v>1</v>
      </c>
      <c r="O1108" s="43" t="s">
        <v>664</v>
      </c>
      <c r="P1108" s="43">
        <f t="shared" si="243"/>
        <v>14.311003350859508</v>
      </c>
      <c r="Q1108" s="43">
        <f t="shared" si="244"/>
        <v>1.5964428999999999E-2</v>
      </c>
      <c r="R1108" s="43">
        <f t="shared" si="245"/>
        <v>8.2856939999999997E-3</v>
      </c>
      <c r="S1108" s="43">
        <f t="shared" si="246"/>
        <v>0.87383725000000001</v>
      </c>
      <c r="T1108" s="43">
        <f t="shared" si="247"/>
        <v>2.57712305</v>
      </c>
      <c r="U1108" s="43">
        <f t="shared" si="248"/>
        <v>6.9809962609999996</v>
      </c>
      <c r="V1108" s="43">
        <f t="shared" si="249"/>
        <v>3.5472429999999998E-3</v>
      </c>
      <c r="W1108" s="230">
        <f t="shared" si="250"/>
        <v>1.5237020316027089E-2</v>
      </c>
      <c r="X1108" s="43">
        <f t="shared" si="251"/>
        <v>0.89664624299999995</v>
      </c>
      <c r="Y1108" s="43">
        <v>38.462512750000002</v>
      </c>
      <c r="Z1108" s="43">
        <f t="shared" si="240"/>
        <v>0</v>
      </c>
      <c r="AA1108" s="43">
        <f t="shared" si="241"/>
        <v>81011</v>
      </c>
      <c r="AB1108" s="43">
        <f t="shared" si="242"/>
        <v>29053</v>
      </c>
      <c r="AC1108" s="43">
        <f t="shared" si="252"/>
        <v>2.1404971853430661E-2</v>
      </c>
      <c r="AD1108" s="43">
        <f t="shared" si="253"/>
        <v>0.87688609315999988</v>
      </c>
      <c r="AF1108" s="43">
        <v>14.311003350859508</v>
      </c>
      <c r="AG1108" s="43">
        <v>1.5964428999999999E-2</v>
      </c>
      <c r="AH1108" s="43">
        <v>8.2856939999999997E-3</v>
      </c>
      <c r="AI1108" s="43">
        <v>0.87383725000000001</v>
      </c>
      <c r="AJ1108" s="43">
        <v>2.57712305</v>
      </c>
      <c r="AK1108" s="43">
        <v>6.9809962609999996</v>
      </c>
      <c r="AL1108" s="43">
        <v>3.5472429999999998E-3</v>
      </c>
      <c r="AM1108" s="230">
        <v>1.5237020316027089E-2</v>
      </c>
      <c r="AN1108" s="43">
        <v>0.89664624299999995</v>
      </c>
    </row>
    <row r="1109" spans="1:40" x14ac:dyDescent="0.25">
      <c r="A1109" s="134">
        <v>1099</v>
      </c>
      <c r="B1109" s="134" t="s">
        <v>206</v>
      </c>
      <c r="C1109" s="134" t="s">
        <v>205</v>
      </c>
      <c r="D1109" s="134" t="s">
        <v>62</v>
      </c>
      <c r="E1109" s="134">
        <v>0</v>
      </c>
      <c r="F1109" s="134">
        <v>0</v>
      </c>
      <c r="G1109" s="134">
        <v>35</v>
      </c>
      <c r="H1109" s="134">
        <v>597</v>
      </c>
      <c r="I1109" s="200">
        <v>4.3011831105800001E-2</v>
      </c>
      <c r="J1109" s="134">
        <v>597</v>
      </c>
      <c r="K1109" s="134">
        <v>13879.901986299999</v>
      </c>
      <c r="L1109" s="42">
        <v>0.86878821501900005</v>
      </c>
      <c r="M1109" s="42">
        <v>1</v>
      </c>
      <c r="N1109" s="134">
        <v>1</v>
      </c>
      <c r="O1109" s="43" t="s">
        <v>664</v>
      </c>
      <c r="P1109" s="43">
        <f t="shared" si="243"/>
        <v>14.718027319395775</v>
      </c>
      <c r="Q1109" s="43">
        <f t="shared" si="244"/>
        <v>2.5071413000000001E-2</v>
      </c>
      <c r="R1109" s="43">
        <f t="shared" si="245"/>
        <v>7.3065939999999996E-3</v>
      </c>
      <c r="S1109" s="43">
        <f t="shared" si="246"/>
        <v>0.86878821500000003</v>
      </c>
      <c r="T1109" s="43">
        <f t="shared" si="247"/>
        <v>2.6841680129999999</v>
      </c>
      <c r="U1109" s="43">
        <f t="shared" si="248"/>
        <v>8.3071902160000004</v>
      </c>
      <c r="V1109" s="43">
        <f t="shared" si="249"/>
        <v>3.9683970000000002E-3</v>
      </c>
      <c r="W1109" s="230">
        <f t="shared" si="250"/>
        <v>2.9366138749594144E-2</v>
      </c>
      <c r="X1109" s="43">
        <f t="shared" si="251"/>
        <v>0.89563115599999998</v>
      </c>
      <c r="Y1109" s="43">
        <v>37.5005302</v>
      </c>
      <c r="Z1109" s="43">
        <f t="shared" si="240"/>
        <v>0</v>
      </c>
      <c r="AA1109" s="43">
        <f t="shared" si="241"/>
        <v>81011</v>
      </c>
      <c r="AB1109" s="43">
        <f t="shared" si="242"/>
        <v>29053</v>
      </c>
      <c r="AC1109" s="43">
        <f t="shared" si="252"/>
        <v>2.1404971853430661E-2</v>
      </c>
      <c r="AD1109" s="43">
        <f t="shared" si="253"/>
        <v>0.87688609315999988</v>
      </c>
      <c r="AF1109" s="43">
        <v>14.718027319395775</v>
      </c>
      <c r="AG1109" s="43">
        <v>2.5071413000000001E-2</v>
      </c>
      <c r="AH1109" s="43">
        <v>7.3065939999999996E-3</v>
      </c>
      <c r="AI1109" s="43">
        <v>0.86878821500000003</v>
      </c>
      <c r="AJ1109" s="43">
        <v>2.6841680129999999</v>
      </c>
      <c r="AK1109" s="43">
        <v>8.3071902160000004</v>
      </c>
      <c r="AL1109" s="43">
        <v>3.9683970000000002E-3</v>
      </c>
      <c r="AM1109" s="230">
        <v>2.9366138749594144E-2</v>
      </c>
      <c r="AN1109" s="43">
        <v>0.89563115599999998</v>
      </c>
    </row>
    <row r="1110" spans="1:40" x14ac:dyDescent="0.25">
      <c r="A1110" s="134">
        <v>1100</v>
      </c>
      <c r="B1110" s="134" t="s">
        <v>206</v>
      </c>
      <c r="C1110" s="134" t="s">
        <v>205</v>
      </c>
      <c r="D1110" s="134" t="s">
        <v>62</v>
      </c>
      <c r="E1110" s="134">
        <v>0</v>
      </c>
      <c r="F1110" s="134">
        <v>0</v>
      </c>
      <c r="G1110" s="134">
        <v>27</v>
      </c>
      <c r="H1110" s="134">
        <v>3</v>
      </c>
      <c r="I1110" s="200">
        <v>4.3732488376000002E-2</v>
      </c>
      <c r="J1110" s="134">
        <v>3</v>
      </c>
      <c r="K1110" s="134">
        <v>68.598886352099996</v>
      </c>
      <c r="L1110" s="42">
        <v>0.71535580524300002</v>
      </c>
      <c r="M1110" s="42">
        <v>1</v>
      </c>
      <c r="N1110" s="134">
        <v>1</v>
      </c>
      <c r="O1110" s="43" t="s">
        <v>664</v>
      </c>
      <c r="P1110" s="43">
        <f t="shared" si="243"/>
        <v>12.137800910865323</v>
      </c>
      <c r="Q1110" s="43">
        <f t="shared" si="244"/>
        <v>2.1597879613138693E-2</v>
      </c>
      <c r="R1110" s="43">
        <f t="shared" si="245"/>
        <v>1.9117673115942022E-2</v>
      </c>
      <c r="S1110" s="43">
        <f t="shared" si="246"/>
        <v>0.71535580499999996</v>
      </c>
      <c r="T1110" s="43">
        <f t="shared" si="247"/>
        <v>3.4268881297463767</v>
      </c>
      <c r="U1110" s="43">
        <f t="shared" si="248"/>
        <v>3.8864353309999999</v>
      </c>
      <c r="V1110" s="43">
        <f t="shared" si="249"/>
        <v>3.5018531387596905E-3</v>
      </c>
      <c r="W1110" s="230">
        <f t="shared" si="250"/>
        <v>4.2755492704656055E-2</v>
      </c>
      <c r="X1110" s="43">
        <f t="shared" si="251"/>
        <v>0.62962963000000005</v>
      </c>
      <c r="Y1110" s="43">
        <v>37.5005302</v>
      </c>
      <c r="Z1110" s="43">
        <f t="shared" si="240"/>
        <v>0</v>
      </c>
      <c r="AA1110" s="43">
        <f t="shared" si="241"/>
        <v>81011</v>
      </c>
      <c r="AB1110" s="43">
        <f t="shared" si="242"/>
        <v>29053</v>
      </c>
      <c r="AC1110" s="43">
        <f t="shared" si="252"/>
        <v>2.1404971853430661E-2</v>
      </c>
      <c r="AD1110" s="43">
        <f t="shared" si="253"/>
        <v>0.87688609315999988</v>
      </c>
      <c r="AF1110" s="43">
        <v>12.137800910865323</v>
      </c>
      <c r="AG1110" s="43">
        <v>0</v>
      </c>
      <c r="AH1110" s="43">
        <v>0</v>
      </c>
      <c r="AI1110" s="43">
        <v>0.71535580499999996</v>
      </c>
      <c r="AJ1110" s="43" t="e">
        <v>#DIV/0!</v>
      </c>
      <c r="AK1110" s="43">
        <v>3.8864353309999999</v>
      </c>
      <c r="AL1110" s="43">
        <v>0</v>
      </c>
      <c r="AM1110" s="230">
        <v>0</v>
      </c>
      <c r="AN1110" s="43">
        <v>0.62962963000000005</v>
      </c>
    </row>
    <row r="1111" spans="1:40" x14ac:dyDescent="0.25">
      <c r="A1111" s="134">
        <v>1101</v>
      </c>
      <c r="B1111" s="134" t="s">
        <v>206</v>
      </c>
      <c r="C1111" s="134" t="s">
        <v>205</v>
      </c>
      <c r="D1111" s="134" t="s">
        <v>62</v>
      </c>
      <c r="E1111" s="134">
        <v>0</v>
      </c>
      <c r="F1111" s="134">
        <v>0</v>
      </c>
      <c r="G1111" s="134">
        <v>31</v>
      </c>
      <c r="H1111" s="134">
        <v>764</v>
      </c>
      <c r="I1111" s="200">
        <v>5.0941298232100002E-2</v>
      </c>
      <c r="J1111" s="134">
        <v>764</v>
      </c>
      <c r="K1111" s="134">
        <v>14997.6546832</v>
      </c>
      <c r="L1111" s="42">
        <v>0.87977490260199998</v>
      </c>
      <c r="M1111" s="42">
        <v>1</v>
      </c>
      <c r="N1111" s="134">
        <v>1</v>
      </c>
      <c r="O1111" s="43" t="s">
        <v>664</v>
      </c>
      <c r="P1111" s="43">
        <f t="shared" si="243"/>
        <v>14.745096824857251</v>
      </c>
      <c r="Q1111" s="43">
        <f t="shared" si="244"/>
        <v>2.4462508000000001E-2</v>
      </c>
      <c r="R1111" s="43">
        <f t="shared" si="245"/>
        <v>7.5802029999999998E-3</v>
      </c>
      <c r="S1111" s="43">
        <f t="shared" si="246"/>
        <v>0.87977490300000005</v>
      </c>
      <c r="T1111" s="43">
        <f t="shared" si="247"/>
        <v>2.865830721</v>
      </c>
      <c r="U1111" s="43">
        <f t="shared" si="248"/>
        <v>8.6317401310000008</v>
      </c>
      <c r="V1111" s="43">
        <f t="shared" si="249"/>
        <v>4.5542689999999997E-3</v>
      </c>
      <c r="W1111" s="230">
        <f t="shared" si="250"/>
        <v>2.9059176117999651E-2</v>
      </c>
      <c r="X1111" s="43">
        <f t="shared" si="251"/>
        <v>0.90101075399999997</v>
      </c>
      <c r="Y1111" s="43">
        <v>37.5005302</v>
      </c>
      <c r="Z1111" s="43">
        <f t="shared" si="240"/>
        <v>0</v>
      </c>
      <c r="AA1111" s="43">
        <f t="shared" si="241"/>
        <v>81011</v>
      </c>
      <c r="AB1111" s="43">
        <f t="shared" si="242"/>
        <v>29053</v>
      </c>
      <c r="AC1111" s="43">
        <f t="shared" si="252"/>
        <v>2.1404971853430661E-2</v>
      </c>
      <c r="AD1111" s="43">
        <f t="shared" si="253"/>
        <v>0.87688609315999988</v>
      </c>
      <c r="AF1111" s="43">
        <v>14.745096824857251</v>
      </c>
      <c r="AG1111" s="43">
        <v>2.4462508000000001E-2</v>
      </c>
      <c r="AH1111" s="43">
        <v>7.5802029999999998E-3</v>
      </c>
      <c r="AI1111" s="43">
        <v>0.87977490300000005</v>
      </c>
      <c r="AJ1111" s="43">
        <v>2.865830721</v>
      </c>
      <c r="AK1111" s="43">
        <v>8.6317401310000008</v>
      </c>
      <c r="AL1111" s="43">
        <v>4.5542689999999997E-3</v>
      </c>
      <c r="AM1111" s="230">
        <v>2.9059176117999651E-2</v>
      </c>
      <c r="AN1111" s="43">
        <v>0.90101075399999997</v>
      </c>
    </row>
    <row r="1112" spans="1:40" x14ac:dyDescent="0.25">
      <c r="A1112" s="134">
        <v>1102</v>
      </c>
      <c r="B1112" s="134" t="s">
        <v>206</v>
      </c>
      <c r="C1112" s="134" t="s">
        <v>205</v>
      </c>
      <c r="D1112" s="134" t="s">
        <v>62</v>
      </c>
      <c r="E1112" s="134">
        <v>251</v>
      </c>
      <c r="F1112" s="134">
        <v>696</v>
      </c>
      <c r="G1112" s="134">
        <v>49</v>
      </c>
      <c r="H1112" s="134">
        <v>1178</v>
      </c>
      <c r="I1112" s="200">
        <v>6.1041427854100001E-2</v>
      </c>
      <c r="J1112" s="134">
        <v>1874</v>
      </c>
      <c r="K1112" s="134">
        <v>30700.461405999999</v>
      </c>
      <c r="L1112" s="42">
        <v>0.84207316498100004</v>
      </c>
      <c r="M1112" s="42">
        <v>0.82435269419199997</v>
      </c>
      <c r="N1112" s="134">
        <v>1</v>
      </c>
      <c r="O1112" s="43" t="s">
        <v>664</v>
      </c>
      <c r="P1112" s="43">
        <f t="shared" si="243"/>
        <v>14.746642412149669</v>
      </c>
      <c r="Q1112" s="43">
        <f t="shared" si="244"/>
        <v>3.9040814E-2</v>
      </c>
      <c r="R1112" s="43">
        <f t="shared" si="245"/>
        <v>1.1791777999999999E-2</v>
      </c>
      <c r="S1112" s="43">
        <f t="shared" si="246"/>
        <v>0.84207316499999996</v>
      </c>
      <c r="T1112" s="43">
        <f t="shared" si="247"/>
        <v>2.6752728239999999</v>
      </c>
      <c r="U1112" s="43">
        <f t="shared" si="248"/>
        <v>8.5724906230000002</v>
      </c>
      <c r="V1112" s="43">
        <f t="shared" si="249"/>
        <v>8.4556400000000004E-3</v>
      </c>
      <c r="W1112" s="230">
        <f t="shared" si="250"/>
        <v>6.8452293063225339E-2</v>
      </c>
      <c r="X1112" s="43">
        <f t="shared" si="251"/>
        <v>0.84711927499999995</v>
      </c>
      <c r="Y1112" s="43">
        <v>37.5005302</v>
      </c>
      <c r="Z1112" s="43">
        <f t="shared" si="240"/>
        <v>0</v>
      </c>
      <c r="AA1112" s="43">
        <f t="shared" si="241"/>
        <v>81011</v>
      </c>
      <c r="AB1112" s="43">
        <f t="shared" si="242"/>
        <v>29053</v>
      </c>
      <c r="AC1112" s="43">
        <f t="shared" si="252"/>
        <v>2.1404971853430661E-2</v>
      </c>
      <c r="AD1112" s="43">
        <f t="shared" si="253"/>
        <v>0.87688609315999988</v>
      </c>
      <c r="AF1112" s="43">
        <v>14.746642412149669</v>
      </c>
      <c r="AG1112" s="43">
        <v>3.9040814E-2</v>
      </c>
      <c r="AH1112" s="43">
        <v>1.1791777999999999E-2</v>
      </c>
      <c r="AI1112" s="43">
        <v>0.84207316499999996</v>
      </c>
      <c r="AJ1112" s="43">
        <v>2.6752728239999999</v>
      </c>
      <c r="AK1112" s="43">
        <v>8.5724906230000002</v>
      </c>
      <c r="AL1112" s="43">
        <v>8.4556400000000004E-3</v>
      </c>
      <c r="AM1112" s="230">
        <v>6.8452293063225339E-2</v>
      </c>
      <c r="AN1112" s="43">
        <v>0.84711927499999995</v>
      </c>
    </row>
    <row r="1113" spans="1:40" x14ac:dyDescent="0.25">
      <c r="A1113" s="134">
        <v>1103</v>
      </c>
      <c r="B1113" s="134" t="s">
        <v>206</v>
      </c>
      <c r="C1113" s="134" t="s">
        <v>205</v>
      </c>
      <c r="D1113" s="134" t="s">
        <v>62</v>
      </c>
      <c r="E1113" s="134">
        <v>168</v>
      </c>
      <c r="F1113" s="134">
        <v>466</v>
      </c>
      <c r="G1113" s="134">
        <v>15</v>
      </c>
      <c r="H1113" s="134">
        <v>170</v>
      </c>
      <c r="I1113" s="200">
        <v>2.3003362407199999E-2</v>
      </c>
      <c r="J1113" s="134">
        <v>636</v>
      </c>
      <c r="K1113" s="134">
        <v>27648.1319879</v>
      </c>
      <c r="L1113" s="42">
        <v>0.83171447522599995</v>
      </c>
      <c r="M1113" s="42">
        <v>0.50295857988199999</v>
      </c>
      <c r="N1113" s="134">
        <v>0</v>
      </c>
      <c r="O1113" s="43" t="s">
        <v>664</v>
      </c>
      <c r="P1113" s="43">
        <f t="shared" si="243"/>
        <v>15.243150662897186</v>
      </c>
      <c r="Q1113" s="43">
        <f t="shared" si="244"/>
        <v>4.0869730999999999E-2</v>
      </c>
      <c r="R1113" s="43">
        <f t="shared" si="245"/>
        <v>1.6037144E-2</v>
      </c>
      <c r="S1113" s="43">
        <f t="shared" si="246"/>
        <v>0.83171447499999995</v>
      </c>
      <c r="T1113" s="43">
        <f t="shared" si="247"/>
        <v>2.814233679</v>
      </c>
      <c r="U1113" s="43">
        <f t="shared" si="248"/>
        <v>8.9746526360000001</v>
      </c>
      <c r="V1113" s="43">
        <f t="shared" si="249"/>
        <v>1.1409377E-2</v>
      </c>
      <c r="W1113" s="230">
        <f t="shared" si="250"/>
        <v>8.0753962746023367E-2</v>
      </c>
      <c r="X1113" s="43">
        <f t="shared" si="251"/>
        <v>0.820614607</v>
      </c>
      <c r="Y1113" s="43">
        <v>107.2968442</v>
      </c>
      <c r="Z1113" s="43">
        <f t="shared" si="240"/>
        <v>0</v>
      </c>
      <c r="AA1113" s="43">
        <f t="shared" si="241"/>
        <v>81011</v>
      </c>
      <c r="AB1113" s="43">
        <f t="shared" si="242"/>
        <v>29053</v>
      </c>
      <c r="AC1113" s="43">
        <f t="shared" si="252"/>
        <v>2.1404971853430661E-2</v>
      </c>
      <c r="AD1113" s="43">
        <f t="shared" si="253"/>
        <v>0.87688609315999988</v>
      </c>
      <c r="AF1113" s="43">
        <v>15.243150662897186</v>
      </c>
      <c r="AG1113" s="43">
        <v>4.0869730999999999E-2</v>
      </c>
      <c r="AH1113" s="43">
        <v>1.6037144E-2</v>
      </c>
      <c r="AI1113" s="43">
        <v>0.83171447499999995</v>
      </c>
      <c r="AJ1113" s="43">
        <v>2.814233679</v>
      </c>
      <c r="AK1113" s="43">
        <v>8.9746526360000001</v>
      </c>
      <c r="AL1113" s="43">
        <v>1.1409377E-2</v>
      </c>
      <c r="AM1113" s="230">
        <v>8.0753962746023367E-2</v>
      </c>
      <c r="AN1113" s="43">
        <v>0.820614607</v>
      </c>
    </row>
    <row r="1114" spans="1:40" x14ac:dyDescent="0.25">
      <c r="A1114" s="134">
        <v>1104</v>
      </c>
      <c r="B1114" s="134" t="s">
        <v>206</v>
      </c>
      <c r="C1114" s="134" t="s">
        <v>205</v>
      </c>
      <c r="D1114" s="134" t="s">
        <v>62</v>
      </c>
      <c r="E1114" s="134">
        <v>270</v>
      </c>
      <c r="F1114" s="134">
        <v>750</v>
      </c>
      <c r="G1114" s="134">
        <v>24</v>
      </c>
      <c r="H1114" s="134">
        <v>0</v>
      </c>
      <c r="I1114" s="200">
        <v>3.9864377006100002E-2</v>
      </c>
      <c r="J1114" s="134">
        <v>750</v>
      </c>
      <c r="K1114" s="134">
        <v>18813.789561699999</v>
      </c>
      <c r="L1114" s="42">
        <v>0.81967199008699998</v>
      </c>
      <c r="M1114" s="42">
        <v>0</v>
      </c>
      <c r="N1114" s="134">
        <v>0</v>
      </c>
      <c r="O1114" s="43" t="s">
        <v>664</v>
      </c>
      <c r="P1114" s="43">
        <f t="shared" si="243"/>
        <v>15.774786287525256</v>
      </c>
      <c r="Q1114" s="43">
        <f t="shared" si="244"/>
        <v>5.2978935999999997E-2</v>
      </c>
      <c r="R1114" s="43">
        <f t="shared" si="245"/>
        <v>1.6391890999999999E-2</v>
      </c>
      <c r="S1114" s="43">
        <f t="shared" si="246"/>
        <v>0.81967199000000002</v>
      </c>
      <c r="T1114" s="43">
        <f t="shared" si="247"/>
        <v>2.8617439120000001</v>
      </c>
      <c r="U1114" s="43">
        <f t="shared" si="248"/>
        <v>9.3717990419999992</v>
      </c>
      <c r="V1114" s="43">
        <f t="shared" si="249"/>
        <v>6.3456620000000002E-3</v>
      </c>
      <c r="W1114" s="230">
        <f t="shared" si="250"/>
        <v>0.11800751674927827</v>
      </c>
      <c r="X1114" s="43">
        <f t="shared" si="251"/>
        <v>0.78925867400000005</v>
      </c>
      <c r="Y1114" s="43">
        <v>114.7770573</v>
      </c>
      <c r="Z1114" s="43">
        <f t="shared" si="240"/>
        <v>0</v>
      </c>
      <c r="AA1114" s="43">
        <f t="shared" si="241"/>
        <v>81011</v>
      </c>
      <c r="AB1114" s="43">
        <f t="shared" si="242"/>
        <v>29053</v>
      </c>
      <c r="AC1114" s="43">
        <f t="shared" si="252"/>
        <v>2.1404971853430661E-2</v>
      </c>
      <c r="AD1114" s="43">
        <f t="shared" si="253"/>
        <v>0.87688609315999988</v>
      </c>
      <c r="AF1114" s="43">
        <v>15.774786287525256</v>
      </c>
      <c r="AG1114" s="43">
        <v>5.2978935999999997E-2</v>
      </c>
      <c r="AH1114" s="43">
        <v>1.6391890999999999E-2</v>
      </c>
      <c r="AI1114" s="43">
        <v>0.81967199000000002</v>
      </c>
      <c r="AJ1114" s="43">
        <v>2.8617439120000001</v>
      </c>
      <c r="AK1114" s="43">
        <v>9.3717990419999992</v>
      </c>
      <c r="AL1114" s="43">
        <v>6.3456620000000002E-3</v>
      </c>
      <c r="AM1114" s="230">
        <v>0.11800751674927827</v>
      </c>
      <c r="AN1114" s="43">
        <v>0.78925867400000005</v>
      </c>
    </row>
    <row r="1115" spans="1:40" x14ac:dyDescent="0.25">
      <c r="A1115" s="134">
        <v>1105</v>
      </c>
      <c r="B1115" s="134" t="s">
        <v>206</v>
      </c>
      <c r="C1115" s="134" t="s">
        <v>205</v>
      </c>
      <c r="D1115" s="134" t="s">
        <v>62</v>
      </c>
      <c r="E1115" s="134">
        <v>0</v>
      </c>
      <c r="F1115" s="134">
        <v>0</v>
      </c>
      <c r="G1115" s="134">
        <v>13</v>
      </c>
      <c r="H1115" s="134">
        <v>994</v>
      </c>
      <c r="I1115" s="200">
        <v>2.0200745442300001E-2</v>
      </c>
      <c r="J1115" s="134">
        <v>994</v>
      </c>
      <c r="K1115" s="134">
        <v>49206.104935099997</v>
      </c>
      <c r="L1115" s="42">
        <v>0.84857969384099996</v>
      </c>
      <c r="M1115" s="42">
        <v>1</v>
      </c>
      <c r="N1115" s="134">
        <v>0</v>
      </c>
      <c r="O1115" s="43" t="s">
        <v>627</v>
      </c>
      <c r="P1115" s="43">
        <f t="shared" si="243"/>
        <v>14.757814577695191</v>
      </c>
      <c r="Q1115" s="43">
        <f t="shared" si="244"/>
        <v>1.8538309999999999E-2</v>
      </c>
      <c r="R1115" s="43">
        <f t="shared" si="245"/>
        <v>9.2229500000000006E-3</v>
      </c>
      <c r="S1115" s="43">
        <f t="shared" si="246"/>
        <v>0.848579694</v>
      </c>
      <c r="T1115" s="43">
        <f t="shared" si="247"/>
        <v>2.1430903159999999</v>
      </c>
      <c r="U1115" s="43">
        <f t="shared" si="248"/>
        <v>6.0387494410000002</v>
      </c>
      <c r="V1115" s="43">
        <f t="shared" si="249"/>
        <v>4.0521840000000003E-3</v>
      </c>
      <c r="W1115" s="230">
        <f t="shared" si="250"/>
        <v>4.5932990709626406E-2</v>
      </c>
      <c r="X1115" s="43">
        <f t="shared" si="251"/>
        <v>0.85085985399999997</v>
      </c>
      <c r="Y1115" s="43">
        <v>118.1555334</v>
      </c>
      <c r="Z1115" s="43">
        <f t="shared" si="240"/>
        <v>0</v>
      </c>
      <c r="AA1115" s="43">
        <f t="shared" si="241"/>
        <v>81011</v>
      </c>
      <c r="AB1115" s="43">
        <f t="shared" si="242"/>
        <v>29053</v>
      </c>
      <c r="AC1115" s="43">
        <f t="shared" si="252"/>
        <v>2.1404971853430661E-2</v>
      </c>
      <c r="AD1115" s="43">
        <f t="shared" si="253"/>
        <v>0.87688609315999988</v>
      </c>
      <c r="AF1115" s="43">
        <v>14.757814577695191</v>
      </c>
      <c r="AG1115" s="43">
        <v>1.8538309999999999E-2</v>
      </c>
      <c r="AH1115" s="43">
        <v>9.2229500000000006E-3</v>
      </c>
      <c r="AI1115" s="43">
        <v>0.848579694</v>
      </c>
      <c r="AJ1115" s="43">
        <v>2.1430903159999999</v>
      </c>
      <c r="AK1115" s="43">
        <v>6.0387494410000002</v>
      </c>
      <c r="AL1115" s="43">
        <v>4.0521840000000003E-3</v>
      </c>
      <c r="AM1115" s="230">
        <v>4.5932990709626406E-2</v>
      </c>
      <c r="AN1115" s="43">
        <v>0.85085985399999997</v>
      </c>
    </row>
    <row r="1116" spans="1:40" x14ac:dyDescent="0.25">
      <c r="A1116" s="134">
        <v>1106</v>
      </c>
      <c r="B1116" s="134" t="s">
        <v>206</v>
      </c>
      <c r="C1116" s="134" t="s">
        <v>205</v>
      </c>
      <c r="D1116" s="134" t="s">
        <v>62</v>
      </c>
      <c r="E1116" s="134">
        <v>0</v>
      </c>
      <c r="F1116" s="134">
        <v>0</v>
      </c>
      <c r="G1116" s="134">
        <v>21</v>
      </c>
      <c r="H1116" s="134">
        <v>667</v>
      </c>
      <c r="I1116" s="200">
        <v>3.5172591123699998E-2</v>
      </c>
      <c r="J1116" s="134">
        <v>667</v>
      </c>
      <c r="K1116" s="134">
        <v>18963.629880299999</v>
      </c>
      <c r="L1116" s="42">
        <v>0.87205390858999998</v>
      </c>
      <c r="M1116" s="42">
        <v>1</v>
      </c>
      <c r="N1116" s="134">
        <v>1</v>
      </c>
      <c r="O1116" s="43" t="s">
        <v>664</v>
      </c>
      <c r="P1116" s="43">
        <f t="shared" si="243"/>
        <v>14.664277967904056</v>
      </c>
      <c r="Q1116" s="43">
        <f t="shared" si="244"/>
        <v>2.5999392E-2</v>
      </c>
      <c r="R1116" s="43">
        <f t="shared" si="245"/>
        <v>7.5524110000000002E-3</v>
      </c>
      <c r="S1116" s="43">
        <f t="shared" si="246"/>
        <v>0.87205390900000002</v>
      </c>
      <c r="T1116" s="43">
        <f t="shared" si="247"/>
        <v>2.752703677</v>
      </c>
      <c r="U1116" s="43">
        <f t="shared" si="248"/>
        <v>8.4331947270000001</v>
      </c>
      <c r="V1116" s="43">
        <f t="shared" si="249"/>
        <v>4.3551559999999998E-3</v>
      </c>
      <c r="W1116" s="230">
        <f t="shared" si="250"/>
        <v>3.2839280696824943E-2</v>
      </c>
      <c r="X1116" s="43">
        <f t="shared" si="251"/>
        <v>0.88585276800000001</v>
      </c>
      <c r="Y1116" s="43">
        <v>37.5005302</v>
      </c>
      <c r="Z1116" s="43">
        <f t="shared" si="240"/>
        <v>0</v>
      </c>
      <c r="AA1116" s="43">
        <f t="shared" si="241"/>
        <v>81011</v>
      </c>
      <c r="AB1116" s="43">
        <f t="shared" si="242"/>
        <v>29053</v>
      </c>
      <c r="AC1116" s="43">
        <f t="shared" si="252"/>
        <v>2.1404971853430661E-2</v>
      </c>
      <c r="AD1116" s="43">
        <f t="shared" si="253"/>
        <v>0.87688609315999988</v>
      </c>
      <c r="AF1116" s="43">
        <v>14.664277967904056</v>
      </c>
      <c r="AG1116" s="43">
        <v>2.5999392E-2</v>
      </c>
      <c r="AH1116" s="43">
        <v>7.5524110000000002E-3</v>
      </c>
      <c r="AI1116" s="43">
        <v>0.87205390900000002</v>
      </c>
      <c r="AJ1116" s="43">
        <v>2.752703677</v>
      </c>
      <c r="AK1116" s="43">
        <v>8.4331947270000001</v>
      </c>
      <c r="AL1116" s="43">
        <v>4.3551559999999998E-3</v>
      </c>
      <c r="AM1116" s="230">
        <v>3.2839280696824943E-2</v>
      </c>
      <c r="AN1116" s="43">
        <v>0.88585276800000001</v>
      </c>
    </row>
    <row r="1117" spans="1:40" x14ac:dyDescent="0.25">
      <c r="A1117" s="134">
        <v>1107</v>
      </c>
      <c r="B1117" s="134" t="s">
        <v>206</v>
      </c>
      <c r="C1117" s="134" t="s">
        <v>205</v>
      </c>
      <c r="D1117" s="134" t="s">
        <v>62</v>
      </c>
      <c r="E1117" s="134">
        <v>485</v>
      </c>
      <c r="F1117" s="134">
        <v>1346</v>
      </c>
      <c r="G1117" s="134">
        <v>55</v>
      </c>
      <c r="H1117" s="134">
        <v>0</v>
      </c>
      <c r="I1117" s="200">
        <v>8.8558872916399994E-2</v>
      </c>
      <c r="J1117" s="134">
        <v>1346</v>
      </c>
      <c r="K1117" s="134">
        <v>15198.928754099999</v>
      </c>
      <c r="L1117" s="42">
        <v>0.82947978246599996</v>
      </c>
      <c r="M1117" s="42">
        <v>0</v>
      </c>
      <c r="N1117" s="134">
        <v>0</v>
      </c>
      <c r="O1117" s="43" t="s">
        <v>664</v>
      </c>
      <c r="P1117" s="43">
        <f t="shared" si="243"/>
        <v>15.853886848498831</v>
      </c>
      <c r="Q1117" s="43">
        <f t="shared" si="244"/>
        <v>5.1875026999999997E-2</v>
      </c>
      <c r="R1117" s="43">
        <f t="shared" si="245"/>
        <v>1.5827562999999999E-2</v>
      </c>
      <c r="S1117" s="43">
        <f t="shared" si="246"/>
        <v>0.82947978200000005</v>
      </c>
      <c r="T1117" s="43">
        <f t="shared" si="247"/>
        <v>2.9277560829999998</v>
      </c>
      <c r="U1117" s="43">
        <f t="shared" si="248"/>
        <v>9.5328203869999992</v>
      </c>
      <c r="V1117" s="43">
        <f t="shared" si="249"/>
        <v>5.4099229999999996E-3</v>
      </c>
      <c r="W1117" s="230">
        <f t="shared" si="250"/>
        <v>0.1140642808297242</v>
      </c>
      <c r="X1117" s="43">
        <f t="shared" si="251"/>
        <v>0.79623128899999995</v>
      </c>
      <c r="Y1117" s="43">
        <v>37.5005302</v>
      </c>
      <c r="Z1117" s="43">
        <f t="shared" si="240"/>
        <v>0</v>
      </c>
      <c r="AA1117" s="43">
        <f t="shared" si="241"/>
        <v>81011</v>
      </c>
      <c r="AB1117" s="43">
        <f t="shared" si="242"/>
        <v>29053</v>
      </c>
      <c r="AC1117" s="43">
        <f t="shared" si="252"/>
        <v>2.1404971853430661E-2</v>
      </c>
      <c r="AD1117" s="43">
        <f t="shared" si="253"/>
        <v>0.87688609315999988</v>
      </c>
      <c r="AF1117" s="43">
        <v>15.853886848498831</v>
      </c>
      <c r="AG1117" s="43">
        <v>5.1875026999999997E-2</v>
      </c>
      <c r="AH1117" s="43">
        <v>1.5827562999999999E-2</v>
      </c>
      <c r="AI1117" s="43">
        <v>0.82947978200000005</v>
      </c>
      <c r="AJ1117" s="43">
        <v>2.9277560829999998</v>
      </c>
      <c r="AK1117" s="43">
        <v>9.5328203869999992</v>
      </c>
      <c r="AL1117" s="43">
        <v>5.4099229999999996E-3</v>
      </c>
      <c r="AM1117" s="230">
        <v>0.1140642808297242</v>
      </c>
      <c r="AN1117" s="43">
        <v>0.79623128899999995</v>
      </c>
    </row>
    <row r="1118" spans="1:40" x14ac:dyDescent="0.25">
      <c r="A1118" s="134">
        <v>1108</v>
      </c>
      <c r="B1118" s="134" t="s">
        <v>206</v>
      </c>
      <c r="C1118" s="134" t="s">
        <v>205</v>
      </c>
      <c r="D1118" s="134" t="s">
        <v>62</v>
      </c>
      <c r="E1118" s="134">
        <v>0</v>
      </c>
      <c r="F1118" s="134">
        <v>0</v>
      </c>
      <c r="G1118" s="134">
        <v>20</v>
      </c>
      <c r="H1118" s="134">
        <v>231</v>
      </c>
      <c r="I1118" s="200">
        <v>3.1876079729099997E-2</v>
      </c>
      <c r="J1118" s="134">
        <v>231</v>
      </c>
      <c r="K1118" s="134">
        <v>7246.8133460400004</v>
      </c>
      <c r="L1118" s="42">
        <v>0.86927113702600001</v>
      </c>
      <c r="M1118" s="42">
        <v>1</v>
      </c>
      <c r="N1118" s="134">
        <v>0</v>
      </c>
      <c r="O1118" s="43" t="s">
        <v>664</v>
      </c>
      <c r="P1118" s="43">
        <f t="shared" si="243"/>
        <v>14.338035960819264</v>
      </c>
      <c r="Q1118" s="43">
        <f t="shared" si="244"/>
        <v>1.4956268E-2</v>
      </c>
      <c r="R1118" s="43">
        <f t="shared" si="245"/>
        <v>6.5889210000000002E-3</v>
      </c>
      <c r="S1118" s="43">
        <f t="shared" si="246"/>
        <v>0.86927113700000003</v>
      </c>
      <c r="T1118" s="43">
        <f t="shared" si="247"/>
        <v>2.6835164840000001</v>
      </c>
      <c r="U1118" s="43">
        <f t="shared" si="248"/>
        <v>8.4784299950000008</v>
      </c>
      <c r="V1118" s="43">
        <f t="shared" si="249"/>
        <v>3.8213079999999998E-3</v>
      </c>
      <c r="W1118" s="230">
        <f t="shared" si="250"/>
        <v>1.1281957965608226E-2</v>
      </c>
      <c r="X1118" s="43">
        <f t="shared" si="251"/>
        <v>0.87189518700000002</v>
      </c>
      <c r="Y1118" s="43">
        <v>113.4080448</v>
      </c>
      <c r="Z1118" s="43">
        <f t="shared" si="240"/>
        <v>0</v>
      </c>
      <c r="AA1118" s="43">
        <f t="shared" si="241"/>
        <v>81011</v>
      </c>
      <c r="AB1118" s="43">
        <f t="shared" si="242"/>
        <v>29053</v>
      </c>
      <c r="AC1118" s="43">
        <f t="shared" si="252"/>
        <v>2.1404971853430661E-2</v>
      </c>
      <c r="AD1118" s="43">
        <f t="shared" si="253"/>
        <v>0.87688609315999988</v>
      </c>
      <c r="AF1118" s="43">
        <v>14.338035960819264</v>
      </c>
      <c r="AG1118" s="43">
        <v>1.4956268E-2</v>
      </c>
      <c r="AH1118" s="43">
        <v>6.5889210000000002E-3</v>
      </c>
      <c r="AI1118" s="43">
        <v>0.86927113700000003</v>
      </c>
      <c r="AJ1118" s="43">
        <v>2.6835164840000001</v>
      </c>
      <c r="AK1118" s="43">
        <v>8.4784299950000008</v>
      </c>
      <c r="AL1118" s="43">
        <v>3.8213079999999998E-3</v>
      </c>
      <c r="AM1118" s="230">
        <v>1.1281957965608226E-2</v>
      </c>
      <c r="AN1118" s="43">
        <v>0.87189518700000002</v>
      </c>
    </row>
    <row r="1119" spans="1:40" x14ac:dyDescent="0.25">
      <c r="A1119" s="134">
        <v>1109</v>
      </c>
      <c r="B1119" s="134" t="s">
        <v>206</v>
      </c>
      <c r="C1119" s="134" t="s">
        <v>205</v>
      </c>
      <c r="D1119" s="134" t="s">
        <v>62</v>
      </c>
      <c r="E1119" s="134">
        <v>266</v>
      </c>
      <c r="F1119" s="134">
        <v>738</v>
      </c>
      <c r="G1119" s="134">
        <v>26</v>
      </c>
      <c r="H1119" s="134">
        <v>0</v>
      </c>
      <c r="I1119" s="200">
        <v>4.23300954506E-2</v>
      </c>
      <c r="J1119" s="134">
        <v>738</v>
      </c>
      <c r="K1119" s="134">
        <v>17434.404343900002</v>
      </c>
      <c r="L1119" s="42">
        <v>0.79693925171900004</v>
      </c>
      <c r="M1119" s="42">
        <v>0</v>
      </c>
      <c r="N1119" s="134">
        <v>0</v>
      </c>
      <c r="O1119" s="43" t="s">
        <v>664</v>
      </c>
      <c r="P1119" s="43">
        <f t="shared" si="243"/>
        <v>15.800921724703787</v>
      </c>
      <c r="Q1119" s="43">
        <f t="shared" si="244"/>
        <v>5.5473860999999999E-2</v>
      </c>
      <c r="R1119" s="43">
        <f t="shared" si="245"/>
        <v>1.5567902999999999E-2</v>
      </c>
      <c r="S1119" s="43">
        <f t="shared" si="246"/>
        <v>0.79693925200000004</v>
      </c>
      <c r="T1119" s="43">
        <f t="shared" si="247"/>
        <v>2.7459734390000001</v>
      </c>
      <c r="U1119" s="43">
        <f t="shared" si="248"/>
        <v>8.9484301080000002</v>
      </c>
      <c r="V1119" s="43">
        <f t="shared" si="249"/>
        <v>6.2679479999999997E-3</v>
      </c>
      <c r="W1119" s="230">
        <f t="shared" si="250"/>
        <v>0.1265738899933731</v>
      </c>
      <c r="X1119" s="43">
        <f t="shared" si="251"/>
        <v>0.75770377700000002</v>
      </c>
      <c r="Y1119" s="43">
        <v>116.8324966</v>
      </c>
      <c r="Z1119" s="43">
        <f t="shared" si="240"/>
        <v>0</v>
      </c>
      <c r="AA1119" s="43">
        <f t="shared" si="241"/>
        <v>81011</v>
      </c>
      <c r="AB1119" s="43">
        <f t="shared" si="242"/>
        <v>29053</v>
      </c>
      <c r="AC1119" s="43">
        <f t="shared" si="252"/>
        <v>2.1404971853430661E-2</v>
      </c>
      <c r="AD1119" s="43">
        <f t="shared" si="253"/>
        <v>0.87688609315999988</v>
      </c>
      <c r="AF1119" s="43">
        <v>15.800921724703787</v>
      </c>
      <c r="AG1119" s="43">
        <v>5.5473860999999999E-2</v>
      </c>
      <c r="AH1119" s="43">
        <v>1.5567902999999999E-2</v>
      </c>
      <c r="AI1119" s="43">
        <v>0.79693925200000004</v>
      </c>
      <c r="AJ1119" s="43">
        <v>2.7459734390000001</v>
      </c>
      <c r="AK1119" s="43">
        <v>8.9484301080000002</v>
      </c>
      <c r="AL1119" s="43">
        <v>6.2679479999999997E-3</v>
      </c>
      <c r="AM1119" s="230">
        <v>0.1265738899933731</v>
      </c>
      <c r="AN1119" s="43">
        <v>0.75770377700000002</v>
      </c>
    </row>
    <row r="1120" spans="1:40" x14ac:dyDescent="0.25">
      <c r="A1120" s="134">
        <v>1110</v>
      </c>
      <c r="B1120" s="134" t="s">
        <v>206</v>
      </c>
      <c r="C1120" s="134" t="s">
        <v>205</v>
      </c>
      <c r="D1120" s="134" t="s">
        <v>62</v>
      </c>
      <c r="E1120" s="134">
        <v>350</v>
      </c>
      <c r="F1120" s="134">
        <v>971</v>
      </c>
      <c r="G1120" s="134">
        <v>16</v>
      </c>
      <c r="H1120" s="134">
        <v>0</v>
      </c>
      <c r="I1120" s="200">
        <v>2.4778540501999999E-2</v>
      </c>
      <c r="J1120" s="134">
        <v>971</v>
      </c>
      <c r="K1120" s="134">
        <v>39187.134525599999</v>
      </c>
      <c r="L1120" s="42">
        <v>0.80516295060200005</v>
      </c>
      <c r="M1120" s="42">
        <v>0</v>
      </c>
      <c r="N1120" s="134">
        <v>0</v>
      </c>
      <c r="O1120" s="43" t="s">
        <v>664</v>
      </c>
      <c r="P1120" s="43">
        <f t="shared" si="243"/>
        <v>15.951782151789324</v>
      </c>
      <c r="Q1120" s="43">
        <f t="shared" si="244"/>
        <v>6.0140601000000002E-2</v>
      </c>
      <c r="R1120" s="43">
        <f t="shared" si="245"/>
        <v>1.6378831E-2</v>
      </c>
      <c r="S1120" s="43">
        <f t="shared" si="246"/>
        <v>0.80516295100000002</v>
      </c>
      <c r="T1120" s="43">
        <f t="shared" si="247"/>
        <v>2.8386765309999999</v>
      </c>
      <c r="U1120" s="43">
        <f t="shared" si="248"/>
        <v>9.4055784609999993</v>
      </c>
      <c r="V1120" s="43">
        <f t="shared" si="249"/>
        <v>7.426312E-3</v>
      </c>
      <c r="W1120" s="230">
        <f t="shared" si="250"/>
        <v>0.13595381043030771</v>
      </c>
      <c r="X1120" s="43">
        <f t="shared" si="251"/>
        <v>0.76432441500000003</v>
      </c>
      <c r="Y1120" s="43">
        <v>116.8324966</v>
      </c>
      <c r="Z1120" s="43">
        <f t="shared" si="240"/>
        <v>0</v>
      </c>
      <c r="AA1120" s="43">
        <f t="shared" si="241"/>
        <v>81011</v>
      </c>
      <c r="AB1120" s="43">
        <f t="shared" si="242"/>
        <v>29053</v>
      </c>
      <c r="AC1120" s="43">
        <f t="shared" si="252"/>
        <v>2.1404971853430661E-2</v>
      </c>
      <c r="AD1120" s="43">
        <f t="shared" si="253"/>
        <v>0.87688609315999988</v>
      </c>
      <c r="AF1120" s="43">
        <v>15.951782151789324</v>
      </c>
      <c r="AG1120" s="43">
        <v>6.0140601000000002E-2</v>
      </c>
      <c r="AH1120" s="43">
        <v>1.6378831E-2</v>
      </c>
      <c r="AI1120" s="43">
        <v>0.80516295100000002</v>
      </c>
      <c r="AJ1120" s="43">
        <v>2.8386765309999999</v>
      </c>
      <c r="AK1120" s="43">
        <v>9.4055784609999993</v>
      </c>
      <c r="AL1120" s="43">
        <v>7.426312E-3</v>
      </c>
      <c r="AM1120" s="230">
        <v>0.13595381043030771</v>
      </c>
      <c r="AN1120" s="43">
        <v>0.76432441500000003</v>
      </c>
    </row>
    <row r="1121" spans="1:40" x14ac:dyDescent="0.25">
      <c r="A1121" s="134">
        <v>1111</v>
      </c>
      <c r="B1121" s="134" t="s">
        <v>206</v>
      </c>
      <c r="C1121" s="134" t="s">
        <v>205</v>
      </c>
      <c r="D1121" s="134" t="s">
        <v>62</v>
      </c>
      <c r="E1121" s="134">
        <v>0</v>
      </c>
      <c r="F1121" s="134">
        <v>0</v>
      </c>
      <c r="G1121" s="134">
        <v>23</v>
      </c>
      <c r="H1121" s="134">
        <v>146</v>
      </c>
      <c r="I1121" s="200">
        <v>3.7883666442499998E-2</v>
      </c>
      <c r="J1121" s="134">
        <v>146</v>
      </c>
      <c r="K1121" s="134">
        <v>3853.9036400199998</v>
      </c>
      <c r="L1121" s="42">
        <v>0.897316944856</v>
      </c>
      <c r="M1121" s="42">
        <v>1</v>
      </c>
      <c r="N1121" s="134">
        <v>0</v>
      </c>
      <c r="O1121" s="43" t="s">
        <v>666</v>
      </c>
      <c r="P1121" s="43">
        <f t="shared" si="243"/>
        <v>14.388076766287041</v>
      </c>
      <c r="Q1121" s="43">
        <f t="shared" si="244"/>
        <v>9.4217799999999994E-3</v>
      </c>
      <c r="R1121" s="43">
        <f t="shared" si="245"/>
        <v>5.9304609999999997E-3</v>
      </c>
      <c r="S1121" s="43">
        <f t="shared" si="246"/>
        <v>0.89731694500000003</v>
      </c>
      <c r="T1121" s="43">
        <f t="shared" si="247"/>
        <v>3.1320000000000001</v>
      </c>
      <c r="U1121" s="43">
        <f t="shared" si="248"/>
        <v>8.8167378830000001</v>
      </c>
      <c r="V1121" s="43">
        <f t="shared" si="249"/>
        <v>3.064921E-3</v>
      </c>
      <c r="W1121" s="230">
        <f t="shared" si="250"/>
        <v>5.7118974644747847E-3</v>
      </c>
      <c r="X1121" s="43">
        <f t="shared" si="251"/>
        <v>0.90317637200000001</v>
      </c>
      <c r="Y1121" s="43">
        <v>37.5005302</v>
      </c>
      <c r="Z1121" s="43">
        <f t="shared" si="240"/>
        <v>0</v>
      </c>
      <c r="AA1121" s="43">
        <f t="shared" si="241"/>
        <v>81011</v>
      </c>
      <c r="AB1121" s="43">
        <f t="shared" si="242"/>
        <v>29053</v>
      </c>
      <c r="AC1121" s="43">
        <f t="shared" si="252"/>
        <v>2.1404971853430661E-2</v>
      </c>
      <c r="AD1121" s="43">
        <f t="shared" si="253"/>
        <v>0.87688609315999988</v>
      </c>
      <c r="AF1121" s="43">
        <v>14.388076766287041</v>
      </c>
      <c r="AG1121" s="43">
        <v>9.4217799999999994E-3</v>
      </c>
      <c r="AH1121" s="43">
        <v>5.9304609999999997E-3</v>
      </c>
      <c r="AI1121" s="43">
        <v>0.89731694500000003</v>
      </c>
      <c r="AJ1121" s="43">
        <v>3.1320000000000001</v>
      </c>
      <c r="AK1121" s="43">
        <v>8.8167378830000001</v>
      </c>
      <c r="AL1121" s="43">
        <v>3.064921E-3</v>
      </c>
      <c r="AM1121" s="230">
        <v>5.7118974644747847E-3</v>
      </c>
      <c r="AN1121" s="43">
        <v>0.90317637200000001</v>
      </c>
    </row>
    <row r="1122" spans="1:40" x14ac:dyDescent="0.25">
      <c r="A1122" s="134">
        <v>1112</v>
      </c>
      <c r="B1122" s="134" t="s">
        <v>206</v>
      </c>
      <c r="C1122" s="134" t="s">
        <v>205</v>
      </c>
      <c r="D1122" s="134" t="s">
        <v>62</v>
      </c>
      <c r="E1122" s="134">
        <v>0</v>
      </c>
      <c r="F1122" s="134">
        <v>0</v>
      </c>
      <c r="G1122" s="134">
        <v>17</v>
      </c>
      <c r="H1122" s="134">
        <v>302</v>
      </c>
      <c r="I1122" s="200">
        <v>2.7174237682800001E-2</v>
      </c>
      <c r="J1122" s="134">
        <v>302</v>
      </c>
      <c r="K1122" s="134">
        <v>11113.4672304</v>
      </c>
      <c r="L1122" s="42">
        <v>0.89304603780500003</v>
      </c>
      <c r="M1122" s="42">
        <v>1</v>
      </c>
      <c r="N1122" s="134">
        <v>0</v>
      </c>
      <c r="O1122" s="43" t="s">
        <v>666</v>
      </c>
      <c r="P1122" s="43">
        <f t="shared" si="243"/>
        <v>14.761307239745598</v>
      </c>
      <c r="Q1122" s="43">
        <f t="shared" si="244"/>
        <v>1.1566941000000001E-2</v>
      </c>
      <c r="R1122" s="43">
        <f t="shared" si="245"/>
        <v>6.8297840000000002E-3</v>
      </c>
      <c r="S1122" s="43">
        <f t="shared" si="246"/>
        <v>0.89304603800000004</v>
      </c>
      <c r="T1122" s="43">
        <f t="shared" si="247"/>
        <v>2.9678510999999999</v>
      </c>
      <c r="U1122" s="43">
        <f t="shared" si="248"/>
        <v>8.5965968949999993</v>
      </c>
      <c r="V1122" s="43">
        <f t="shared" si="249"/>
        <v>3.9511490000000002E-3</v>
      </c>
      <c r="W1122" s="230">
        <f t="shared" si="250"/>
        <v>1.0632183908045979E-2</v>
      </c>
      <c r="X1122" s="43">
        <f t="shared" si="251"/>
        <v>0.90998563200000004</v>
      </c>
      <c r="Y1122" s="43">
        <v>37.5005302</v>
      </c>
      <c r="Z1122" s="43">
        <f t="shared" si="240"/>
        <v>0</v>
      </c>
      <c r="AA1122" s="43">
        <f t="shared" si="241"/>
        <v>81011</v>
      </c>
      <c r="AB1122" s="43">
        <f t="shared" si="242"/>
        <v>29053</v>
      </c>
      <c r="AC1122" s="43">
        <f t="shared" si="252"/>
        <v>2.1404971853430661E-2</v>
      </c>
      <c r="AD1122" s="43">
        <f t="shared" si="253"/>
        <v>0.87688609315999988</v>
      </c>
      <c r="AF1122" s="43">
        <v>14.761307239745598</v>
      </c>
      <c r="AG1122" s="43">
        <v>1.1566941000000001E-2</v>
      </c>
      <c r="AH1122" s="43">
        <v>6.8297840000000002E-3</v>
      </c>
      <c r="AI1122" s="43">
        <v>0.89304603800000004</v>
      </c>
      <c r="AJ1122" s="43">
        <v>2.9678510999999999</v>
      </c>
      <c r="AK1122" s="43">
        <v>8.5965968949999993</v>
      </c>
      <c r="AL1122" s="43">
        <v>3.9511490000000002E-3</v>
      </c>
      <c r="AM1122" s="230">
        <v>1.0632183908045979E-2</v>
      </c>
      <c r="AN1122" s="43">
        <v>0.90998563200000004</v>
      </c>
    </row>
    <row r="1123" spans="1:40" x14ac:dyDescent="0.25">
      <c r="A1123" s="134">
        <v>1113</v>
      </c>
      <c r="B1123" s="134" t="s">
        <v>206</v>
      </c>
      <c r="C1123" s="134" t="s">
        <v>205</v>
      </c>
      <c r="D1123" s="134" t="s">
        <v>62</v>
      </c>
      <c r="E1123" s="134">
        <v>0</v>
      </c>
      <c r="F1123" s="134">
        <v>0</v>
      </c>
      <c r="G1123" s="134">
        <v>39</v>
      </c>
      <c r="H1123" s="134">
        <v>536</v>
      </c>
      <c r="I1123" s="200">
        <v>6.2882838471299995E-2</v>
      </c>
      <c r="J1123" s="134">
        <v>536</v>
      </c>
      <c r="K1123" s="134">
        <v>8523.7882549599999</v>
      </c>
      <c r="L1123" s="42">
        <v>0.89640009916399999</v>
      </c>
      <c r="M1123" s="42">
        <v>1</v>
      </c>
      <c r="N1123" s="134">
        <v>0</v>
      </c>
      <c r="O1123" s="43" t="s">
        <v>664</v>
      </c>
      <c r="P1123" s="43">
        <f t="shared" si="243"/>
        <v>14.958067062976035</v>
      </c>
      <c r="Q1123" s="43">
        <f t="shared" si="244"/>
        <v>1.1834397E-2</v>
      </c>
      <c r="R1123" s="43">
        <f t="shared" si="245"/>
        <v>7.5155600000000001E-3</v>
      </c>
      <c r="S1123" s="43">
        <f t="shared" si="246"/>
        <v>0.89640009899999995</v>
      </c>
      <c r="T1123" s="43">
        <f t="shared" si="247"/>
        <v>2.8598047910000002</v>
      </c>
      <c r="U1123" s="43">
        <f t="shared" si="248"/>
        <v>8.7876597079999996</v>
      </c>
      <c r="V1123" s="43">
        <f t="shared" si="249"/>
        <v>4.1467049999999997E-3</v>
      </c>
      <c r="W1123" s="230">
        <f t="shared" si="250"/>
        <v>1.0427150851483553E-2</v>
      </c>
      <c r="X1123" s="43">
        <f t="shared" si="251"/>
        <v>0.92068923899999999</v>
      </c>
      <c r="Y1123" s="43">
        <v>37.5005302</v>
      </c>
      <c r="Z1123" s="43">
        <f t="shared" si="240"/>
        <v>0</v>
      </c>
      <c r="AA1123" s="43">
        <f t="shared" si="241"/>
        <v>81011</v>
      </c>
      <c r="AB1123" s="43">
        <f t="shared" si="242"/>
        <v>29053</v>
      </c>
      <c r="AC1123" s="43">
        <f t="shared" si="252"/>
        <v>2.1404971853430661E-2</v>
      </c>
      <c r="AD1123" s="43">
        <f t="shared" si="253"/>
        <v>0.87688609315999988</v>
      </c>
      <c r="AF1123" s="43">
        <v>14.958067062976035</v>
      </c>
      <c r="AG1123" s="43">
        <v>1.1834397E-2</v>
      </c>
      <c r="AH1123" s="43">
        <v>7.5155600000000001E-3</v>
      </c>
      <c r="AI1123" s="43">
        <v>0.89640009899999995</v>
      </c>
      <c r="AJ1123" s="43">
        <v>2.8598047910000002</v>
      </c>
      <c r="AK1123" s="43">
        <v>8.7876597079999996</v>
      </c>
      <c r="AL1123" s="43">
        <v>4.1467049999999997E-3</v>
      </c>
      <c r="AM1123" s="230">
        <v>1.0427150851483553E-2</v>
      </c>
      <c r="AN1123" s="43">
        <v>0.92068923899999999</v>
      </c>
    </row>
    <row r="1124" spans="1:40" x14ac:dyDescent="0.25">
      <c r="A1124" s="134">
        <v>1114</v>
      </c>
      <c r="B1124" s="134" t="s">
        <v>206</v>
      </c>
      <c r="C1124" s="134" t="s">
        <v>205</v>
      </c>
      <c r="D1124" s="134" t="s">
        <v>62</v>
      </c>
      <c r="E1124" s="134">
        <v>540</v>
      </c>
      <c r="F1124" s="134">
        <v>1498</v>
      </c>
      <c r="G1124" s="134">
        <v>33</v>
      </c>
      <c r="H1124" s="134">
        <v>0</v>
      </c>
      <c r="I1124" s="200">
        <v>5.3530787150000002E-2</v>
      </c>
      <c r="J1124" s="134">
        <v>1498</v>
      </c>
      <c r="K1124" s="134">
        <v>27983.896366100002</v>
      </c>
      <c r="L1124" s="42">
        <v>0.78996542497699995</v>
      </c>
      <c r="M1124" s="42">
        <v>0</v>
      </c>
      <c r="N1124" s="134">
        <v>0</v>
      </c>
      <c r="O1124" s="43" t="s">
        <v>664</v>
      </c>
      <c r="P1124" s="43">
        <f t="shared" si="243"/>
        <v>15.890457374320661</v>
      </c>
      <c r="Q1124" s="43">
        <f t="shared" si="244"/>
        <v>7.1265376000000005E-2</v>
      </c>
      <c r="R1124" s="43">
        <f t="shared" si="245"/>
        <v>1.6357982E-2</v>
      </c>
      <c r="S1124" s="43">
        <f t="shared" si="246"/>
        <v>0.789965425</v>
      </c>
      <c r="T1124" s="43">
        <f t="shared" si="247"/>
        <v>2.9477869069999998</v>
      </c>
      <c r="U1124" s="43">
        <f t="shared" si="248"/>
        <v>9.3395287109999998</v>
      </c>
      <c r="V1124" s="43">
        <f t="shared" si="249"/>
        <v>7.1967990000000003E-3</v>
      </c>
      <c r="W1124" s="230">
        <f t="shared" si="250"/>
        <v>0.1587256066751335</v>
      </c>
      <c r="X1124" s="43">
        <f t="shared" si="251"/>
        <v>0.73515233499999999</v>
      </c>
      <c r="Y1124" s="43">
        <v>37.5005302</v>
      </c>
      <c r="Z1124" s="43">
        <f t="shared" si="240"/>
        <v>0</v>
      </c>
      <c r="AA1124" s="43">
        <f t="shared" si="241"/>
        <v>81011</v>
      </c>
      <c r="AB1124" s="43">
        <f t="shared" si="242"/>
        <v>29053</v>
      </c>
      <c r="AC1124" s="43">
        <f t="shared" si="252"/>
        <v>2.1404971853430661E-2</v>
      </c>
      <c r="AD1124" s="43">
        <f t="shared" si="253"/>
        <v>0.87688609315999988</v>
      </c>
      <c r="AF1124" s="43">
        <v>15.890457374320661</v>
      </c>
      <c r="AG1124" s="43">
        <v>7.1265376000000005E-2</v>
      </c>
      <c r="AH1124" s="43">
        <v>1.6357982E-2</v>
      </c>
      <c r="AI1124" s="43">
        <v>0.789965425</v>
      </c>
      <c r="AJ1124" s="43">
        <v>2.9477869069999998</v>
      </c>
      <c r="AK1124" s="43">
        <v>9.3395287109999998</v>
      </c>
      <c r="AL1124" s="43">
        <v>7.1967990000000003E-3</v>
      </c>
      <c r="AM1124" s="230">
        <v>0.1587256066751335</v>
      </c>
      <c r="AN1124" s="43">
        <v>0.73515233499999999</v>
      </c>
    </row>
    <row r="1125" spans="1:40" x14ac:dyDescent="0.25">
      <c r="A1125" s="134">
        <v>1115</v>
      </c>
      <c r="B1125" s="134" t="s">
        <v>206</v>
      </c>
      <c r="C1125" s="134" t="s">
        <v>205</v>
      </c>
      <c r="D1125" s="134" t="s">
        <v>62</v>
      </c>
      <c r="E1125" s="134">
        <v>212</v>
      </c>
      <c r="F1125" s="134">
        <v>588</v>
      </c>
      <c r="G1125" s="134">
        <v>11</v>
      </c>
      <c r="H1125" s="134">
        <v>0</v>
      </c>
      <c r="I1125" s="200">
        <v>1.6533584689899999E-2</v>
      </c>
      <c r="J1125" s="134">
        <v>588</v>
      </c>
      <c r="K1125" s="134">
        <v>35563.975449400001</v>
      </c>
      <c r="L1125" s="42">
        <v>0.78851639316800004</v>
      </c>
      <c r="M1125" s="42">
        <v>0</v>
      </c>
      <c r="N1125" s="134">
        <v>0</v>
      </c>
      <c r="O1125" s="43" t="s">
        <v>664</v>
      </c>
      <c r="P1125" s="43">
        <f t="shared" si="243"/>
        <v>15.619123107942942</v>
      </c>
      <c r="Q1125" s="43">
        <f t="shared" si="244"/>
        <v>6.4487622999999994E-2</v>
      </c>
      <c r="R1125" s="43">
        <f t="shared" si="245"/>
        <v>1.6465877E-2</v>
      </c>
      <c r="S1125" s="43">
        <f t="shared" si="246"/>
        <v>0.78851639299999998</v>
      </c>
      <c r="T1125" s="43">
        <f t="shared" si="247"/>
        <v>2.9145095369999998</v>
      </c>
      <c r="U1125" s="43">
        <f t="shared" si="248"/>
        <v>8.9327921799999999</v>
      </c>
      <c r="V1125" s="43">
        <f t="shared" si="249"/>
        <v>6.9582159999999997E-3</v>
      </c>
      <c r="W1125" s="230">
        <f t="shared" si="250"/>
        <v>0.14671398253487805</v>
      </c>
      <c r="X1125" s="43">
        <f t="shared" si="251"/>
        <v>0.73426573399999995</v>
      </c>
      <c r="Y1125" s="43">
        <v>113.5500509</v>
      </c>
      <c r="Z1125" s="43">
        <f t="shared" si="240"/>
        <v>0</v>
      </c>
      <c r="AA1125" s="43">
        <f t="shared" si="241"/>
        <v>81011</v>
      </c>
      <c r="AB1125" s="43">
        <f t="shared" si="242"/>
        <v>29053</v>
      </c>
      <c r="AC1125" s="43">
        <f t="shared" si="252"/>
        <v>2.1404971853430661E-2</v>
      </c>
      <c r="AD1125" s="43">
        <f t="shared" si="253"/>
        <v>0.87688609315999988</v>
      </c>
      <c r="AF1125" s="43">
        <v>15.619123107942942</v>
      </c>
      <c r="AG1125" s="43">
        <v>6.4487622999999994E-2</v>
      </c>
      <c r="AH1125" s="43">
        <v>1.6465877E-2</v>
      </c>
      <c r="AI1125" s="43">
        <v>0.78851639299999998</v>
      </c>
      <c r="AJ1125" s="43">
        <v>2.9145095369999998</v>
      </c>
      <c r="AK1125" s="43">
        <v>8.9327921799999999</v>
      </c>
      <c r="AL1125" s="43">
        <v>6.9582159999999997E-3</v>
      </c>
      <c r="AM1125" s="230">
        <v>0.14671398253487805</v>
      </c>
      <c r="AN1125" s="43">
        <v>0.73426573399999995</v>
      </c>
    </row>
    <row r="1126" spans="1:40" x14ac:dyDescent="0.25">
      <c r="A1126" s="134">
        <v>1116</v>
      </c>
      <c r="B1126" s="134" t="s">
        <v>206</v>
      </c>
      <c r="C1126" s="134" t="s">
        <v>205</v>
      </c>
      <c r="D1126" s="134" t="s">
        <v>62</v>
      </c>
      <c r="E1126" s="134">
        <v>12</v>
      </c>
      <c r="F1126" s="134">
        <v>34</v>
      </c>
      <c r="G1126" s="134">
        <v>29</v>
      </c>
      <c r="H1126" s="134">
        <v>938</v>
      </c>
      <c r="I1126" s="200">
        <v>4.7654009772099999E-2</v>
      </c>
      <c r="J1126" s="134">
        <v>972</v>
      </c>
      <c r="K1126" s="134">
        <v>20397.024398400001</v>
      </c>
      <c r="L1126" s="42">
        <v>0.85994311341200003</v>
      </c>
      <c r="M1126" s="42">
        <v>0.98736842105300004</v>
      </c>
      <c r="N1126" s="134">
        <v>0</v>
      </c>
      <c r="O1126" s="43" t="s">
        <v>664</v>
      </c>
      <c r="P1126" s="43">
        <f t="shared" si="243"/>
        <v>14.907023518962566</v>
      </c>
      <c r="Q1126" s="43">
        <f t="shared" si="244"/>
        <v>2.4793823999999999E-2</v>
      </c>
      <c r="R1126" s="43">
        <f t="shared" si="245"/>
        <v>7.6375510000000002E-3</v>
      </c>
      <c r="S1126" s="43">
        <f t="shared" si="246"/>
        <v>0.85994311300000004</v>
      </c>
      <c r="T1126" s="43">
        <f t="shared" si="247"/>
        <v>2.6190476189999998</v>
      </c>
      <c r="U1126" s="43">
        <f t="shared" si="248"/>
        <v>8.5808940230000008</v>
      </c>
      <c r="V1126" s="43">
        <f t="shared" si="249"/>
        <v>4.6882149999999999E-3</v>
      </c>
      <c r="W1126" s="230">
        <f t="shared" si="250"/>
        <v>3.4875743253544748E-2</v>
      </c>
      <c r="X1126" s="43">
        <f t="shared" si="251"/>
        <v>0.87286552799999995</v>
      </c>
      <c r="Y1126" s="43">
        <v>116.8394887</v>
      </c>
      <c r="Z1126" s="43">
        <f t="shared" si="240"/>
        <v>0</v>
      </c>
      <c r="AA1126" s="43">
        <f t="shared" si="241"/>
        <v>81011</v>
      </c>
      <c r="AB1126" s="43">
        <f t="shared" si="242"/>
        <v>29053</v>
      </c>
      <c r="AC1126" s="43">
        <f t="shared" si="252"/>
        <v>2.1404971853430661E-2</v>
      </c>
      <c r="AD1126" s="43">
        <f t="shared" si="253"/>
        <v>0.87688609315999988</v>
      </c>
      <c r="AF1126" s="43">
        <v>14.907023518962566</v>
      </c>
      <c r="AG1126" s="43">
        <v>2.4793823999999999E-2</v>
      </c>
      <c r="AH1126" s="43">
        <v>7.6375510000000002E-3</v>
      </c>
      <c r="AI1126" s="43">
        <v>0.85994311300000004</v>
      </c>
      <c r="AJ1126" s="43">
        <v>2.6190476189999998</v>
      </c>
      <c r="AK1126" s="43">
        <v>8.5808940230000008</v>
      </c>
      <c r="AL1126" s="43">
        <v>4.6882149999999999E-3</v>
      </c>
      <c r="AM1126" s="230">
        <v>3.4875743253544748E-2</v>
      </c>
      <c r="AN1126" s="43">
        <v>0.87286552799999995</v>
      </c>
    </row>
    <row r="1127" spans="1:40" x14ac:dyDescent="0.25">
      <c r="A1127" s="134">
        <v>1117</v>
      </c>
      <c r="B1127" s="134" t="s">
        <v>206</v>
      </c>
      <c r="C1127" s="134" t="s">
        <v>205</v>
      </c>
      <c r="D1127" s="134" t="s">
        <v>62</v>
      </c>
      <c r="E1127" s="134">
        <v>0</v>
      </c>
      <c r="F1127" s="134">
        <v>0</v>
      </c>
      <c r="G1127" s="134">
        <v>45</v>
      </c>
      <c r="H1127" s="134">
        <v>245</v>
      </c>
      <c r="I1127" s="200">
        <v>7.1869925105499999E-2</v>
      </c>
      <c r="J1127" s="134">
        <v>245</v>
      </c>
      <c r="K1127" s="134">
        <v>3408.93634772</v>
      </c>
      <c r="L1127" s="42">
        <v>0.87655587835500004</v>
      </c>
      <c r="M1127" s="42">
        <v>1</v>
      </c>
      <c r="N1127" s="134">
        <v>0</v>
      </c>
      <c r="O1127" s="43" t="s">
        <v>666</v>
      </c>
      <c r="P1127" s="43">
        <f t="shared" si="243"/>
        <v>15.117300300051483</v>
      </c>
      <c r="Q1127" s="43">
        <f t="shared" si="244"/>
        <v>1.5085690000000001E-2</v>
      </c>
      <c r="R1127" s="43">
        <f t="shared" si="245"/>
        <v>9.0220950000000008E-3</v>
      </c>
      <c r="S1127" s="43">
        <f t="shared" si="246"/>
        <v>0.87655587800000001</v>
      </c>
      <c r="T1127" s="43">
        <f t="shared" si="247"/>
        <v>2.602902866</v>
      </c>
      <c r="U1127" s="43">
        <f t="shared" si="248"/>
        <v>6.772401822</v>
      </c>
      <c r="V1127" s="43">
        <f t="shared" si="249"/>
        <v>3.4108039999999999E-3</v>
      </c>
      <c r="W1127" s="230">
        <f t="shared" si="250"/>
        <v>8.8046323471087512E-3</v>
      </c>
      <c r="X1127" s="43">
        <f t="shared" si="251"/>
        <v>0.89172681799999998</v>
      </c>
      <c r="Y1127" s="43">
        <v>37.5005302</v>
      </c>
      <c r="Z1127" s="43">
        <f t="shared" si="240"/>
        <v>0</v>
      </c>
      <c r="AA1127" s="43">
        <f t="shared" si="241"/>
        <v>81011</v>
      </c>
      <c r="AB1127" s="43">
        <f t="shared" si="242"/>
        <v>29053</v>
      </c>
      <c r="AC1127" s="43">
        <f t="shared" si="252"/>
        <v>2.1404971853430661E-2</v>
      </c>
      <c r="AD1127" s="43">
        <f t="shared" si="253"/>
        <v>0.87688609315999988</v>
      </c>
      <c r="AF1127" s="43">
        <v>15.117300300051483</v>
      </c>
      <c r="AG1127" s="43">
        <v>1.5085690000000001E-2</v>
      </c>
      <c r="AH1127" s="43">
        <v>9.0220950000000008E-3</v>
      </c>
      <c r="AI1127" s="43">
        <v>0.87655587800000001</v>
      </c>
      <c r="AJ1127" s="43">
        <v>2.602902866</v>
      </c>
      <c r="AK1127" s="43">
        <v>6.772401822</v>
      </c>
      <c r="AL1127" s="43">
        <v>3.4108039999999999E-3</v>
      </c>
      <c r="AM1127" s="230">
        <v>8.8046323471087512E-3</v>
      </c>
      <c r="AN1127" s="43">
        <v>0.89172681799999998</v>
      </c>
    </row>
    <row r="1128" spans="1:40" x14ac:dyDescent="0.25">
      <c r="A1128" s="134">
        <v>1118</v>
      </c>
      <c r="B1128" s="134" t="s">
        <v>206</v>
      </c>
      <c r="C1128" s="134" t="s">
        <v>205</v>
      </c>
      <c r="D1128" s="134" t="s">
        <v>62</v>
      </c>
      <c r="E1128" s="134">
        <v>305</v>
      </c>
      <c r="F1128" s="134">
        <v>846</v>
      </c>
      <c r="G1128" s="134">
        <v>74</v>
      </c>
      <c r="H1128" s="134">
        <v>1515</v>
      </c>
      <c r="I1128" s="200">
        <v>0.11968503772</v>
      </c>
      <c r="J1128" s="134">
        <v>2361</v>
      </c>
      <c r="K1128" s="134">
        <v>19726.776587699998</v>
      </c>
      <c r="L1128" s="42">
        <v>0.86195468262099995</v>
      </c>
      <c r="M1128" s="42">
        <v>0.83241758241800001</v>
      </c>
      <c r="N1128" s="134">
        <v>0</v>
      </c>
      <c r="O1128" s="43" t="s">
        <v>664</v>
      </c>
      <c r="P1128" s="43">
        <f t="shared" si="243"/>
        <v>15.88210296776033</v>
      </c>
      <c r="Q1128" s="43">
        <f t="shared" si="244"/>
        <v>3.3064791000000003E-2</v>
      </c>
      <c r="R1128" s="43">
        <f t="shared" si="245"/>
        <v>1.1385411999999999E-2</v>
      </c>
      <c r="S1128" s="43">
        <f t="shared" si="246"/>
        <v>0.861954683</v>
      </c>
      <c r="T1128" s="43">
        <f t="shared" si="247"/>
        <v>2.9671880129999999</v>
      </c>
      <c r="U1128" s="43">
        <f t="shared" si="248"/>
        <v>9.4550492560000006</v>
      </c>
      <c r="V1128" s="43">
        <f t="shared" si="249"/>
        <v>7.1501050000000003E-3</v>
      </c>
      <c r="W1128" s="230">
        <f t="shared" si="250"/>
        <v>5.8434158145343848E-2</v>
      </c>
      <c r="X1128" s="43">
        <f t="shared" si="251"/>
        <v>0.87236749700000005</v>
      </c>
      <c r="Y1128" s="43">
        <v>37.844904540000002</v>
      </c>
      <c r="Z1128" s="43">
        <f t="shared" si="240"/>
        <v>0</v>
      </c>
      <c r="AA1128" s="43">
        <f t="shared" si="241"/>
        <v>81011</v>
      </c>
      <c r="AB1128" s="43">
        <f t="shared" si="242"/>
        <v>29053</v>
      </c>
      <c r="AC1128" s="43">
        <f t="shared" si="252"/>
        <v>2.1404971853430661E-2</v>
      </c>
      <c r="AD1128" s="43">
        <f t="shared" si="253"/>
        <v>0.87688609315999988</v>
      </c>
      <c r="AF1128" s="43">
        <v>15.88210296776033</v>
      </c>
      <c r="AG1128" s="43">
        <v>3.3064791000000003E-2</v>
      </c>
      <c r="AH1128" s="43">
        <v>1.1385411999999999E-2</v>
      </c>
      <c r="AI1128" s="43">
        <v>0.861954683</v>
      </c>
      <c r="AJ1128" s="43">
        <v>2.9671880129999999</v>
      </c>
      <c r="AK1128" s="43">
        <v>9.4550492560000006</v>
      </c>
      <c r="AL1128" s="43">
        <v>7.1501050000000003E-3</v>
      </c>
      <c r="AM1128" s="230">
        <v>5.8434158145343848E-2</v>
      </c>
      <c r="AN1128" s="43">
        <v>0.87236749700000005</v>
      </c>
    </row>
    <row r="1129" spans="1:40" x14ac:dyDescent="0.25">
      <c r="A1129" s="134">
        <v>1119</v>
      </c>
      <c r="B1129" s="134" t="s">
        <v>206</v>
      </c>
      <c r="C1129" s="134" t="s">
        <v>205</v>
      </c>
      <c r="D1129" s="134" t="s">
        <v>62</v>
      </c>
      <c r="E1129" s="134">
        <v>0</v>
      </c>
      <c r="F1129" s="134">
        <v>0</v>
      </c>
      <c r="G1129" s="134">
        <v>10</v>
      </c>
      <c r="H1129" s="134">
        <v>155</v>
      </c>
      <c r="I1129" s="200">
        <v>1.6466967269100002E-2</v>
      </c>
      <c r="J1129" s="134">
        <v>155</v>
      </c>
      <c r="K1129" s="134">
        <v>9412.7836332499992</v>
      </c>
      <c r="L1129" s="42">
        <v>0.88880178496100004</v>
      </c>
      <c r="M1129" s="42">
        <v>1</v>
      </c>
      <c r="N1129" s="134">
        <v>0</v>
      </c>
      <c r="O1129" s="43" t="s">
        <v>664</v>
      </c>
      <c r="P1129" s="43">
        <f t="shared" si="243"/>
        <v>14.959602223484056</v>
      </c>
      <c r="Q1129" s="43">
        <f t="shared" si="244"/>
        <v>1.1879636000000001E-2</v>
      </c>
      <c r="R1129" s="43">
        <f t="shared" si="245"/>
        <v>5.6081530000000003E-3</v>
      </c>
      <c r="S1129" s="43">
        <f t="shared" si="246"/>
        <v>0.88880178499999996</v>
      </c>
      <c r="T1129" s="43">
        <f t="shared" si="247"/>
        <v>2.8457446810000002</v>
      </c>
      <c r="U1129" s="43">
        <f t="shared" si="248"/>
        <v>8.0556575630000005</v>
      </c>
      <c r="V1129" s="43">
        <f t="shared" si="249"/>
        <v>2.6996310000000001E-3</v>
      </c>
      <c r="W1129" s="230">
        <f t="shared" si="250"/>
        <v>9.2355782892867295E-3</v>
      </c>
      <c r="X1129" s="43">
        <f t="shared" si="251"/>
        <v>0.88448422800000004</v>
      </c>
      <c r="Y1129" s="43">
        <v>97.83739817</v>
      </c>
      <c r="Z1129" s="43">
        <f t="shared" si="240"/>
        <v>0</v>
      </c>
      <c r="AA1129" s="43">
        <f t="shared" si="241"/>
        <v>81011</v>
      </c>
      <c r="AB1129" s="43">
        <f t="shared" si="242"/>
        <v>29053</v>
      </c>
      <c r="AC1129" s="43">
        <f t="shared" si="252"/>
        <v>2.1404971853430661E-2</v>
      </c>
      <c r="AD1129" s="43">
        <f t="shared" si="253"/>
        <v>0.87688609315999988</v>
      </c>
      <c r="AF1129" s="43">
        <v>14.959602223484056</v>
      </c>
      <c r="AG1129" s="43">
        <v>1.1879636000000001E-2</v>
      </c>
      <c r="AH1129" s="43">
        <v>5.6081530000000003E-3</v>
      </c>
      <c r="AI1129" s="43">
        <v>0.88880178499999996</v>
      </c>
      <c r="AJ1129" s="43">
        <v>2.8457446810000002</v>
      </c>
      <c r="AK1129" s="43">
        <v>8.0556575630000005</v>
      </c>
      <c r="AL1129" s="43">
        <v>2.6996310000000001E-3</v>
      </c>
      <c r="AM1129" s="230">
        <v>9.2355782892867295E-3</v>
      </c>
      <c r="AN1129" s="43">
        <v>0.88448422800000004</v>
      </c>
    </row>
    <row r="1130" spans="1:40" x14ac:dyDescent="0.25">
      <c r="A1130" s="134">
        <v>1120</v>
      </c>
      <c r="B1130" s="134" t="s">
        <v>206</v>
      </c>
      <c r="C1130" s="134" t="s">
        <v>205</v>
      </c>
      <c r="D1130" s="134" t="s">
        <v>62</v>
      </c>
      <c r="E1130" s="134">
        <v>412</v>
      </c>
      <c r="F1130" s="134">
        <v>1143</v>
      </c>
      <c r="G1130" s="134">
        <v>20</v>
      </c>
      <c r="H1130" s="134">
        <v>0</v>
      </c>
      <c r="I1130" s="200">
        <v>3.2131857202999999E-2</v>
      </c>
      <c r="J1130" s="134">
        <v>1143</v>
      </c>
      <c r="K1130" s="134">
        <v>35572.173521700002</v>
      </c>
      <c r="L1130" s="42">
        <v>0.80139266130999998</v>
      </c>
      <c r="M1130" s="42">
        <v>0</v>
      </c>
      <c r="N1130" s="134">
        <v>0</v>
      </c>
      <c r="O1130" s="43" t="s">
        <v>664</v>
      </c>
      <c r="P1130" s="43">
        <f t="shared" si="243"/>
        <v>16.252718326552841</v>
      </c>
      <c r="Q1130" s="43">
        <f t="shared" si="244"/>
        <v>5.8870561000000002E-2</v>
      </c>
      <c r="R1130" s="43">
        <f t="shared" si="245"/>
        <v>1.6472642999999999E-2</v>
      </c>
      <c r="S1130" s="43">
        <f t="shared" si="246"/>
        <v>0.80139266099999995</v>
      </c>
      <c r="T1130" s="43">
        <f t="shared" si="247"/>
        <v>2.9697230349999999</v>
      </c>
      <c r="U1130" s="43">
        <f t="shared" si="248"/>
        <v>9.3911911640000003</v>
      </c>
      <c r="V1130" s="43">
        <f t="shared" si="249"/>
        <v>7.0113780000000004E-3</v>
      </c>
      <c r="W1130" s="230">
        <f t="shared" si="250"/>
        <v>0.13523971812485577</v>
      </c>
      <c r="X1130" s="43">
        <f t="shared" si="251"/>
        <v>0.76910378599999996</v>
      </c>
      <c r="Y1130" s="43">
        <v>112.0596845</v>
      </c>
      <c r="Z1130" s="43">
        <f t="shared" si="240"/>
        <v>0</v>
      </c>
      <c r="AA1130" s="43">
        <f t="shared" si="241"/>
        <v>81011</v>
      </c>
      <c r="AB1130" s="43">
        <f t="shared" si="242"/>
        <v>29053</v>
      </c>
      <c r="AC1130" s="43">
        <f t="shared" si="252"/>
        <v>2.1404971853430661E-2</v>
      </c>
      <c r="AD1130" s="43">
        <f t="shared" si="253"/>
        <v>0.87688609315999988</v>
      </c>
      <c r="AF1130" s="43">
        <v>16.252718326552841</v>
      </c>
      <c r="AG1130" s="43">
        <v>5.8870561000000002E-2</v>
      </c>
      <c r="AH1130" s="43">
        <v>1.6472642999999999E-2</v>
      </c>
      <c r="AI1130" s="43">
        <v>0.80139266099999995</v>
      </c>
      <c r="AJ1130" s="43">
        <v>2.9697230349999999</v>
      </c>
      <c r="AK1130" s="43">
        <v>9.3911911640000003</v>
      </c>
      <c r="AL1130" s="43">
        <v>7.0113780000000004E-3</v>
      </c>
      <c r="AM1130" s="230">
        <v>0.13523971812485577</v>
      </c>
      <c r="AN1130" s="43">
        <v>0.76910378599999996</v>
      </c>
    </row>
    <row r="1131" spans="1:40" x14ac:dyDescent="0.25">
      <c r="A1131" s="134">
        <v>1121</v>
      </c>
      <c r="B1131" s="134" t="s">
        <v>206</v>
      </c>
      <c r="C1131" s="134" t="s">
        <v>205</v>
      </c>
      <c r="D1131" s="134" t="s">
        <v>62</v>
      </c>
      <c r="E1131" s="134">
        <v>255</v>
      </c>
      <c r="F1131" s="134">
        <v>708</v>
      </c>
      <c r="G1131" s="134">
        <v>143</v>
      </c>
      <c r="H1131" s="134">
        <v>503</v>
      </c>
      <c r="I1131" s="200">
        <v>0.23035724969800001</v>
      </c>
      <c r="J1131" s="134">
        <v>1211</v>
      </c>
      <c r="K1131" s="134">
        <v>5257.0518253199998</v>
      </c>
      <c r="L1131" s="42">
        <v>0.89062580862200003</v>
      </c>
      <c r="M1131" s="42">
        <v>0.66358839050100005</v>
      </c>
      <c r="N1131" s="134">
        <v>0</v>
      </c>
      <c r="O1131" s="43" t="s">
        <v>666</v>
      </c>
      <c r="P1131" s="43">
        <f t="shared" si="243"/>
        <v>17.406231339141311</v>
      </c>
      <c r="Q1131" s="43">
        <f t="shared" si="244"/>
        <v>2.0344925999999999E-2</v>
      </c>
      <c r="R1131" s="43">
        <f t="shared" si="245"/>
        <v>9.9654559999999993E-3</v>
      </c>
      <c r="S1131" s="43">
        <f t="shared" si="246"/>
        <v>0.89062580899999999</v>
      </c>
      <c r="T1131" s="43">
        <f t="shared" si="247"/>
        <v>4.2197178529999997</v>
      </c>
      <c r="U1131" s="43">
        <f t="shared" si="248"/>
        <v>9.8012476540000009</v>
      </c>
      <c r="V1131" s="43">
        <f t="shared" si="249"/>
        <v>4.6448499999999998E-3</v>
      </c>
      <c r="W1131" s="230">
        <f t="shared" si="250"/>
        <v>4.267832906047353E-2</v>
      </c>
      <c r="X1131" s="43">
        <f t="shared" si="251"/>
        <v>0.90600211100000005</v>
      </c>
      <c r="Y1131" s="43">
        <v>67.023089510000005</v>
      </c>
      <c r="Z1131" s="43">
        <f t="shared" si="240"/>
        <v>0</v>
      </c>
      <c r="AA1131" s="43">
        <f t="shared" si="241"/>
        <v>81011</v>
      </c>
      <c r="AB1131" s="43">
        <f t="shared" si="242"/>
        <v>29053</v>
      </c>
      <c r="AC1131" s="43">
        <f t="shared" si="252"/>
        <v>2.1404971853430661E-2</v>
      </c>
      <c r="AD1131" s="43">
        <f t="shared" si="253"/>
        <v>0.87688609315999988</v>
      </c>
      <c r="AF1131" s="43">
        <v>17.406231339141311</v>
      </c>
      <c r="AG1131" s="43">
        <v>2.0344925999999999E-2</v>
      </c>
      <c r="AH1131" s="43">
        <v>9.9654559999999993E-3</v>
      </c>
      <c r="AI1131" s="43">
        <v>0.89062580899999999</v>
      </c>
      <c r="AJ1131" s="43">
        <v>4.2197178529999997</v>
      </c>
      <c r="AK1131" s="43">
        <v>9.8012476540000009</v>
      </c>
      <c r="AL1131" s="43">
        <v>4.6448499999999998E-3</v>
      </c>
      <c r="AM1131" s="230">
        <v>4.267832906047353E-2</v>
      </c>
      <c r="AN1131" s="43">
        <v>0.90600211100000005</v>
      </c>
    </row>
    <row r="1132" spans="1:40" x14ac:dyDescent="0.25">
      <c r="A1132" s="134">
        <v>1122</v>
      </c>
      <c r="B1132" s="134" t="s">
        <v>206</v>
      </c>
      <c r="C1132" s="134" t="s">
        <v>205</v>
      </c>
      <c r="D1132" s="134" t="s">
        <v>62</v>
      </c>
      <c r="E1132" s="134">
        <v>1188</v>
      </c>
      <c r="F1132" s="134">
        <v>3297</v>
      </c>
      <c r="G1132" s="134">
        <v>210</v>
      </c>
      <c r="H1132" s="134">
        <v>1402</v>
      </c>
      <c r="I1132" s="200">
        <v>0.33911834004300001</v>
      </c>
      <c r="J1132" s="134">
        <v>4699</v>
      </c>
      <c r="K1132" s="134">
        <v>13856.5198196</v>
      </c>
      <c r="L1132" s="42">
        <v>0.85462773569799999</v>
      </c>
      <c r="M1132" s="42">
        <v>0.541312741313</v>
      </c>
      <c r="N1132" s="134">
        <v>0</v>
      </c>
      <c r="O1132" s="43" t="s">
        <v>664</v>
      </c>
      <c r="P1132" s="43">
        <f t="shared" si="243"/>
        <v>16.348769935386304</v>
      </c>
      <c r="Q1132" s="43">
        <f t="shared" si="244"/>
        <v>3.2735094999999999E-2</v>
      </c>
      <c r="R1132" s="43">
        <f t="shared" si="245"/>
        <v>1.3479692E-2</v>
      </c>
      <c r="S1132" s="43">
        <f t="shared" si="246"/>
        <v>0.85462773599999997</v>
      </c>
      <c r="T1132" s="43">
        <f t="shared" si="247"/>
        <v>3.0314080940000001</v>
      </c>
      <c r="U1132" s="43">
        <f t="shared" si="248"/>
        <v>9.7412548359999995</v>
      </c>
      <c r="V1132" s="43">
        <f t="shared" si="249"/>
        <v>7.0179960000000003E-3</v>
      </c>
      <c r="W1132" s="230">
        <f t="shared" si="250"/>
        <v>6.5722337858498028E-2</v>
      </c>
      <c r="X1132" s="43">
        <f t="shared" si="251"/>
        <v>0.87290243000000001</v>
      </c>
      <c r="Y1132" s="43">
        <v>105.527957</v>
      </c>
      <c r="Z1132" s="43">
        <f t="shared" si="240"/>
        <v>0</v>
      </c>
      <c r="AA1132" s="43">
        <f t="shared" si="241"/>
        <v>81011</v>
      </c>
      <c r="AB1132" s="43">
        <f t="shared" si="242"/>
        <v>29053</v>
      </c>
      <c r="AC1132" s="43">
        <f t="shared" si="252"/>
        <v>2.1404971853430661E-2</v>
      </c>
      <c r="AD1132" s="43">
        <f t="shared" si="253"/>
        <v>0.87688609315999988</v>
      </c>
      <c r="AF1132" s="43">
        <v>16.348769935386304</v>
      </c>
      <c r="AG1132" s="43">
        <v>3.2735094999999999E-2</v>
      </c>
      <c r="AH1132" s="43">
        <v>1.3479692E-2</v>
      </c>
      <c r="AI1132" s="43">
        <v>0.85462773599999997</v>
      </c>
      <c r="AJ1132" s="43">
        <v>3.0314080940000001</v>
      </c>
      <c r="AK1132" s="43">
        <v>9.7412548359999995</v>
      </c>
      <c r="AL1132" s="43">
        <v>7.0179960000000003E-3</v>
      </c>
      <c r="AM1132" s="230">
        <v>6.5722337858498028E-2</v>
      </c>
      <c r="AN1132" s="43">
        <v>0.87290243000000001</v>
      </c>
    </row>
    <row r="1133" spans="1:40" x14ac:dyDescent="0.25">
      <c r="A1133" s="134">
        <v>1123</v>
      </c>
      <c r="B1133" s="134" t="s">
        <v>206</v>
      </c>
      <c r="C1133" s="134" t="s">
        <v>205</v>
      </c>
      <c r="D1133" s="134" t="s">
        <v>62</v>
      </c>
      <c r="E1133" s="134">
        <v>990</v>
      </c>
      <c r="F1133" s="134">
        <v>2746</v>
      </c>
      <c r="G1133" s="134">
        <v>178</v>
      </c>
      <c r="H1133" s="134">
        <v>610</v>
      </c>
      <c r="I1133" s="200">
        <v>0.28645258239999999</v>
      </c>
      <c r="J1133" s="134">
        <v>3356</v>
      </c>
      <c r="K1133" s="134">
        <v>11715.726113799999</v>
      </c>
      <c r="L1133" s="42">
        <v>0.87522713159999999</v>
      </c>
      <c r="M1133" s="42">
        <v>0.38124999999999998</v>
      </c>
      <c r="N1133" s="134">
        <v>0</v>
      </c>
      <c r="O1133" s="43" t="s">
        <v>666</v>
      </c>
      <c r="P1133" s="43">
        <f t="shared" si="243"/>
        <v>17.084071399234968</v>
      </c>
      <c r="Q1133" s="43">
        <f t="shared" si="244"/>
        <v>1.6331707000000001E-2</v>
      </c>
      <c r="R1133" s="43">
        <f t="shared" si="245"/>
        <v>1.2788111E-2</v>
      </c>
      <c r="S1133" s="43">
        <f t="shared" si="246"/>
        <v>0.87522713200000002</v>
      </c>
      <c r="T1133" s="43">
        <f t="shared" si="247"/>
        <v>3.1901345289999998</v>
      </c>
      <c r="U1133" s="43">
        <f t="shared" si="248"/>
        <v>9.3605591550000007</v>
      </c>
      <c r="V1133" s="43">
        <f t="shared" si="249"/>
        <v>6.1024299999999998E-3</v>
      </c>
      <c r="W1133" s="230">
        <f t="shared" si="250"/>
        <v>5.5640102259657161E-2</v>
      </c>
      <c r="X1133" s="43">
        <f t="shared" si="251"/>
        <v>0.89858413599999998</v>
      </c>
      <c r="Y1133" s="43">
        <v>91.360860689999996</v>
      </c>
      <c r="Z1133" s="43">
        <f t="shared" si="240"/>
        <v>0</v>
      </c>
      <c r="AA1133" s="43">
        <f t="shared" si="241"/>
        <v>81011</v>
      </c>
      <c r="AB1133" s="43">
        <f t="shared" si="242"/>
        <v>29053</v>
      </c>
      <c r="AC1133" s="43">
        <f t="shared" si="252"/>
        <v>2.1404971853430661E-2</v>
      </c>
      <c r="AD1133" s="43">
        <f t="shared" si="253"/>
        <v>0.87688609315999988</v>
      </c>
      <c r="AF1133" s="43">
        <v>17.084071399234968</v>
      </c>
      <c r="AG1133" s="43">
        <v>1.6331707000000001E-2</v>
      </c>
      <c r="AH1133" s="43">
        <v>1.2788111E-2</v>
      </c>
      <c r="AI1133" s="43">
        <v>0.87522713200000002</v>
      </c>
      <c r="AJ1133" s="43">
        <v>3.1901345289999998</v>
      </c>
      <c r="AK1133" s="43">
        <v>9.3605591550000007</v>
      </c>
      <c r="AL1133" s="43">
        <v>6.1024299999999998E-3</v>
      </c>
      <c r="AM1133" s="230">
        <v>5.5640102259657161E-2</v>
      </c>
      <c r="AN1133" s="43">
        <v>0.89858413599999998</v>
      </c>
    </row>
    <row r="1134" spans="1:40" x14ac:dyDescent="0.25">
      <c r="A1134" s="134">
        <v>1124</v>
      </c>
      <c r="B1134" s="134" t="s">
        <v>206</v>
      </c>
      <c r="C1134" s="134" t="s">
        <v>205</v>
      </c>
      <c r="D1134" s="134" t="s">
        <v>62</v>
      </c>
      <c r="E1134" s="134">
        <v>12</v>
      </c>
      <c r="F1134" s="134">
        <v>34</v>
      </c>
      <c r="G1134" s="134">
        <v>21</v>
      </c>
      <c r="H1134" s="134">
        <v>700</v>
      </c>
      <c r="I1134" s="200">
        <v>3.28450897614E-2</v>
      </c>
      <c r="J1134" s="134">
        <v>734</v>
      </c>
      <c r="K1134" s="134">
        <v>22347.32818</v>
      </c>
      <c r="L1134" s="42">
        <v>0.89634110758800001</v>
      </c>
      <c r="M1134" s="42">
        <v>0.98314606741599997</v>
      </c>
      <c r="N1134" s="134">
        <v>0</v>
      </c>
      <c r="O1134" s="43" t="s">
        <v>664</v>
      </c>
      <c r="P1134" s="43">
        <f t="shared" si="243"/>
        <v>15.464995929620001</v>
      </c>
      <c r="Q1134" s="43">
        <f t="shared" si="244"/>
        <v>2.1611002000000001E-2</v>
      </c>
      <c r="R1134" s="43">
        <f t="shared" si="245"/>
        <v>6.3023979999999999E-3</v>
      </c>
      <c r="S1134" s="43">
        <f t="shared" si="246"/>
        <v>0.896341108</v>
      </c>
      <c r="T1134" s="43">
        <f t="shared" si="247"/>
        <v>3.2123493980000002</v>
      </c>
      <c r="U1134" s="43">
        <f t="shared" si="248"/>
        <v>8.6398864999999994</v>
      </c>
      <c r="V1134" s="43">
        <f t="shared" si="249"/>
        <v>4.3550919999999996E-3</v>
      </c>
      <c r="W1134" s="230">
        <f t="shared" si="250"/>
        <v>2.3547880690737835E-2</v>
      </c>
      <c r="X1134" s="43">
        <f t="shared" si="251"/>
        <v>0.90380817300000005</v>
      </c>
      <c r="Y1134" s="43">
        <v>117.7563378</v>
      </c>
      <c r="Z1134" s="43">
        <f t="shared" si="240"/>
        <v>0</v>
      </c>
      <c r="AA1134" s="43">
        <f t="shared" si="241"/>
        <v>81011</v>
      </c>
      <c r="AB1134" s="43">
        <f t="shared" si="242"/>
        <v>29053</v>
      </c>
      <c r="AC1134" s="43">
        <f t="shared" si="252"/>
        <v>2.1404971853430661E-2</v>
      </c>
      <c r="AD1134" s="43">
        <f t="shared" si="253"/>
        <v>0.87688609315999988</v>
      </c>
      <c r="AF1134" s="43">
        <v>15.464995929620001</v>
      </c>
      <c r="AG1134" s="43">
        <v>2.1611002000000001E-2</v>
      </c>
      <c r="AH1134" s="43">
        <v>6.3023979999999999E-3</v>
      </c>
      <c r="AI1134" s="43">
        <v>0.896341108</v>
      </c>
      <c r="AJ1134" s="43">
        <v>3.2123493980000002</v>
      </c>
      <c r="AK1134" s="43">
        <v>8.6398864999999994</v>
      </c>
      <c r="AL1134" s="43">
        <v>4.3550919999999996E-3</v>
      </c>
      <c r="AM1134" s="230">
        <v>2.3547880690737835E-2</v>
      </c>
      <c r="AN1134" s="43">
        <v>0.90380817300000005</v>
      </c>
    </row>
    <row r="1135" spans="1:40" x14ac:dyDescent="0.25">
      <c r="A1135" s="134">
        <v>1125</v>
      </c>
      <c r="B1135" s="134" t="s">
        <v>206</v>
      </c>
      <c r="C1135" s="134" t="s">
        <v>205</v>
      </c>
      <c r="D1135" s="134" t="s">
        <v>62</v>
      </c>
      <c r="E1135" s="134">
        <v>23</v>
      </c>
      <c r="F1135" s="134">
        <v>64</v>
      </c>
      <c r="G1135" s="134">
        <v>57</v>
      </c>
      <c r="H1135" s="134">
        <v>1623</v>
      </c>
      <c r="I1135" s="200">
        <v>9.0862360166600001E-2</v>
      </c>
      <c r="J1135" s="134">
        <v>1687</v>
      </c>
      <c r="K1135" s="134">
        <v>18566.543912199999</v>
      </c>
      <c r="L1135" s="42">
        <v>0.87541265687100001</v>
      </c>
      <c r="M1135" s="42">
        <v>0.98602673146999997</v>
      </c>
      <c r="N1135" s="134">
        <v>0</v>
      </c>
      <c r="O1135" s="43" t="s">
        <v>664</v>
      </c>
      <c r="P1135" s="43">
        <f t="shared" si="243"/>
        <v>15.733203382897296</v>
      </c>
      <c r="Q1135" s="43">
        <f t="shared" si="244"/>
        <v>1.1779009999999999E-2</v>
      </c>
      <c r="R1135" s="43">
        <f t="shared" si="245"/>
        <v>9.3927090000000008E-3</v>
      </c>
      <c r="S1135" s="43">
        <f t="shared" si="246"/>
        <v>0.87541265700000004</v>
      </c>
      <c r="T1135" s="43">
        <f t="shared" si="247"/>
        <v>2.4186900520000001</v>
      </c>
      <c r="U1135" s="43">
        <f t="shared" si="248"/>
        <v>6.6737728670000003</v>
      </c>
      <c r="V1135" s="43">
        <f t="shared" si="249"/>
        <v>5.024644E-3</v>
      </c>
      <c r="W1135" s="230">
        <f t="shared" si="250"/>
        <v>2.0662784632253531E-2</v>
      </c>
      <c r="X1135" s="43">
        <f t="shared" si="251"/>
        <v>0.926503933</v>
      </c>
      <c r="Y1135" s="43">
        <v>118.3593521</v>
      </c>
      <c r="Z1135" s="43">
        <f t="shared" si="240"/>
        <v>0</v>
      </c>
      <c r="AA1135" s="43">
        <f t="shared" si="241"/>
        <v>81011</v>
      </c>
      <c r="AB1135" s="43">
        <f t="shared" si="242"/>
        <v>29053</v>
      </c>
      <c r="AC1135" s="43">
        <f t="shared" si="252"/>
        <v>2.1404971853430661E-2</v>
      </c>
      <c r="AD1135" s="43">
        <f t="shared" si="253"/>
        <v>0.87688609315999988</v>
      </c>
      <c r="AF1135" s="43">
        <v>15.733203382897296</v>
      </c>
      <c r="AG1135" s="43">
        <v>1.1779009999999999E-2</v>
      </c>
      <c r="AH1135" s="43">
        <v>9.3927090000000008E-3</v>
      </c>
      <c r="AI1135" s="43">
        <v>0.87541265700000004</v>
      </c>
      <c r="AJ1135" s="43">
        <v>2.4186900520000001</v>
      </c>
      <c r="AK1135" s="43">
        <v>6.6737728670000003</v>
      </c>
      <c r="AL1135" s="43">
        <v>5.024644E-3</v>
      </c>
      <c r="AM1135" s="230">
        <v>2.0662784632253531E-2</v>
      </c>
      <c r="AN1135" s="43">
        <v>0.926503933</v>
      </c>
    </row>
    <row r="1136" spans="1:40" x14ac:dyDescent="0.25">
      <c r="A1136" s="134">
        <v>1126</v>
      </c>
      <c r="B1136" s="134" t="s">
        <v>206</v>
      </c>
      <c r="C1136" s="134" t="s">
        <v>205</v>
      </c>
      <c r="D1136" s="134" t="s">
        <v>62</v>
      </c>
      <c r="E1136" s="134">
        <v>0</v>
      </c>
      <c r="F1136" s="134">
        <v>0</v>
      </c>
      <c r="G1136" s="134">
        <v>22</v>
      </c>
      <c r="H1136" s="134">
        <v>360</v>
      </c>
      <c r="I1136" s="200">
        <v>3.5487447131099997E-2</v>
      </c>
      <c r="J1136" s="134">
        <v>360</v>
      </c>
      <c r="K1136" s="134">
        <v>10144.432161299999</v>
      </c>
      <c r="L1136" s="42">
        <v>0.88345707100899995</v>
      </c>
      <c r="M1136" s="42">
        <v>1</v>
      </c>
      <c r="N1136" s="134">
        <v>0</v>
      </c>
      <c r="O1136" s="43" t="s">
        <v>664</v>
      </c>
      <c r="P1136" s="43">
        <f t="shared" si="243"/>
        <v>14.638096575135691</v>
      </c>
      <c r="Q1136" s="43">
        <f t="shared" si="244"/>
        <v>1.0567597E-2</v>
      </c>
      <c r="R1136" s="43">
        <f t="shared" si="245"/>
        <v>7.9930550000000006E-3</v>
      </c>
      <c r="S1136" s="43">
        <f t="shared" si="246"/>
        <v>0.88345707100000004</v>
      </c>
      <c r="T1136" s="43">
        <f t="shared" si="247"/>
        <v>2.6673003799999999</v>
      </c>
      <c r="U1136" s="43">
        <f t="shared" si="248"/>
        <v>7.67286102</v>
      </c>
      <c r="V1136" s="43">
        <f t="shared" si="249"/>
        <v>4.0811429999999998E-3</v>
      </c>
      <c r="W1136" s="230">
        <f t="shared" si="250"/>
        <v>9.7827391669667516E-3</v>
      </c>
      <c r="X1136" s="43">
        <f t="shared" si="251"/>
        <v>0.89791141500000005</v>
      </c>
      <c r="Y1136" s="43">
        <v>37.5005302</v>
      </c>
      <c r="Z1136" s="43">
        <f t="shared" si="240"/>
        <v>0</v>
      </c>
      <c r="AA1136" s="43">
        <f t="shared" si="241"/>
        <v>81011</v>
      </c>
      <c r="AB1136" s="43">
        <f t="shared" si="242"/>
        <v>29053</v>
      </c>
      <c r="AC1136" s="43">
        <f t="shared" si="252"/>
        <v>2.1404971853430661E-2</v>
      </c>
      <c r="AD1136" s="43">
        <f t="shared" si="253"/>
        <v>0.87688609315999988</v>
      </c>
      <c r="AF1136" s="43">
        <v>14.638096575135691</v>
      </c>
      <c r="AG1136" s="43">
        <v>1.0567597E-2</v>
      </c>
      <c r="AH1136" s="43">
        <v>7.9930550000000006E-3</v>
      </c>
      <c r="AI1136" s="43">
        <v>0.88345707100000004</v>
      </c>
      <c r="AJ1136" s="43">
        <v>2.6673003799999999</v>
      </c>
      <c r="AK1136" s="43">
        <v>7.67286102</v>
      </c>
      <c r="AL1136" s="43">
        <v>4.0811429999999998E-3</v>
      </c>
      <c r="AM1136" s="230">
        <v>9.7827391669667516E-3</v>
      </c>
      <c r="AN1136" s="43">
        <v>0.89791141500000005</v>
      </c>
    </row>
    <row r="1137" spans="1:40" x14ac:dyDescent="0.25">
      <c r="A1137" s="134">
        <v>1127</v>
      </c>
      <c r="B1137" s="134" t="s">
        <v>206</v>
      </c>
      <c r="C1137" s="134" t="s">
        <v>205</v>
      </c>
      <c r="D1137" s="134" t="s">
        <v>62</v>
      </c>
      <c r="E1137" s="134">
        <v>0</v>
      </c>
      <c r="F1137" s="134">
        <v>0</v>
      </c>
      <c r="G1137" s="134">
        <v>45</v>
      </c>
      <c r="H1137" s="134">
        <v>766</v>
      </c>
      <c r="I1137" s="200">
        <v>7.2570472968799996E-2</v>
      </c>
      <c r="J1137" s="134">
        <v>766</v>
      </c>
      <c r="K1137" s="134">
        <v>10555.2570992</v>
      </c>
      <c r="L1137" s="42">
        <v>0.90863056941599996</v>
      </c>
      <c r="M1137" s="42">
        <v>1</v>
      </c>
      <c r="N1137" s="134">
        <v>0</v>
      </c>
      <c r="O1137" s="43" t="s">
        <v>666</v>
      </c>
      <c r="P1137" s="43">
        <f t="shared" si="243"/>
        <v>15.136855086968536</v>
      </c>
      <c r="Q1137" s="43">
        <f t="shared" si="244"/>
        <v>1.0192273999999999E-2</v>
      </c>
      <c r="R1137" s="43">
        <f t="shared" si="245"/>
        <v>7.6557769999999999E-3</v>
      </c>
      <c r="S1137" s="43">
        <f t="shared" si="246"/>
        <v>0.90863056900000005</v>
      </c>
      <c r="T1137" s="43">
        <f t="shared" si="247"/>
        <v>2.957459557</v>
      </c>
      <c r="U1137" s="43">
        <f t="shared" si="248"/>
        <v>8.8288736409999995</v>
      </c>
      <c r="V1137" s="43">
        <f t="shared" si="249"/>
        <v>4.2425259999999999E-3</v>
      </c>
      <c r="W1137" s="230">
        <f t="shared" si="250"/>
        <v>1.1688019779725781E-2</v>
      </c>
      <c r="X1137" s="43">
        <f t="shared" si="251"/>
        <v>0.93360867599999997</v>
      </c>
      <c r="Y1137" s="43">
        <v>37.5005302</v>
      </c>
      <c r="Z1137" s="43">
        <f t="shared" si="240"/>
        <v>0</v>
      </c>
      <c r="AA1137" s="43">
        <f t="shared" si="241"/>
        <v>81011</v>
      </c>
      <c r="AB1137" s="43">
        <f t="shared" si="242"/>
        <v>29053</v>
      </c>
      <c r="AC1137" s="43">
        <f t="shared" si="252"/>
        <v>2.1404971853430661E-2</v>
      </c>
      <c r="AD1137" s="43">
        <f t="shared" si="253"/>
        <v>0.87688609315999988</v>
      </c>
      <c r="AF1137" s="43">
        <v>15.136855086968536</v>
      </c>
      <c r="AG1137" s="43">
        <v>1.0192273999999999E-2</v>
      </c>
      <c r="AH1137" s="43">
        <v>7.6557769999999999E-3</v>
      </c>
      <c r="AI1137" s="43">
        <v>0.90863056900000005</v>
      </c>
      <c r="AJ1137" s="43">
        <v>2.957459557</v>
      </c>
      <c r="AK1137" s="43">
        <v>8.8288736409999995</v>
      </c>
      <c r="AL1137" s="43">
        <v>4.2425259999999999E-3</v>
      </c>
      <c r="AM1137" s="230">
        <v>1.1688019779725781E-2</v>
      </c>
      <c r="AN1137" s="43">
        <v>0.93360867599999997</v>
      </c>
    </row>
    <row r="1138" spans="1:40" x14ac:dyDescent="0.25">
      <c r="A1138" s="134">
        <v>1128</v>
      </c>
      <c r="B1138" s="134" t="s">
        <v>206</v>
      </c>
      <c r="C1138" s="134" t="s">
        <v>205</v>
      </c>
      <c r="D1138" s="134" t="s">
        <v>62</v>
      </c>
      <c r="E1138" s="134">
        <v>0</v>
      </c>
      <c r="F1138" s="134">
        <v>0</v>
      </c>
      <c r="G1138" s="134">
        <v>21</v>
      </c>
      <c r="H1138" s="134">
        <v>348</v>
      </c>
      <c r="I1138" s="200">
        <v>3.2730505347100002E-2</v>
      </c>
      <c r="J1138" s="134">
        <v>348</v>
      </c>
      <c r="K1138" s="134">
        <v>10632.283134900001</v>
      </c>
      <c r="L1138" s="42">
        <v>0.89749032338599999</v>
      </c>
      <c r="M1138" s="42">
        <v>1</v>
      </c>
      <c r="N1138" s="134">
        <v>0</v>
      </c>
      <c r="O1138" s="43" t="s">
        <v>666</v>
      </c>
      <c r="P1138" s="43">
        <f t="shared" si="243"/>
        <v>14.775412927019911</v>
      </c>
      <c r="Q1138" s="43">
        <f t="shared" si="244"/>
        <v>8.7193570000000005E-3</v>
      </c>
      <c r="R1138" s="43">
        <f t="shared" si="245"/>
        <v>7.2626629999999999E-3</v>
      </c>
      <c r="S1138" s="43">
        <f t="shared" si="246"/>
        <v>0.89749032299999998</v>
      </c>
      <c r="T1138" s="43">
        <f t="shared" si="247"/>
        <v>2.9137931030000002</v>
      </c>
      <c r="U1138" s="43">
        <f t="shared" si="248"/>
        <v>8.204709373</v>
      </c>
      <c r="V1138" s="43">
        <f t="shared" si="249"/>
        <v>3.952817E-3</v>
      </c>
      <c r="W1138" s="230">
        <f t="shared" si="250"/>
        <v>8.8467812774501182E-3</v>
      </c>
      <c r="X1138" s="43">
        <f t="shared" si="251"/>
        <v>0.92470824399999996</v>
      </c>
      <c r="Y1138" s="43">
        <v>37.5005302</v>
      </c>
      <c r="Z1138" s="43">
        <f t="shared" si="240"/>
        <v>0</v>
      </c>
      <c r="AA1138" s="43">
        <f t="shared" si="241"/>
        <v>81011</v>
      </c>
      <c r="AB1138" s="43">
        <f t="shared" si="242"/>
        <v>29053</v>
      </c>
      <c r="AC1138" s="43">
        <f t="shared" si="252"/>
        <v>2.1404971853430661E-2</v>
      </c>
      <c r="AD1138" s="43">
        <f t="shared" si="253"/>
        <v>0.87688609315999988</v>
      </c>
      <c r="AF1138" s="43">
        <v>14.775412927019911</v>
      </c>
      <c r="AG1138" s="43">
        <v>8.7193570000000005E-3</v>
      </c>
      <c r="AH1138" s="43">
        <v>7.2626629999999999E-3</v>
      </c>
      <c r="AI1138" s="43">
        <v>0.89749032299999998</v>
      </c>
      <c r="AJ1138" s="43">
        <v>2.9137931030000002</v>
      </c>
      <c r="AK1138" s="43">
        <v>8.204709373</v>
      </c>
      <c r="AL1138" s="43">
        <v>3.952817E-3</v>
      </c>
      <c r="AM1138" s="230">
        <v>8.8467812774501182E-3</v>
      </c>
      <c r="AN1138" s="43">
        <v>0.92470824399999996</v>
      </c>
    </row>
    <row r="1139" spans="1:40" x14ac:dyDescent="0.25">
      <c r="A1139" s="134">
        <v>1129</v>
      </c>
      <c r="B1139" s="134" t="s">
        <v>206</v>
      </c>
      <c r="C1139" s="134" t="s">
        <v>205</v>
      </c>
      <c r="D1139" s="134" t="s">
        <v>62</v>
      </c>
      <c r="E1139" s="134">
        <v>0</v>
      </c>
      <c r="F1139" s="134">
        <v>0</v>
      </c>
      <c r="G1139" s="134">
        <v>29</v>
      </c>
      <c r="H1139" s="134">
        <v>622</v>
      </c>
      <c r="I1139" s="200">
        <v>4.7875118090099998E-2</v>
      </c>
      <c r="J1139" s="134">
        <v>622</v>
      </c>
      <c r="K1139" s="134">
        <v>12992.135055000001</v>
      </c>
      <c r="L1139" s="42">
        <v>0.90218337570100005</v>
      </c>
      <c r="M1139" s="42">
        <v>1</v>
      </c>
      <c r="N1139" s="134">
        <v>0</v>
      </c>
      <c r="O1139" s="43" t="s">
        <v>666</v>
      </c>
      <c r="P1139" s="43">
        <f t="shared" si="243"/>
        <v>15.328894299026381</v>
      </c>
      <c r="Q1139" s="43">
        <f t="shared" si="244"/>
        <v>8.4154569999999995E-3</v>
      </c>
      <c r="R1139" s="43">
        <f t="shared" si="245"/>
        <v>7.4056019999999998E-3</v>
      </c>
      <c r="S1139" s="43">
        <f t="shared" si="246"/>
        <v>0.90218337599999998</v>
      </c>
      <c r="T1139" s="43">
        <f t="shared" si="247"/>
        <v>2.868338558</v>
      </c>
      <c r="U1139" s="43">
        <f t="shared" si="248"/>
        <v>8.6851272799999997</v>
      </c>
      <c r="V1139" s="43">
        <f t="shared" si="249"/>
        <v>3.984352E-3</v>
      </c>
      <c r="W1139" s="230">
        <f t="shared" si="250"/>
        <v>8.8017965807012464E-3</v>
      </c>
      <c r="X1139" s="43">
        <f t="shared" si="251"/>
        <v>0.93436684999999997</v>
      </c>
      <c r="Y1139" s="43">
        <v>41.567195339999998</v>
      </c>
      <c r="Z1139" s="43">
        <f t="shared" si="240"/>
        <v>0</v>
      </c>
      <c r="AA1139" s="43">
        <f t="shared" si="241"/>
        <v>81011</v>
      </c>
      <c r="AB1139" s="43">
        <f t="shared" si="242"/>
        <v>29053</v>
      </c>
      <c r="AC1139" s="43">
        <f t="shared" si="252"/>
        <v>2.1404971853430661E-2</v>
      </c>
      <c r="AD1139" s="43">
        <f t="shared" si="253"/>
        <v>0.87688609315999988</v>
      </c>
      <c r="AF1139" s="43">
        <v>15.328894299026381</v>
      </c>
      <c r="AG1139" s="43">
        <v>8.4154569999999995E-3</v>
      </c>
      <c r="AH1139" s="43">
        <v>7.4056019999999998E-3</v>
      </c>
      <c r="AI1139" s="43">
        <v>0.90218337599999998</v>
      </c>
      <c r="AJ1139" s="43">
        <v>2.868338558</v>
      </c>
      <c r="AK1139" s="43">
        <v>8.6851272799999997</v>
      </c>
      <c r="AL1139" s="43">
        <v>3.984352E-3</v>
      </c>
      <c r="AM1139" s="230">
        <v>8.8017965807012464E-3</v>
      </c>
      <c r="AN1139" s="43">
        <v>0.93436684999999997</v>
      </c>
    </row>
    <row r="1140" spans="1:40" x14ac:dyDescent="0.25">
      <c r="A1140" s="134">
        <v>1130</v>
      </c>
      <c r="B1140" s="134" t="s">
        <v>206</v>
      </c>
      <c r="C1140" s="134" t="s">
        <v>205</v>
      </c>
      <c r="D1140" s="134" t="s">
        <v>62</v>
      </c>
      <c r="E1140" s="134">
        <v>0</v>
      </c>
      <c r="F1140" s="134">
        <v>0</v>
      </c>
      <c r="G1140" s="134">
        <v>24</v>
      </c>
      <c r="H1140" s="134">
        <v>421</v>
      </c>
      <c r="I1140" s="200">
        <v>3.9174506177200002E-2</v>
      </c>
      <c r="J1140" s="134">
        <v>421</v>
      </c>
      <c r="K1140" s="134">
        <v>10746.7851183</v>
      </c>
      <c r="L1140" s="42">
        <v>0.89927971801700002</v>
      </c>
      <c r="M1140" s="42">
        <v>1</v>
      </c>
      <c r="N1140" s="134">
        <v>0</v>
      </c>
      <c r="O1140" s="43" t="s">
        <v>666</v>
      </c>
      <c r="P1140" s="43">
        <f t="shared" si="243"/>
        <v>14.737806722020318</v>
      </c>
      <c r="Q1140" s="43">
        <f t="shared" si="244"/>
        <v>9.3483409999999996E-3</v>
      </c>
      <c r="R1140" s="43">
        <f t="shared" si="245"/>
        <v>7.2879599999999996E-3</v>
      </c>
      <c r="S1140" s="43">
        <f t="shared" si="246"/>
        <v>0.89927971799999995</v>
      </c>
      <c r="T1140" s="43">
        <f t="shared" si="247"/>
        <v>2.9137529139999998</v>
      </c>
      <c r="U1140" s="43">
        <f t="shared" si="248"/>
        <v>8.5589398219999993</v>
      </c>
      <c r="V1140" s="43">
        <f t="shared" si="249"/>
        <v>3.909867E-3</v>
      </c>
      <c r="W1140" s="230">
        <f t="shared" si="250"/>
        <v>9.2087663339849787E-3</v>
      </c>
      <c r="X1140" s="43">
        <f t="shared" si="251"/>
        <v>0.92247144800000003</v>
      </c>
      <c r="Y1140" s="43">
        <v>43.178399460000001</v>
      </c>
      <c r="Z1140" s="43">
        <f t="shared" si="240"/>
        <v>0</v>
      </c>
      <c r="AA1140" s="43">
        <f t="shared" si="241"/>
        <v>81011</v>
      </c>
      <c r="AB1140" s="43">
        <f t="shared" si="242"/>
        <v>29053</v>
      </c>
      <c r="AC1140" s="43">
        <f t="shared" si="252"/>
        <v>2.1404971853430661E-2</v>
      </c>
      <c r="AD1140" s="43">
        <f t="shared" si="253"/>
        <v>0.87688609315999988</v>
      </c>
      <c r="AF1140" s="43">
        <v>14.737806722020318</v>
      </c>
      <c r="AG1140" s="43">
        <v>9.3483409999999996E-3</v>
      </c>
      <c r="AH1140" s="43">
        <v>7.2879599999999996E-3</v>
      </c>
      <c r="AI1140" s="43">
        <v>0.89927971799999995</v>
      </c>
      <c r="AJ1140" s="43">
        <v>2.9137529139999998</v>
      </c>
      <c r="AK1140" s="43">
        <v>8.5589398219999993</v>
      </c>
      <c r="AL1140" s="43">
        <v>3.909867E-3</v>
      </c>
      <c r="AM1140" s="230">
        <v>9.2087663339849787E-3</v>
      </c>
      <c r="AN1140" s="43">
        <v>0.92247144800000003</v>
      </c>
    </row>
    <row r="1141" spans="1:40" x14ac:dyDescent="0.25">
      <c r="A1141" s="134">
        <v>1131</v>
      </c>
      <c r="B1141" s="134" t="s">
        <v>206</v>
      </c>
      <c r="C1141" s="134" t="s">
        <v>205</v>
      </c>
      <c r="D1141" s="134" t="s">
        <v>62</v>
      </c>
      <c r="E1141" s="134">
        <v>248</v>
      </c>
      <c r="F1141" s="134">
        <v>718</v>
      </c>
      <c r="G1141" s="134">
        <v>177</v>
      </c>
      <c r="H1141" s="134">
        <v>149</v>
      </c>
      <c r="I1141" s="200">
        <v>0.27515580144500001</v>
      </c>
      <c r="J1141" s="134">
        <v>867</v>
      </c>
      <c r="K1141" s="134">
        <v>3150.9421042399999</v>
      </c>
      <c r="L1141" s="42">
        <v>0.90999466070000001</v>
      </c>
      <c r="M1141" s="42">
        <v>0.37531486146100002</v>
      </c>
      <c r="N1141" s="134">
        <v>0</v>
      </c>
      <c r="O1141" s="43" t="s">
        <v>666</v>
      </c>
      <c r="P1141" s="43">
        <f t="shared" si="243"/>
        <v>16.068647246227645</v>
      </c>
      <c r="Q1141" s="43">
        <f t="shared" si="244"/>
        <v>2.0740636999999999E-2</v>
      </c>
      <c r="R1141" s="43">
        <f t="shared" si="245"/>
        <v>1.2706261999999999E-2</v>
      </c>
      <c r="S1141" s="43">
        <f t="shared" si="246"/>
        <v>0.90999466100000004</v>
      </c>
      <c r="T1141" s="43">
        <f t="shared" si="247"/>
        <v>3.0569572819999999</v>
      </c>
      <c r="U1141" s="43">
        <f t="shared" si="248"/>
        <v>10.56956583</v>
      </c>
      <c r="V1141" s="43">
        <f t="shared" si="249"/>
        <v>2.455727E-3</v>
      </c>
      <c r="W1141" s="230">
        <f t="shared" si="250"/>
        <v>4.1947012198774128E-2</v>
      </c>
      <c r="X1141" s="43">
        <f t="shared" si="251"/>
        <v>0.92668756399999996</v>
      </c>
      <c r="Y1141" s="43">
        <v>101.9096253</v>
      </c>
      <c r="Z1141" s="43">
        <f t="shared" si="240"/>
        <v>0</v>
      </c>
      <c r="AA1141" s="43">
        <f t="shared" si="241"/>
        <v>81011</v>
      </c>
      <c r="AB1141" s="43">
        <f t="shared" si="242"/>
        <v>29053</v>
      </c>
      <c r="AC1141" s="43">
        <f t="shared" si="252"/>
        <v>2.1404971853430661E-2</v>
      </c>
      <c r="AD1141" s="43">
        <f t="shared" si="253"/>
        <v>0.87688609315999988</v>
      </c>
      <c r="AF1141" s="43">
        <v>16.068647246227645</v>
      </c>
      <c r="AG1141" s="43">
        <v>2.0740636999999999E-2</v>
      </c>
      <c r="AH1141" s="43">
        <v>1.2706261999999999E-2</v>
      </c>
      <c r="AI1141" s="43">
        <v>0.90999466100000004</v>
      </c>
      <c r="AJ1141" s="43">
        <v>3.0569572819999999</v>
      </c>
      <c r="AK1141" s="43">
        <v>10.56956583</v>
      </c>
      <c r="AL1141" s="43">
        <v>2.455727E-3</v>
      </c>
      <c r="AM1141" s="230">
        <v>4.1947012198774128E-2</v>
      </c>
      <c r="AN1141" s="43">
        <v>0.92668756399999996</v>
      </c>
    </row>
    <row r="1142" spans="1:40" x14ac:dyDescent="0.25">
      <c r="A1142" s="134">
        <v>1132</v>
      </c>
      <c r="B1142" s="134" t="s">
        <v>206</v>
      </c>
      <c r="C1142" s="134" t="s">
        <v>205</v>
      </c>
      <c r="D1142" s="134" t="s">
        <v>62</v>
      </c>
      <c r="E1142" s="134">
        <v>717</v>
      </c>
      <c r="F1142" s="134">
        <v>2075</v>
      </c>
      <c r="G1142" s="134">
        <v>204</v>
      </c>
      <c r="H1142" s="134">
        <v>490</v>
      </c>
      <c r="I1142" s="200">
        <v>0.31754028482399999</v>
      </c>
      <c r="J1142" s="134">
        <v>2565</v>
      </c>
      <c r="K1142" s="134">
        <v>8077.7152461899996</v>
      </c>
      <c r="L1142" s="42">
        <v>0.86576856977700001</v>
      </c>
      <c r="M1142" s="42">
        <v>0.40596520298299998</v>
      </c>
      <c r="N1142" s="134">
        <v>0</v>
      </c>
      <c r="O1142" s="43" t="s">
        <v>664</v>
      </c>
      <c r="P1142" s="43">
        <f t="shared" si="243"/>
        <v>15.240366580924187</v>
      </c>
      <c r="Q1142" s="43">
        <f t="shared" si="244"/>
        <v>2.8273421E-2</v>
      </c>
      <c r="R1142" s="43">
        <f t="shared" si="245"/>
        <v>1.2307254E-2</v>
      </c>
      <c r="S1142" s="43">
        <f t="shared" si="246"/>
        <v>0.86576856999999996</v>
      </c>
      <c r="T1142" s="43">
        <f t="shared" si="247"/>
        <v>2.5551187419999999</v>
      </c>
      <c r="U1142" s="43">
        <f t="shared" si="248"/>
        <v>9.0240976289999999</v>
      </c>
      <c r="V1142" s="43">
        <f t="shared" si="249"/>
        <v>3.7863440000000001E-3</v>
      </c>
      <c r="W1142" s="230">
        <f t="shared" si="250"/>
        <v>5.6682232747225003E-2</v>
      </c>
      <c r="X1142" s="43">
        <f t="shared" si="251"/>
        <v>0.89086694</v>
      </c>
      <c r="Y1142" s="43">
        <v>96.581920839999995</v>
      </c>
      <c r="Z1142" s="43">
        <f t="shared" si="240"/>
        <v>0</v>
      </c>
      <c r="AA1142" s="43">
        <f t="shared" si="241"/>
        <v>81011</v>
      </c>
      <c r="AB1142" s="43">
        <f t="shared" si="242"/>
        <v>29053</v>
      </c>
      <c r="AC1142" s="43">
        <f t="shared" si="252"/>
        <v>2.1404971853430661E-2</v>
      </c>
      <c r="AD1142" s="43">
        <f t="shared" si="253"/>
        <v>0.87688609315999988</v>
      </c>
      <c r="AF1142" s="43">
        <v>15.240366580924187</v>
      </c>
      <c r="AG1142" s="43">
        <v>2.8273421E-2</v>
      </c>
      <c r="AH1142" s="43">
        <v>1.2307254E-2</v>
      </c>
      <c r="AI1142" s="43">
        <v>0.86576856999999996</v>
      </c>
      <c r="AJ1142" s="43">
        <v>2.5551187419999999</v>
      </c>
      <c r="AK1142" s="43">
        <v>9.0240976289999999</v>
      </c>
      <c r="AL1142" s="43">
        <v>3.7863440000000001E-3</v>
      </c>
      <c r="AM1142" s="230">
        <v>5.6682232747225003E-2</v>
      </c>
      <c r="AN1142" s="43">
        <v>0.89086694</v>
      </c>
    </row>
    <row r="1143" spans="1:40" x14ac:dyDescent="0.25">
      <c r="A1143" s="134">
        <v>1133</v>
      </c>
      <c r="B1143" s="134" t="s">
        <v>206</v>
      </c>
      <c r="C1143" s="134" t="s">
        <v>205</v>
      </c>
      <c r="D1143" s="134" t="s">
        <v>62</v>
      </c>
      <c r="E1143" s="134">
        <v>701</v>
      </c>
      <c r="F1143" s="134">
        <v>2028</v>
      </c>
      <c r="G1143" s="134">
        <v>147</v>
      </c>
      <c r="H1143" s="134">
        <v>264</v>
      </c>
      <c r="I1143" s="200">
        <v>0.22949969643000001</v>
      </c>
      <c r="J1143" s="134">
        <v>2292</v>
      </c>
      <c r="K1143" s="134">
        <v>9986.9413147600008</v>
      </c>
      <c r="L1143" s="42">
        <v>0.88448079951000003</v>
      </c>
      <c r="M1143" s="42">
        <v>0.27357512953399998</v>
      </c>
      <c r="N1143" s="134">
        <v>0</v>
      </c>
      <c r="O1143" s="43" t="s">
        <v>666</v>
      </c>
      <c r="P1143" s="43">
        <f t="shared" si="243"/>
        <v>15.984130610548506</v>
      </c>
      <c r="Q1143" s="43">
        <f t="shared" si="244"/>
        <v>2.6249742999999999E-2</v>
      </c>
      <c r="R1143" s="43">
        <f t="shared" si="245"/>
        <v>1.2370361E-2</v>
      </c>
      <c r="S1143" s="43">
        <f t="shared" si="246"/>
        <v>0.88448079999999996</v>
      </c>
      <c r="T1143" s="43">
        <f t="shared" si="247"/>
        <v>2.7452933650000002</v>
      </c>
      <c r="U1143" s="43">
        <f t="shared" si="248"/>
        <v>9.8327395739999996</v>
      </c>
      <c r="V1143" s="43">
        <f t="shared" si="249"/>
        <v>3.092512E-3</v>
      </c>
      <c r="W1143" s="230">
        <f t="shared" si="250"/>
        <v>5.8278262120328259E-2</v>
      </c>
      <c r="X1143" s="43">
        <f t="shared" si="251"/>
        <v>0.90911851399999999</v>
      </c>
      <c r="Y1143" s="43">
        <v>115.1616396</v>
      </c>
      <c r="Z1143" s="43">
        <f t="shared" si="240"/>
        <v>0</v>
      </c>
      <c r="AA1143" s="43">
        <f t="shared" si="241"/>
        <v>81011</v>
      </c>
      <c r="AB1143" s="43">
        <f t="shared" si="242"/>
        <v>29053</v>
      </c>
      <c r="AC1143" s="43">
        <f t="shared" si="252"/>
        <v>2.1404971853430661E-2</v>
      </c>
      <c r="AD1143" s="43">
        <f t="shared" si="253"/>
        <v>0.87688609315999988</v>
      </c>
      <c r="AF1143" s="43">
        <v>15.984130610548506</v>
      </c>
      <c r="AG1143" s="43">
        <v>2.6249742999999999E-2</v>
      </c>
      <c r="AH1143" s="43">
        <v>1.2370361E-2</v>
      </c>
      <c r="AI1143" s="43">
        <v>0.88448079999999996</v>
      </c>
      <c r="AJ1143" s="43">
        <v>2.7452933650000002</v>
      </c>
      <c r="AK1143" s="43">
        <v>9.8327395739999996</v>
      </c>
      <c r="AL1143" s="43">
        <v>3.092512E-3</v>
      </c>
      <c r="AM1143" s="230">
        <v>5.8278262120328259E-2</v>
      </c>
      <c r="AN1143" s="43">
        <v>0.90911851399999999</v>
      </c>
    </row>
    <row r="1144" spans="1:40" x14ac:dyDescent="0.25">
      <c r="A1144" s="134">
        <v>1134</v>
      </c>
      <c r="B1144" s="134" t="s">
        <v>206</v>
      </c>
      <c r="C1144" s="134" t="s">
        <v>205</v>
      </c>
      <c r="D1144" s="134" t="s">
        <v>62</v>
      </c>
      <c r="E1144" s="134">
        <v>0</v>
      </c>
      <c r="F1144" s="134">
        <v>0</v>
      </c>
      <c r="G1144" s="134">
        <v>42</v>
      </c>
      <c r="H1144" s="134">
        <v>735</v>
      </c>
      <c r="I1144" s="200">
        <v>6.5979536452500001E-2</v>
      </c>
      <c r="J1144" s="134">
        <v>735</v>
      </c>
      <c r="K1144" s="134">
        <v>11139.817578599999</v>
      </c>
      <c r="L1144" s="42">
        <v>0.84802445666100001</v>
      </c>
      <c r="M1144" s="42">
        <v>1</v>
      </c>
      <c r="N1144" s="134">
        <v>0</v>
      </c>
      <c r="O1144" s="43" t="s">
        <v>664</v>
      </c>
      <c r="P1144" s="43">
        <f t="shared" si="243"/>
        <v>14.650131681814504</v>
      </c>
      <c r="Q1144" s="43">
        <f t="shared" si="244"/>
        <v>1.6235935E-2</v>
      </c>
      <c r="R1144" s="43">
        <f t="shared" si="245"/>
        <v>3.7147408E-2</v>
      </c>
      <c r="S1144" s="43">
        <f t="shared" si="246"/>
        <v>0.84802445699999995</v>
      </c>
      <c r="T1144" s="43">
        <f t="shared" si="247"/>
        <v>2.3465723989999998</v>
      </c>
      <c r="U1144" s="43">
        <f t="shared" si="248"/>
        <v>7.533918624</v>
      </c>
      <c r="V1144" s="43">
        <f t="shared" si="249"/>
        <v>3.6257730000000001E-3</v>
      </c>
      <c r="W1144" s="230">
        <f t="shared" si="250"/>
        <v>1.9674274845458868E-2</v>
      </c>
      <c r="X1144" s="43">
        <f t="shared" si="251"/>
        <v>0.91414051399999996</v>
      </c>
      <c r="Y1144" s="43">
        <v>91.189216959999996</v>
      </c>
      <c r="Z1144" s="43">
        <f t="shared" si="240"/>
        <v>0</v>
      </c>
      <c r="AA1144" s="43">
        <f t="shared" si="241"/>
        <v>81011</v>
      </c>
      <c r="AB1144" s="43">
        <f t="shared" si="242"/>
        <v>29053</v>
      </c>
      <c r="AC1144" s="43">
        <f t="shared" si="252"/>
        <v>2.1404971853430661E-2</v>
      </c>
      <c r="AD1144" s="43">
        <f t="shared" si="253"/>
        <v>0.87688609315999988</v>
      </c>
      <c r="AF1144" s="43">
        <v>14.650131681814504</v>
      </c>
      <c r="AG1144" s="43">
        <v>1.6235935E-2</v>
      </c>
      <c r="AH1144" s="43">
        <v>3.7147408E-2</v>
      </c>
      <c r="AI1144" s="43">
        <v>0.84802445699999995</v>
      </c>
      <c r="AJ1144" s="43">
        <v>2.3465723989999998</v>
      </c>
      <c r="AK1144" s="43">
        <v>7.533918624</v>
      </c>
      <c r="AL1144" s="43">
        <v>3.6257730000000001E-3</v>
      </c>
      <c r="AM1144" s="230">
        <v>1.9674274845458868E-2</v>
      </c>
      <c r="AN1144" s="43">
        <v>0.91414051399999996</v>
      </c>
    </row>
    <row r="1145" spans="1:40" x14ac:dyDescent="0.25">
      <c r="A1145" s="134">
        <v>1135</v>
      </c>
      <c r="B1145" s="134" t="s">
        <v>206</v>
      </c>
      <c r="C1145" s="134" t="s">
        <v>205</v>
      </c>
      <c r="D1145" s="134" t="s">
        <v>62</v>
      </c>
      <c r="E1145" s="134">
        <v>0</v>
      </c>
      <c r="F1145" s="134">
        <v>0</v>
      </c>
      <c r="G1145" s="134">
        <v>60</v>
      </c>
      <c r="H1145" s="134">
        <v>796</v>
      </c>
      <c r="I1145" s="200">
        <v>9.3294999779099996E-2</v>
      </c>
      <c r="J1145" s="134">
        <v>796</v>
      </c>
      <c r="K1145" s="134">
        <v>8532.0756941399995</v>
      </c>
      <c r="L1145" s="42">
        <v>0.82586197198900002</v>
      </c>
      <c r="M1145" s="42">
        <v>1</v>
      </c>
      <c r="N1145" s="134">
        <v>0</v>
      </c>
      <c r="O1145" s="43" t="s">
        <v>664</v>
      </c>
      <c r="P1145" s="43">
        <f t="shared" si="243"/>
        <v>15.000095757465491</v>
      </c>
      <c r="Q1145" s="43">
        <f t="shared" si="244"/>
        <v>1.8223746999999998E-2</v>
      </c>
      <c r="R1145" s="43">
        <f t="shared" si="245"/>
        <v>5.9583404E-2</v>
      </c>
      <c r="S1145" s="43">
        <f t="shared" si="246"/>
        <v>0.825861972</v>
      </c>
      <c r="T1145" s="43">
        <f t="shared" si="247"/>
        <v>2.4327840420000002</v>
      </c>
      <c r="U1145" s="43">
        <f t="shared" si="248"/>
        <v>9.5031267590000006</v>
      </c>
      <c r="V1145" s="43">
        <f t="shared" si="249"/>
        <v>3.7833099999999998E-3</v>
      </c>
      <c r="W1145" s="230">
        <f t="shared" si="250"/>
        <v>1.8231165697993202E-2</v>
      </c>
      <c r="X1145" s="43">
        <f t="shared" si="251"/>
        <v>0.91934422599999999</v>
      </c>
      <c r="Y1145" s="43">
        <v>91.602922930000005</v>
      </c>
      <c r="Z1145" s="43">
        <f t="shared" si="240"/>
        <v>0</v>
      </c>
      <c r="AA1145" s="43">
        <f t="shared" si="241"/>
        <v>81011</v>
      </c>
      <c r="AB1145" s="43">
        <f t="shared" si="242"/>
        <v>29053</v>
      </c>
      <c r="AC1145" s="43">
        <f t="shared" si="252"/>
        <v>2.1404971853430661E-2</v>
      </c>
      <c r="AD1145" s="43">
        <f t="shared" si="253"/>
        <v>0.87688609315999988</v>
      </c>
      <c r="AF1145" s="43">
        <v>15.000095757465491</v>
      </c>
      <c r="AG1145" s="43">
        <v>1.8223746999999998E-2</v>
      </c>
      <c r="AH1145" s="43">
        <v>5.9583404E-2</v>
      </c>
      <c r="AI1145" s="43">
        <v>0.825861972</v>
      </c>
      <c r="AJ1145" s="43">
        <v>2.4327840420000002</v>
      </c>
      <c r="AK1145" s="43">
        <v>9.5031267590000006</v>
      </c>
      <c r="AL1145" s="43">
        <v>3.7833099999999998E-3</v>
      </c>
      <c r="AM1145" s="230">
        <v>1.8231165697993202E-2</v>
      </c>
      <c r="AN1145" s="43">
        <v>0.91934422599999999</v>
      </c>
    </row>
    <row r="1146" spans="1:40" x14ac:dyDescent="0.25">
      <c r="A1146" s="134">
        <v>1136</v>
      </c>
      <c r="B1146" s="134" t="s">
        <v>206</v>
      </c>
      <c r="C1146" s="134" t="s">
        <v>205</v>
      </c>
      <c r="D1146" s="134" t="s">
        <v>62</v>
      </c>
      <c r="E1146" s="134">
        <v>52</v>
      </c>
      <c r="F1146" s="134">
        <v>141</v>
      </c>
      <c r="G1146" s="134">
        <v>17</v>
      </c>
      <c r="H1146" s="134">
        <v>0</v>
      </c>
      <c r="I1146" s="200">
        <v>2.6349667033299998E-2</v>
      </c>
      <c r="J1146" s="134">
        <v>141</v>
      </c>
      <c r="K1146" s="134">
        <v>5351.1112615399998</v>
      </c>
      <c r="L1146" s="42">
        <v>0.68966539944500005</v>
      </c>
      <c r="M1146" s="42">
        <v>0</v>
      </c>
      <c r="N1146" s="134">
        <v>0</v>
      </c>
      <c r="O1146" s="43" t="s">
        <v>666</v>
      </c>
      <c r="P1146" s="43">
        <f t="shared" si="243"/>
        <v>15.966685721488336</v>
      </c>
      <c r="Q1146" s="43">
        <f t="shared" si="244"/>
        <v>1.8873520000000001E-2</v>
      </c>
      <c r="R1146" s="43">
        <f t="shared" si="245"/>
        <v>0.158861118</v>
      </c>
      <c r="S1146" s="43">
        <f t="shared" si="246"/>
        <v>0.68966539900000001</v>
      </c>
      <c r="T1146" s="43">
        <f t="shared" si="247"/>
        <v>2.5299507889999999</v>
      </c>
      <c r="U1146" s="43">
        <f t="shared" si="248"/>
        <v>8.0915646129999992</v>
      </c>
      <c r="V1146" s="43">
        <f t="shared" si="249"/>
        <v>2.9890899999999998E-4</v>
      </c>
      <c r="W1146" s="230">
        <f t="shared" si="250"/>
        <v>6.2770886265132275E-2</v>
      </c>
      <c r="X1146" s="43">
        <f t="shared" si="251"/>
        <v>0.84471678400000005</v>
      </c>
      <c r="Y1146" s="43">
        <v>115.7585979</v>
      </c>
      <c r="Z1146" s="43">
        <f t="shared" si="240"/>
        <v>0</v>
      </c>
      <c r="AA1146" s="43">
        <f t="shared" si="241"/>
        <v>81011</v>
      </c>
      <c r="AB1146" s="43">
        <f t="shared" si="242"/>
        <v>29053</v>
      </c>
      <c r="AC1146" s="43">
        <f t="shared" si="252"/>
        <v>2.1404971853430661E-2</v>
      </c>
      <c r="AD1146" s="43">
        <f t="shared" si="253"/>
        <v>0.87688609315999988</v>
      </c>
      <c r="AF1146" s="43">
        <v>15.966685721488336</v>
      </c>
      <c r="AG1146" s="43">
        <v>1.8873520000000001E-2</v>
      </c>
      <c r="AH1146" s="43">
        <v>0.158861118</v>
      </c>
      <c r="AI1146" s="43">
        <v>0.68966539900000001</v>
      </c>
      <c r="AJ1146" s="43">
        <v>2.5299507889999999</v>
      </c>
      <c r="AK1146" s="43">
        <v>8.0915646129999992</v>
      </c>
      <c r="AL1146" s="43">
        <v>2.9890899999999998E-4</v>
      </c>
      <c r="AM1146" s="230">
        <v>6.2770886265132275E-2</v>
      </c>
      <c r="AN1146" s="43">
        <v>0.84471678400000005</v>
      </c>
    </row>
    <row r="1147" spans="1:40" x14ac:dyDescent="0.25">
      <c r="A1147" s="134">
        <v>1137</v>
      </c>
      <c r="B1147" s="134" t="s">
        <v>206</v>
      </c>
      <c r="C1147" s="134" t="s">
        <v>205</v>
      </c>
      <c r="D1147" s="134" t="s">
        <v>62</v>
      </c>
      <c r="E1147" s="134">
        <v>92</v>
      </c>
      <c r="F1147" s="134">
        <v>250</v>
      </c>
      <c r="G1147" s="134">
        <v>33</v>
      </c>
      <c r="H1147" s="134">
        <v>122</v>
      </c>
      <c r="I1147" s="200">
        <v>5.1038191142900001E-2</v>
      </c>
      <c r="J1147" s="134">
        <v>372</v>
      </c>
      <c r="K1147" s="134">
        <v>7288.6595639500001</v>
      </c>
      <c r="L1147" s="42">
        <v>0.83593565011500004</v>
      </c>
      <c r="M1147" s="42">
        <v>0.57009345794400001</v>
      </c>
      <c r="N1147" s="134">
        <v>0</v>
      </c>
      <c r="O1147" s="43" t="s">
        <v>666</v>
      </c>
      <c r="P1147" s="43">
        <f t="shared" si="243"/>
        <v>14.960420115036431</v>
      </c>
      <c r="Q1147" s="43">
        <f t="shared" si="244"/>
        <v>9.5619469999999995E-3</v>
      </c>
      <c r="R1147" s="43">
        <f t="shared" si="245"/>
        <v>4.8492235000000002E-2</v>
      </c>
      <c r="S1147" s="43">
        <f t="shared" si="246"/>
        <v>0.83593565000000003</v>
      </c>
      <c r="T1147" s="43">
        <f t="shared" si="247"/>
        <v>2.4703386780000001</v>
      </c>
      <c r="U1147" s="43">
        <f t="shared" si="248"/>
        <v>6.9851507650000002</v>
      </c>
      <c r="V1147" s="43">
        <f t="shared" si="249"/>
        <v>2.5304920000000001E-3</v>
      </c>
      <c r="W1147" s="230">
        <f t="shared" si="250"/>
        <v>3.3250670580494968E-2</v>
      </c>
      <c r="X1147" s="43">
        <f t="shared" si="251"/>
        <v>0.89847664400000005</v>
      </c>
      <c r="Y1147" s="43">
        <v>151.7496702</v>
      </c>
      <c r="Z1147" s="43">
        <f t="shared" si="240"/>
        <v>0</v>
      </c>
      <c r="AA1147" s="43">
        <f t="shared" si="241"/>
        <v>81011</v>
      </c>
      <c r="AB1147" s="43">
        <f t="shared" si="242"/>
        <v>29053</v>
      </c>
      <c r="AC1147" s="43">
        <f t="shared" si="252"/>
        <v>2.1404971853430661E-2</v>
      </c>
      <c r="AD1147" s="43">
        <f t="shared" si="253"/>
        <v>0.87688609315999988</v>
      </c>
      <c r="AF1147" s="43">
        <v>14.960420115036431</v>
      </c>
      <c r="AG1147" s="43">
        <v>9.5619469999999995E-3</v>
      </c>
      <c r="AH1147" s="43">
        <v>4.8492235000000002E-2</v>
      </c>
      <c r="AI1147" s="43">
        <v>0.83593565000000003</v>
      </c>
      <c r="AJ1147" s="43">
        <v>2.4703386780000001</v>
      </c>
      <c r="AK1147" s="43">
        <v>6.9851507650000002</v>
      </c>
      <c r="AL1147" s="43">
        <v>2.5304920000000001E-3</v>
      </c>
      <c r="AM1147" s="230">
        <v>3.3250670580494968E-2</v>
      </c>
      <c r="AN1147" s="43">
        <v>0.89847664400000005</v>
      </c>
    </row>
    <row r="1148" spans="1:40" x14ac:dyDescent="0.25">
      <c r="A1148" s="134">
        <v>1138</v>
      </c>
      <c r="B1148" s="134" t="s">
        <v>206</v>
      </c>
      <c r="C1148" s="134" t="s">
        <v>205</v>
      </c>
      <c r="D1148" s="134" t="s">
        <v>62</v>
      </c>
      <c r="E1148" s="134">
        <v>527</v>
      </c>
      <c r="F1148" s="134">
        <v>1436</v>
      </c>
      <c r="G1148" s="134">
        <v>154</v>
      </c>
      <c r="H1148" s="134">
        <v>81</v>
      </c>
      <c r="I1148" s="200">
        <v>0.238892379594</v>
      </c>
      <c r="J1148" s="134">
        <v>1517</v>
      </c>
      <c r="K1148" s="134">
        <v>6350.1397682899997</v>
      </c>
      <c r="L1148" s="42">
        <v>0.85745404171899997</v>
      </c>
      <c r="M1148" s="42">
        <v>0.133223684211</v>
      </c>
      <c r="N1148" s="134">
        <v>0</v>
      </c>
      <c r="O1148" s="43" t="s">
        <v>666</v>
      </c>
      <c r="P1148" s="43">
        <f t="shared" si="243"/>
        <v>16.083110081065076</v>
      </c>
      <c r="Q1148" s="43">
        <f t="shared" si="244"/>
        <v>2.4536736999999999E-2</v>
      </c>
      <c r="R1148" s="43">
        <f t="shared" si="245"/>
        <v>3.0522857E-2</v>
      </c>
      <c r="S1148" s="43">
        <f t="shared" si="246"/>
        <v>0.85745404199999997</v>
      </c>
      <c r="T1148" s="43">
        <f t="shared" si="247"/>
        <v>2.5299084380000001</v>
      </c>
      <c r="U1148" s="43">
        <f t="shared" si="248"/>
        <v>9.4941225940000002</v>
      </c>
      <c r="V1148" s="43">
        <f t="shared" si="249"/>
        <v>1.814834E-3</v>
      </c>
      <c r="W1148" s="230">
        <f t="shared" si="250"/>
        <v>6.546554445028932E-2</v>
      </c>
      <c r="X1148" s="43">
        <f t="shared" si="251"/>
        <v>0.90156496600000002</v>
      </c>
      <c r="Y1148" s="43">
        <v>131.0935039</v>
      </c>
      <c r="Z1148" s="43">
        <f t="shared" si="240"/>
        <v>0</v>
      </c>
      <c r="AA1148" s="43">
        <f t="shared" si="241"/>
        <v>81011</v>
      </c>
      <c r="AB1148" s="43">
        <f t="shared" si="242"/>
        <v>29053</v>
      </c>
      <c r="AC1148" s="43">
        <f t="shared" si="252"/>
        <v>2.1404971853430661E-2</v>
      </c>
      <c r="AD1148" s="43">
        <f t="shared" si="253"/>
        <v>0.87688609315999988</v>
      </c>
      <c r="AF1148" s="43">
        <v>16.083110081065076</v>
      </c>
      <c r="AG1148" s="43">
        <v>2.4536736999999999E-2</v>
      </c>
      <c r="AH1148" s="43">
        <v>3.0522857E-2</v>
      </c>
      <c r="AI1148" s="43">
        <v>0.85745404199999997</v>
      </c>
      <c r="AJ1148" s="43">
        <v>2.5299084380000001</v>
      </c>
      <c r="AK1148" s="43">
        <v>9.4941225940000002</v>
      </c>
      <c r="AL1148" s="43">
        <v>1.814834E-3</v>
      </c>
      <c r="AM1148" s="230">
        <v>6.546554445028932E-2</v>
      </c>
      <c r="AN1148" s="43">
        <v>0.90156496600000002</v>
      </c>
    </row>
    <row r="1149" spans="1:40" x14ac:dyDescent="0.25">
      <c r="A1149" s="134">
        <v>1139</v>
      </c>
      <c r="B1149" s="134" t="s">
        <v>206</v>
      </c>
      <c r="C1149" s="134" t="s">
        <v>205</v>
      </c>
      <c r="D1149" s="134" t="s">
        <v>62</v>
      </c>
      <c r="E1149" s="134">
        <v>697</v>
      </c>
      <c r="F1149" s="134">
        <v>1899</v>
      </c>
      <c r="G1149" s="134">
        <v>135</v>
      </c>
      <c r="H1149" s="134">
        <v>139</v>
      </c>
      <c r="I1149" s="200">
        <v>0.20915759031299999</v>
      </c>
      <c r="J1149" s="134">
        <v>2038</v>
      </c>
      <c r="K1149" s="134">
        <v>9743.8491089300005</v>
      </c>
      <c r="L1149" s="42">
        <v>0.85429674502399999</v>
      </c>
      <c r="M1149" s="42">
        <v>0.16626794258399999</v>
      </c>
      <c r="N1149" s="134">
        <v>0</v>
      </c>
      <c r="O1149" s="43" t="s">
        <v>666</v>
      </c>
      <c r="P1149" s="43">
        <f t="shared" si="243"/>
        <v>15.821623743067995</v>
      </c>
      <c r="Q1149" s="43">
        <f t="shared" si="244"/>
        <v>2.7179445E-2</v>
      </c>
      <c r="R1149" s="43">
        <f t="shared" si="245"/>
        <v>2.5931671E-2</v>
      </c>
      <c r="S1149" s="43">
        <f t="shared" si="246"/>
        <v>0.85429674499999997</v>
      </c>
      <c r="T1149" s="43">
        <f t="shared" si="247"/>
        <v>2.5308845720000002</v>
      </c>
      <c r="U1149" s="43">
        <f t="shared" si="248"/>
        <v>9.2603633169999995</v>
      </c>
      <c r="V1149" s="43">
        <f t="shared" si="249"/>
        <v>2.6217549999999999E-3</v>
      </c>
      <c r="W1149" s="230">
        <f t="shared" si="250"/>
        <v>6.7472191350108762E-2</v>
      </c>
      <c r="X1149" s="43">
        <f t="shared" si="251"/>
        <v>0.89640268599999995</v>
      </c>
      <c r="Y1149" s="43">
        <v>92.74747653</v>
      </c>
      <c r="Z1149" s="43">
        <f t="shared" si="240"/>
        <v>0</v>
      </c>
      <c r="AA1149" s="43">
        <f t="shared" si="241"/>
        <v>81011</v>
      </c>
      <c r="AB1149" s="43">
        <f t="shared" si="242"/>
        <v>29053</v>
      </c>
      <c r="AC1149" s="43">
        <f t="shared" si="252"/>
        <v>2.1404971853430661E-2</v>
      </c>
      <c r="AD1149" s="43">
        <f t="shared" si="253"/>
        <v>0.87688609315999988</v>
      </c>
      <c r="AF1149" s="43">
        <v>15.821623743067995</v>
      </c>
      <c r="AG1149" s="43">
        <v>2.7179445E-2</v>
      </c>
      <c r="AH1149" s="43">
        <v>2.5931671E-2</v>
      </c>
      <c r="AI1149" s="43">
        <v>0.85429674499999997</v>
      </c>
      <c r="AJ1149" s="43">
        <v>2.5308845720000002</v>
      </c>
      <c r="AK1149" s="43">
        <v>9.2603633169999995</v>
      </c>
      <c r="AL1149" s="43">
        <v>2.6217549999999999E-3</v>
      </c>
      <c r="AM1149" s="230">
        <v>6.7472191350108762E-2</v>
      </c>
      <c r="AN1149" s="43">
        <v>0.89640268599999995</v>
      </c>
    </row>
    <row r="1150" spans="1:40" x14ac:dyDescent="0.25">
      <c r="A1150" s="134">
        <v>1140</v>
      </c>
      <c r="B1150" s="134" t="s">
        <v>206</v>
      </c>
      <c r="C1150" s="134" t="s">
        <v>205</v>
      </c>
      <c r="D1150" s="134" t="s">
        <v>62</v>
      </c>
      <c r="E1150" s="134">
        <v>0</v>
      </c>
      <c r="F1150" s="134">
        <v>0</v>
      </c>
      <c r="G1150" s="134">
        <v>111</v>
      </c>
      <c r="H1150" s="134">
        <v>5833</v>
      </c>
      <c r="I1150" s="200">
        <v>0.17411023861399999</v>
      </c>
      <c r="J1150" s="134">
        <v>5833</v>
      </c>
      <c r="K1150" s="134">
        <v>33501.763287599999</v>
      </c>
      <c r="L1150" s="42">
        <v>0.90675261191800005</v>
      </c>
      <c r="M1150" s="42">
        <v>1</v>
      </c>
      <c r="N1150" s="134">
        <v>0</v>
      </c>
      <c r="O1150" s="43" t="s">
        <v>664</v>
      </c>
      <c r="P1150" s="43">
        <f t="shared" si="243"/>
        <v>16.128745993478379</v>
      </c>
      <c r="Q1150" s="43">
        <f t="shared" si="244"/>
        <v>1.0301819E-2</v>
      </c>
      <c r="R1150" s="43">
        <f t="shared" si="245"/>
        <v>6.2504780000000003E-3</v>
      </c>
      <c r="S1150" s="43">
        <f t="shared" si="246"/>
        <v>0.90675261200000001</v>
      </c>
      <c r="T1150" s="43">
        <f t="shared" si="247"/>
        <v>3.2995814010000002</v>
      </c>
      <c r="U1150" s="43">
        <f t="shared" si="248"/>
        <v>10.16253354</v>
      </c>
      <c r="V1150" s="43">
        <f t="shared" si="249"/>
        <v>3.6840509999999998E-3</v>
      </c>
      <c r="W1150" s="230">
        <f t="shared" si="250"/>
        <v>1.5934631292242509E-2</v>
      </c>
      <c r="X1150" s="43">
        <f t="shared" si="251"/>
        <v>0.95828508000000001</v>
      </c>
      <c r="Y1150" s="43">
        <v>25.26834934</v>
      </c>
      <c r="Z1150" s="43">
        <f t="shared" si="240"/>
        <v>0</v>
      </c>
      <c r="AA1150" s="43">
        <f t="shared" si="241"/>
        <v>81011</v>
      </c>
      <c r="AB1150" s="43">
        <f t="shared" si="242"/>
        <v>29053</v>
      </c>
      <c r="AC1150" s="43">
        <f t="shared" si="252"/>
        <v>2.1404971853430661E-2</v>
      </c>
      <c r="AD1150" s="43">
        <f t="shared" si="253"/>
        <v>0.87688609315999988</v>
      </c>
      <c r="AF1150" s="43">
        <v>16.128745993478379</v>
      </c>
      <c r="AG1150" s="43">
        <v>1.0301819E-2</v>
      </c>
      <c r="AH1150" s="43">
        <v>6.2504780000000003E-3</v>
      </c>
      <c r="AI1150" s="43">
        <v>0.90675261200000001</v>
      </c>
      <c r="AJ1150" s="43">
        <v>3.2995814010000002</v>
      </c>
      <c r="AK1150" s="43">
        <v>10.16253354</v>
      </c>
      <c r="AL1150" s="43">
        <v>3.6840509999999998E-3</v>
      </c>
      <c r="AM1150" s="230">
        <v>1.5934631292242509E-2</v>
      </c>
      <c r="AN1150" s="43">
        <v>0.95828508000000001</v>
      </c>
    </row>
    <row r="1151" spans="1:40" x14ac:dyDescent="0.25">
      <c r="A1151" s="134">
        <v>1141</v>
      </c>
      <c r="B1151" s="134" t="s">
        <v>206</v>
      </c>
      <c r="C1151" s="134" t="s">
        <v>205</v>
      </c>
      <c r="D1151" s="134" t="s">
        <v>62</v>
      </c>
      <c r="E1151" s="134">
        <v>307</v>
      </c>
      <c r="F1151" s="134">
        <v>727</v>
      </c>
      <c r="G1151" s="134">
        <v>107</v>
      </c>
      <c r="H1151" s="134">
        <v>0</v>
      </c>
      <c r="I1151" s="200">
        <v>0.16734273915299999</v>
      </c>
      <c r="J1151" s="134">
        <v>727</v>
      </c>
      <c r="K1151" s="134">
        <v>4344.3773161600002</v>
      </c>
      <c r="L1151" s="42">
        <v>0.896177803183</v>
      </c>
      <c r="M1151" s="42">
        <v>0</v>
      </c>
      <c r="N1151" s="134">
        <v>0</v>
      </c>
      <c r="O1151" s="43" t="s">
        <v>665</v>
      </c>
      <c r="P1151" s="43">
        <f t="shared" si="243"/>
        <v>17.185201637113195</v>
      </c>
      <c r="Q1151" s="43">
        <f t="shared" si="244"/>
        <v>2.6344326000000001E-2</v>
      </c>
      <c r="R1151" s="43">
        <f t="shared" si="245"/>
        <v>1.1154729E-2</v>
      </c>
      <c r="S1151" s="43">
        <f t="shared" si="246"/>
        <v>0.89617780300000005</v>
      </c>
      <c r="T1151" s="43">
        <f t="shared" si="247"/>
        <v>3.7970577140000001</v>
      </c>
      <c r="U1151" s="43">
        <f t="shared" si="248"/>
        <v>11.865539569999999</v>
      </c>
      <c r="V1151" s="43">
        <f t="shared" si="249"/>
        <v>1.853412E-3</v>
      </c>
      <c r="W1151" s="230">
        <f t="shared" si="250"/>
        <v>7.2451558550968825E-2</v>
      </c>
      <c r="X1151" s="43">
        <f t="shared" si="251"/>
        <v>0.86766638600000001</v>
      </c>
      <c r="Y1151" s="43">
        <v>24.062135390000002</v>
      </c>
      <c r="Z1151" s="43">
        <f t="shared" si="240"/>
        <v>0</v>
      </c>
      <c r="AA1151" s="43">
        <f t="shared" si="241"/>
        <v>81011</v>
      </c>
      <c r="AB1151" s="43">
        <f t="shared" si="242"/>
        <v>29053</v>
      </c>
      <c r="AC1151" s="43">
        <f t="shared" si="252"/>
        <v>2.1404971853430661E-2</v>
      </c>
      <c r="AD1151" s="43">
        <f t="shared" si="253"/>
        <v>0.87688609315999988</v>
      </c>
      <c r="AF1151" s="43">
        <v>17.185201637113195</v>
      </c>
      <c r="AG1151" s="43">
        <v>2.6344326000000001E-2</v>
      </c>
      <c r="AH1151" s="43">
        <v>1.1154729E-2</v>
      </c>
      <c r="AI1151" s="43">
        <v>0.89617780300000005</v>
      </c>
      <c r="AJ1151" s="43">
        <v>3.7970577140000001</v>
      </c>
      <c r="AK1151" s="43">
        <v>11.865539569999999</v>
      </c>
      <c r="AL1151" s="43">
        <v>1.853412E-3</v>
      </c>
      <c r="AM1151" s="230">
        <v>7.2451558550968825E-2</v>
      </c>
      <c r="AN1151" s="43">
        <v>0.86766638600000001</v>
      </c>
    </row>
    <row r="1152" spans="1:40" x14ac:dyDescent="0.25">
      <c r="A1152" s="134">
        <v>1142</v>
      </c>
      <c r="B1152" s="134" t="s">
        <v>206</v>
      </c>
      <c r="C1152" s="134" t="s">
        <v>205</v>
      </c>
      <c r="D1152" s="134" t="s">
        <v>62</v>
      </c>
      <c r="E1152" s="134">
        <v>239</v>
      </c>
      <c r="F1152" s="134">
        <v>565</v>
      </c>
      <c r="G1152" s="134">
        <v>39</v>
      </c>
      <c r="H1152" s="134">
        <v>60</v>
      </c>
      <c r="I1152" s="200">
        <v>6.0584294356399997E-2</v>
      </c>
      <c r="J1152" s="134">
        <v>625</v>
      </c>
      <c r="K1152" s="134">
        <v>10316.2049941</v>
      </c>
      <c r="L1152" s="42">
        <v>0.88363516265800002</v>
      </c>
      <c r="M1152" s="42">
        <v>0.20066889632099999</v>
      </c>
      <c r="N1152" s="134">
        <v>0</v>
      </c>
      <c r="O1152" s="43" t="s">
        <v>666</v>
      </c>
      <c r="P1152" s="43">
        <f t="shared" si="243"/>
        <v>16.726684108494606</v>
      </c>
      <c r="Q1152" s="43">
        <f t="shared" si="244"/>
        <v>2.1325951999999999E-2</v>
      </c>
      <c r="R1152" s="43">
        <f t="shared" si="245"/>
        <v>1.1252742E-2</v>
      </c>
      <c r="S1152" s="43">
        <f t="shared" si="246"/>
        <v>0.883635163</v>
      </c>
      <c r="T1152" s="43">
        <f t="shared" si="247"/>
        <v>3.2223385690000002</v>
      </c>
      <c r="U1152" s="43">
        <f t="shared" si="248"/>
        <v>10.28874727</v>
      </c>
      <c r="V1152" s="43">
        <f t="shared" si="249"/>
        <v>2.4086440000000001E-3</v>
      </c>
      <c r="W1152" s="230">
        <f t="shared" si="250"/>
        <v>5.6121395636914179E-2</v>
      </c>
      <c r="X1152" s="43">
        <f t="shared" si="251"/>
        <v>0.87547312600000005</v>
      </c>
      <c r="Y1152" s="43">
        <v>23.948963200000001</v>
      </c>
      <c r="Z1152" s="43">
        <f t="shared" si="240"/>
        <v>0</v>
      </c>
      <c r="AA1152" s="43">
        <f t="shared" si="241"/>
        <v>81011</v>
      </c>
      <c r="AB1152" s="43">
        <f t="shared" si="242"/>
        <v>29053</v>
      </c>
      <c r="AC1152" s="43">
        <f t="shared" si="252"/>
        <v>2.1404971853430661E-2</v>
      </c>
      <c r="AD1152" s="43">
        <f t="shared" si="253"/>
        <v>0.87688609315999988</v>
      </c>
      <c r="AF1152" s="43">
        <v>16.726684108494606</v>
      </c>
      <c r="AG1152" s="43">
        <v>2.1325951999999999E-2</v>
      </c>
      <c r="AH1152" s="43">
        <v>1.1252742E-2</v>
      </c>
      <c r="AI1152" s="43">
        <v>0.883635163</v>
      </c>
      <c r="AJ1152" s="43">
        <v>3.2223385690000002</v>
      </c>
      <c r="AK1152" s="43">
        <v>10.28874727</v>
      </c>
      <c r="AL1152" s="43">
        <v>2.4086440000000001E-3</v>
      </c>
      <c r="AM1152" s="230">
        <v>5.6121395636914179E-2</v>
      </c>
      <c r="AN1152" s="43">
        <v>0.87547312600000005</v>
      </c>
    </row>
    <row r="1153" spans="1:40" x14ac:dyDescent="0.25">
      <c r="A1153" s="134">
        <v>1143</v>
      </c>
      <c r="B1153" s="134" t="s">
        <v>206</v>
      </c>
      <c r="C1153" s="134" t="s">
        <v>205</v>
      </c>
      <c r="D1153" s="134" t="s">
        <v>62</v>
      </c>
      <c r="E1153" s="134">
        <v>694</v>
      </c>
      <c r="F1153" s="134">
        <v>1643</v>
      </c>
      <c r="G1153" s="134">
        <v>57</v>
      </c>
      <c r="H1153" s="134">
        <v>180</v>
      </c>
      <c r="I1153" s="200">
        <v>8.9103914109600002E-2</v>
      </c>
      <c r="J1153" s="134">
        <v>1823</v>
      </c>
      <c r="K1153" s="134">
        <v>20459.2583639</v>
      </c>
      <c r="L1153" s="42">
        <v>0.85922143573300003</v>
      </c>
      <c r="M1153" s="42">
        <v>0.20594965675099999</v>
      </c>
      <c r="N1153" s="134">
        <v>0</v>
      </c>
      <c r="O1153" s="43" t="s">
        <v>664</v>
      </c>
      <c r="P1153" s="43">
        <f t="shared" si="243"/>
        <v>16.280261050991971</v>
      </c>
      <c r="Q1153" s="43">
        <f t="shared" si="244"/>
        <v>2.3546646000000001E-2</v>
      </c>
      <c r="R1153" s="43">
        <f t="shared" si="245"/>
        <v>1.2694896000000001E-2</v>
      </c>
      <c r="S1153" s="43">
        <f t="shared" si="246"/>
        <v>0.85922143600000001</v>
      </c>
      <c r="T1153" s="43">
        <f t="shared" si="247"/>
        <v>2.9280643629999998</v>
      </c>
      <c r="U1153" s="43">
        <f t="shared" si="248"/>
        <v>10.15355701</v>
      </c>
      <c r="V1153" s="43">
        <f t="shared" si="249"/>
        <v>4.7724839999999996E-3</v>
      </c>
      <c r="W1153" s="230">
        <f t="shared" si="250"/>
        <v>4.7125342361086626E-2</v>
      </c>
      <c r="X1153" s="43">
        <f t="shared" si="251"/>
        <v>0.90034206699999997</v>
      </c>
      <c r="Y1153" s="43">
        <v>25.245013019999998</v>
      </c>
      <c r="Z1153" s="43">
        <f t="shared" si="240"/>
        <v>0</v>
      </c>
      <c r="AA1153" s="43">
        <f t="shared" si="241"/>
        <v>81011</v>
      </c>
      <c r="AB1153" s="43">
        <f t="shared" si="242"/>
        <v>29053</v>
      </c>
      <c r="AC1153" s="43">
        <f t="shared" si="252"/>
        <v>2.1404971853430661E-2</v>
      </c>
      <c r="AD1153" s="43">
        <f t="shared" si="253"/>
        <v>0.87688609315999988</v>
      </c>
      <c r="AF1153" s="43">
        <v>16.280261050991971</v>
      </c>
      <c r="AG1153" s="43">
        <v>2.3546646000000001E-2</v>
      </c>
      <c r="AH1153" s="43">
        <v>1.2694896000000001E-2</v>
      </c>
      <c r="AI1153" s="43">
        <v>0.85922143600000001</v>
      </c>
      <c r="AJ1153" s="43">
        <v>2.9280643629999998</v>
      </c>
      <c r="AK1153" s="43">
        <v>10.15355701</v>
      </c>
      <c r="AL1153" s="43">
        <v>4.7724839999999996E-3</v>
      </c>
      <c r="AM1153" s="230">
        <v>4.7125342361086626E-2</v>
      </c>
      <c r="AN1153" s="43">
        <v>0.90034206699999997</v>
      </c>
    </row>
    <row r="1154" spans="1:40" x14ac:dyDescent="0.25">
      <c r="A1154" s="134">
        <v>1144</v>
      </c>
      <c r="B1154" s="134" t="s">
        <v>206</v>
      </c>
      <c r="C1154" s="134" t="s">
        <v>205</v>
      </c>
      <c r="D1154" s="134" t="s">
        <v>62</v>
      </c>
      <c r="E1154" s="134">
        <v>4</v>
      </c>
      <c r="F1154" s="134">
        <v>10</v>
      </c>
      <c r="G1154" s="134">
        <v>117</v>
      </c>
      <c r="H1154" s="134">
        <v>1547</v>
      </c>
      <c r="I1154" s="200">
        <v>0.18347390683500001</v>
      </c>
      <c r="J1154" s="134">
        <v>1557</v>
      </c>
      <c r="K1154" s="134">
        <v>8486.2203397499998</v>
      </c>
      <c r="L1154" s="42">
        <v>0.96213269098800003</v>
      </c>
      <c r="M1154" s="42">
        <v>0.99742101869800004</v>
      </c>
      <c r="N1154" s="134">
        <v>0</v>
      </c>
      <c r="O1154" s="43" t="s">
        <v>666</v>
      </c>
      <c r="P1154" s="43">
        <f t="shared" si="243"/>
        <v>16.936541532758465</v>
      </c>
      <c r="Q1154" s="43">
        <f t="shared" si="244"/>
        <v>2.4087959999999999E-3</v>
      </c>
      <c r="R1154" s="43">
        <f t="shared" si="245"/>
        <v>3.1987769999999999E-3</v>
      </c>
      <c r="S1154" s="43">
        <f t="shared" si="246"/>
        <v>0.96213269099999998</v>
      </c>
      <c r="T1154" s="43">
        <f t="shared" si="247"/>
        <v>4.3885714289999997</v>
      </c>
      <c r="U1154" s="43">
        <f t="shared" si="248"/>
        <v>9.8786153199999998</v>
      </c>
      <c r="V1154" s="43">
        <f t="shared" si="249"/>
        <v>2.7960939999999998E-3</v>
      </c>
      <c r="W1154" s="230">
        <f t="shared" si="250"/>
        <v>2.2813899785771919E-3</v>
      </c>
      <c r="X1154" s="43">
        <f t="shared" si="251"/>
        <v>0.96614083399999995</v>
      </c>
      <c r="Y1154" s="43">
        <v>24.039879110000001</v>
      </c>
      <c r="Z1154" s="43">
        <f t="shared" si="240"/>
        <v>0</v>
      </c>
      <c r="AA1154" s="43">
        <f t="shared" si="241"/>
        <v>81011</v>
      </c>
      <c r="AB1154" s="43">
        <f t="shared" si="242"/>
        <v>29053</v>
      </c>
      <c r="AC1154" s="43">
        <f t="shared" si="252"/>
        <v>2.1404971853430661E-2</v>
      </c>
      <c r="AD1154" s="43">
        <f t="shared" si="253"/>
        <v>0.87688609315999988</v>
      </c>
      <c r="AF1154" s="43">
        <v>16.936541532758465</v>
      </c>
      <c r="AG1154" s="43">
        <v>2.4087959999999999E-3</v>
      </c>
      <c r="AH1154" s="43">
        <v>3.1987769999999999E-3</v>
      </c>
      <c r="AI1154" s="43">
        <v>0.96213269099999998</v>
      </c>
      <c r="AJ1154" s="43">
        <v>4.3885714289999997</v>
      </c>
      <c r="AK1154" s="43">
        <v>9.8786153199999998</v>
      </c>
      <c r="AL1154" s="43">
        <v>2.7960939999999998E-3</v>
      </c>
      <c r="AM1154" s="230">
        <v>2.2813899785771919E-3</v>
      </c>
      <c r="AN1154" s="43">
        <v>0.96614083399999995</v>
      </c>
    </row>
    <row r="1155" spans="1:40" x14ac:dyDescent="0.25">
      <c r="A1155" s="134">
        <v>1145</v>
      </c>
      <c r="B1155" s="134" t="s">
        <v>206</v>
      </c>
      <c r="C1155" s="134" t="s">
        <v>205</v>
      </c>
      <c r="D1155" s="134" t="s">
        <v>62</v>
      </c>
      <c r="E1155" s="134">
        <v>138</v>
      </c>
      <c r="F1155" s="134">
        <v>328</v>
      </c>
      <c r="G1155" s="134">
        <v>62</v>
      </c>
      <c r="H1155" s="134">
        <v>0</v>
      </c>
      <c r="I1155" s="200">
        <v>9.6850651522600001E-2</v>
      </c>
      <c r="J1155" s="134">
        <v>328</v>
      </c>
      <c r="K1155" s="134">
        <v>3386.65765117</v>
      </c>
      <c r="L1155" s="42">
        <v>0.89252096525799995</v>
      </c>
      <c r="M1155" s="42">
        <v>0</v>
      </c>
      <c r="N1155" s="134">
        <v>0</v>
      </c>
      <c r="O1155" s="43" t="s">
        <v>666</v>
      </c>
      <c r="P1155" s="43">
        <f t="shared" si="243"/>
        <v>17.425620124854781</v>
      </c>
      <c r="Q1155" s="43">
        <f t="shared" si="244"/>
        <v>1.7932189000000001E-2</v>
      </c>
      <c r="R1155" s="43">
        <f t="shared" si="245"/>
        <v>1.2303421E-2</v>
      </c>
      <c r="S1155" s="43">
        <f t="shared" si="246"/>
        <v>0.892520965</v>
      </c>
      <c r="T1155" s="43">
        <f t="shared" si="247"/>
        <v>3.7717391299999998</v>
      </c>
      <c r="U1155" s="43">
        <f t="shared" si="248"/>
        <v>11.746353450000001</v>
      </c>
      <c r="V1155" s="43">
        <f t="shared" si="249"/>
        <v>8.52647E-4</v>
      </c>
      <c r="W1155" s="230">
        <f t="shared" si="250"/>
        <v>4.1624680257344393E-2</v>
      </c>
      <c r="X1155" s="43">
        <f t="shared" si="251"/>
        <v>0.88574529099999999</v>
      </c>
      <c r="Y1155" s="43">
        <v>23.977608610000001</v>
      </c>
      <c r="Z1155" s="43">
        <f t="shared" si="240"/>
        <v>0</v>
      </c>
      <c r="AA1155" s="43">
        <f t="shared" si="241"/>
        <v>81011</v>
      </c>
      <c r="AB1155" s="43">
        <f t="shared" si="242"/>
        <v>29053</v>
      </c>
      <c r="AC1155" s="43">
        <f t="shared" si="252"/>
        <v>2.1404971853430661E-2</v>
      </c>
      <c r="AD1155" s="43">
        <f t="shared" si="253"/>
        <v>0.87688609315999988</v>
      </c>
      <c r="AF1155" s="43">
        <v>17.425620124854781</v>
      </c>
      <c r="AG1155" s="43">
        <v>1.7932189000000001E-2</v>
      </c>
      <c r="AH1155" s="43">
        <v>1.2303421E-2</v>
      </c>
      <c r="AI1155" s="43">
        <v>0.892520965</v>
      </c>
      <c r="AJ1155" s="43">
        <v>3.7717391299999998</v>
      </c>
      <c r="AK1155" s="43">
        <v>11.746353450000001</v>
      </c>
      <c r="AL1155" s="43">
        <v>8.52647E-4</v>
      </c>
      <c r="AM1155" s="230">
        <v>4.1624680257344393E-2</v>
      </c>
      <c r="AN1155" s="43">
        <v>0.88574529099999999</v>
      </c>
    </row>
    <row r="1156" spans="1:40" x14ac:dyDescent="0.25">
      <c r="A1156" s="134">
        <v>1146</v>
      </c>
      <c r="B1156" s="134" t="s">
        <v>206</v>
      </c>
      <c r="C1156" s="134" t="s">
        <v>205</v>
      </c>
      <c r="D1156" s="134" t="s">
        <v>62</v>
      </c>
      <c r="E1156" s="134">
        <v>0</v>
      </c>
      <c r="F1156" s="134">
        <v>0</v>
      </c>
      <c r="G1156" s="134">
        <v>169</v>
      </c>
      <c r="H1156" s="134">
        <v>796</v>
      </c>
      <c r="I1156" s="200">
        <v>0.26438290614499999</v>
      </c>
      <c r="J1156" s="134">
        <v>796</v>
      </c>
      <c r="K1156" s="134">
        <v>3010.7846668500001</v>
      </c>
      <c r="L1156" s="42">
        <v>0.92336459083199995</v>
      </c>
      <c r="M1156" s="42">
        <v>1</v>
      </c>
      <c r="N1156" s="134">
        <v>0</v>
      </c>
      <c r="O1156" s="43" t="s">
        <v>666</v>
      </c>
      <c r="P1156" s="43">
        <f t="shared" si="243"/>
        <v>16.540071599616795</v>
      </c>
      <c r="Q1156" s="43">
        <f t="shared" si="244"/>
        <v>4.459569E-3</v>
      </c>
      <c r="R1156" s="43">
        <f t="shared" si="245"/>
        <v>6.1611239999999996E-3</v>
      </c>
      <c r="S1156" s="43">
        <f t="shared" si="246"/>
        <v>0.92336459100000001</v>
      </c>
      <c r="T1156" s="43">
        <f t="shared" si="247"/>
        <v>3.5114854520000001</v>
      </c>
      <c r="U1156" s="43">
        <f t="shared" si="248"/>
        <v>10.425686839999999</v>
      </c>
      <c r="V1156" s="43">
        <f t="shared" si="249"/>
        <v>3.062824E-3</v>
      </c>
      <c r="W1156" s="230">
        <f t="shared" si="250"/>
        <v>2.0981550705414208E-3</v>
      </c>
      <c r="X1156" s="43">
        <f t="shared" si="251"/>
        <v>0.96298082699999998</v>
      </c>
      <c r="Y1156" s="43">
        <v>23.952482150000002</v>
      </c>
      <c r="Z1156" s="43">
        <f t="shared" si="240"/>
        <v>0</v>
      </c>
      <c r="AA1156" s="43">
        <f t="shared" si="241"/>
        <v>81011</v>
      </c>
      <c r="AB1156" s="43">
        <f t="shared" si="242"/>
        <v>29053</v>
      </c>
      <c r="AC1156" s="43">
        <f t="shared" si="252"/>
        <v>2.1404971853430661E-2</v>
      </c>
      <c r="AD1156" s="43">
        <f t="shared" si="253"/>
        <v>0.87688609315999988</v>
      </c>
      <c r="AF1156" s="43">
        <v>16.540071599616795</v>
      </c>
      <c r="AG1156" s="43">
        <v>4.459569E-3</v>
      </c>
      <c r="AH1156" s="43">
        <v>6.1611239999999996E-3</v>
      </c>
      <c r="AI1156" s="43">
        <v>0.92336459100000001</v>
      </c>
      <c r="AJ1156" s="43">
        <v>3.5114854520000001</v>
      </c>
      <c r="AK1156" s="43">
        <v>10.425686839999999</v>
      </c>
      <c r="AL1156" s="43">
        <v>3.062824E-3</v>
      </c>
      <c r="AM1156" s="230">
        <v>2.0981550705414208E-3</v>
      </c>
      <c r="AN1156" s="43">
        <v>0.96298082699999998</v>
      </c>
    </row>
    <row r="1157" spans="1:40" x14ac:dyDescent="0.25">
      <c r="A1157" s="134">
        <v>1147</v>
      </c>
      <c r="B1157" s="134" t="s">
        <v>206</v>
      </c>
      <c r="C1157" s="134" t="s">
        <v>205</v>
      </c>
      <c r="D1157" s="134" t="s">
        <v>62</v>
      </c>
      <c r="E1157" s="134">
        <v>50</v>
      </c>
      <c r="F1157" s="134">
        <v>119</v>
      </c>
      <c r="G1157" s="134">
        <v>197</v>
      </c>
      <c r="H1157" s="134">
        <v>167</v>
      </c>
      <c r="I1157" s="200">
        <v>0.30790602690800001</v>
      </c>
      <c r="J1157" s="134">
        <v>286</v>
      </c>
      <c r="K1157" s="134">
        <v>928.85482909100006</v>
      </c>
      <c r="L1157" s="42">
        <v>0.91295559213999999</v>
      </c>
      <c r="M1157" s="42">
        <v>0.76958525345600004</v>
      </c>
      <c r="N1157" s="134">
        <v>0</v>
      </c>
      <c r="O1157" s="43" t="s">
        <v>666</v>
      </c>
      <c r="P1157" s="43">
        <f t="shared" si="243"/>
        <v>16.422986627085997</v>
      </c>
      <c r="Q1157" s="43">
        <f t="shared" si="244"/>
        <v>1.0002709E-2</v>
      </c>
      <c r="R1157" s="43">
        <f t="shared" si="245"/>
        <v>8.5439810000000008E-3</v>
      </c>
      <c r="S1157" s="43">
        <f t="shared" si="246"/>
        <v>0.91295559199999998</v>
      </c>
      <c r="T1157" s="43">
        <f t="shared" si="247"/>
        <v>3.5671100359999999</v>
      </c>
      <c r="U1157" s="43">
        <f t="shared" si="248"/>
        <v>10.304761689999999</v>
      </c>
      <c r="V1157" s="43">
        <f t="shared" si="249"/>
        <v>1.911193E-3</v>
      </c>
      <c r="W1157" s="230">
        <f t="shared" si="250"/>
        <v>1.5034720010193032E-2</v>
      </c>
      <c r="X1157" s="43">
        <f t="shared" si="251"/>
        <v>0.92915843799999998</v>
      </c>
      <c r="Y1157" s="43">
        <v>24.091522040000001</v>
      </c>
      <c r="Z1157" s="43">
        <f t="shared" si="240"/>
        <v>0</v>
      </c>
      <c r="AA1157" s="43">
        <f t="shared" si="241"/>
        <v>81011</v>
      </c>
      <c r="AB1157" s="43">
        <f t="shared" si="242"/>
        <v>29053</v>
      </c>
      <c r="AC1157" s="43">
        <f t="shared" si="252"/>
        <v>2.1404971853430661E-2</v>
      </c>
      <c r="AD1157" s="43">
        <f t="shared" si="253"/>
        <v>0.87688609315999988</v>
      </c>
      <c r="AF1157" s="43">
        <v>16.422986627085997</v>
      </c>
      <c r="AG1157" s="43">
        <v>1.0002709E-2</v>
      </c>
      <c r="AH1157" s="43">
        <v>8.5439810000000008E-3</v>
      </c>
      <c r="AI1157" s="43">
        <v>0.91295559199999998</v>
      </c>
      <c r="AJ1157" s="43">
        <v>3.5671100359999999</v>
      </c>
      <c r="AK1157" s="43">
        <v>10.304761689999999</v>
      </c>
      <c r="AL1157" s="43">
        <v>1.911193E-3</v>
      </c>
      <c r="AM1157" s="230">
        <v>1.5034720010193032E-2</v>
      </c>
      <c r="AN1157" s="43">
        <v>0.92915843799999998</v>
      </c>
    </row>
    <row r="1158" spans="1:40" x14ac:dyDescent="0.25">
      <c r="A1158" s="134">
        <v>1148</v>
      </c>
      <c r="B1158" s="134" t="s">
        <v>206</v>
      </c>
      <c r="C1158" s="134" t="s">
        <v>205</v>
      </c>
      <c r="D1158" s="134" t="s">
        <v>62</v>
      </c>
      <c r="E1158" s="134">
        <v>6</v>
      </c>
      <c r="F1158" s="134">
        <v>13</v>
      </c>
      <c r="G1158" s="134">
        <v>30</v>
      </c>
      <c r="H1158" s="134">
        <v>645</v>
      </c>
      <c r="I1158" s="200">
        <v>4.6390700625000003E-2</v>
      </c>
      <c r="J1158" s="134">
        <v>658</v>
      </c>
      <c r="K1158" s="134">
        <v>14183.877180900001</v>
      </c>
      <c r="L1158" s="42">
        <v>0.87737335890699997</v>
      </c>
      <c r="M1158" s="42">
        <v>0.99078341013799998</v>
      </c>
      <c r="N1158" s="134">
        <v>0</v>
      </c>
      <c r="O1158" s="43" t="s">
        <v>664</v>
      </c>
      <c r="P1158" s="43">
        <f t="shared" si="243"/>
        <v>15.910737626911724</v>
      </c>
      <c r="Q1158" s="43">
        <f t="shared" si="244"/>
        <v>1.2890852E-2</v>
      </c>
      <c r="R1158" s="43">
        <f t="shared" si="245"/>
        <v>7.292921E-3</v>
      </c>
      <c r="S1158" s="43">
        <f t="shared" si="246"/>
        <v>0.87737335900000002</v>
      </c>
      <c r="T1158" s="43">
        <f t="shared" si="247"/>
        <v>2.5306748469999998</v>
      </c>
      <c r="U1158" s="43">
        <f t="shared" si="248"/>
        <v>8.5754432620000003</v>
      </c>
      <c r="V1158" s="43">
        <f t="shared" si="249"/>
        <v>3.3397209999999999E-3</v>
      </c>
      <c r="W1158" s="230">
        <f t="shared" si="250"/>
        <v>1.9901450862304954E-2</v>
      </c>
      <c r="X1158" s="43">
        <f t="shared" si="251"/>
        <v>0.90947166700000004</v>
      </c>
      <c r="Y1158" s="43">
        <v>56.989399560000003</v>
      </c>
      <c r="Z1158" s="43">
        <f t="shared" si="240"/>
        <v>0</v>
      </c>
      <c r="AA1158" s="43">
        <f t="shared" si="241"/>
        <v>81011</v>
      </c>
      <c r="AB1158" s="43">
        <f t="shared" si="242"/>
        <v>29053</v>
      </c>
      <c r="AC1158" s="43">
        <f t="shared" si="252"/>
        <v>2.1404971853430661E-2</v>
      </c>
      <c r="AD1158" s="43">
        <f t="shared" si="253"/>
        <v>0.87688609315999988</v>
      </c>
      <c r="AF1158" s="43">
        <v>15.910737626911724</v>
      </c>
      <c r="AG1158" s="43">
        <v>1.2890852E-2</v>
      </c>
      <c r="AH1158" s="43">
        <v>7.292921E-3</v>
      </c>
      <c r="AI1158" s="43">
        <v>0.87737335900000002</v>
      </c>
      <c r="AJ1158" s="43">
        <v>2.5306748469999998</v>
      </c>
      <c r="AK1158" s="43">
        <v>8.5754432620000003</v>
      </c>
      <c r="AL1158" s="43">
        <v>3.3397209999999999E-3</v>
      </c>
      <c r="AM1158" s="230">
        <v>1.9901450862304954E-2</v>
      </c>
      <c r="AN1158" s="43">
        <v>0.90947166700000004</v>
      </c>
    </row>
    <row r="1159" spans="1:40" x14ac:dyDescent="0.25">
      <c r="A1159" s="134">
        <v>1149</v>
      </c>
      <c r="B1159" s="134" t="s">
        <v>206</v>
      </c>
      <c r="C1159" s="134" t="s">
        <v>205</v>
      </c>
      <c r="D1159" s="134" t="s">
        <v>62</v>
      </c>
      <c r="E1159" s="134">
        <v>229</v>
      </c>
      <c r="F1159" s="134">
        <v>542</v>
      </c>
      <c r="G1159" s="134">
        <v>83</v>
      </c>
      <c r="H1159" s="134">
        <v>1152</v>
      </c>
      <c r="I1159" s="200">
        <v>0.12957044570500001</v>
      </c>
      <c r="J1159" s="134">
        <v>1694</v>
      </c>
      <c r="K1159" s="134">
        <v>13073.969073599999</v>
      </c>
      <c r="L1159" s="42">
        <v>0.85414718701100001</v>
      </c>
      <c r="M1159" s="42">
        <v>0.83417813178900002</v>
      </c>
      <c r="N1159" s="134">
        <v>0</v>
      </c>
      <c r="O1159" s="43" t="s">
        <v>664</v>
      </c>
      <c r="P1159" s="43">
        <f t="shared" si="243"/>
        <v>15.506686970370335</v>
      </c>
      <c r="Q1159" s="43">
        <f t="shared" si="244"/>
        <v>1.7600569E-2</v>
      </c>
      <c r="R1159" s="43">
        <f t="shared" si="245"/>
        <v>9.3936230000000003E-3</v>
      </c>
      <c r="S1159" s="43">
        <f t="shared" si="246"/>
        <v>0.85414718700000003</v>
      </c>
      <c r="T1159" s="43">
        <f t="shared" si="247"/>
        <v>2.2602454270000001</v>
      </c>
      <c r="U1159" s="43">
        <f t="shared" si="248"/>
        <v>7.598271682</v>
      </c>
      <c r="V1159" s="43">
        <f t="shared" si="249"/>
        <v>4.6244850000000002E-3</v>
      </c>
      <c r="W1159" s="230">
        <f t="shared" si="250"/>
        <v>3.0990784703280917E-2</v>
      </c>
      <c r="X1159" s="43">
        <f t="shared" si="251"/>
        <v>0.89486031099999996</v>
      </c>
      <c r="Y1159" s="43">
        <v>117.0787756</v>
      </c>
      <c r="Z1159" s="43">
        <f t="shared" si="240"/>
        <v>0</v>
      </c>
      <c r="AA1159" s="43">
        <f t="shared" si="241"/>
        <v>81011</v>
      </c>
      <c r="AB1159" s="43">
        <f t="shared" si="242"/>
        <v>29053</v>
      </c>
      <c r="AC1159" s="43">
        <f t="shared" si="252"/>
        <v>2.1404971853430661E-2</v>
      </c>
      <c r="AD1159" s="43">
        <f t="shared" si="253"/>
        <v>0.87688609315999988</v>
      </c>
      <c r="AF1159" s="43">
        <v>15.506686970370335</v>
      </c>
      <c r="AG1159" s="43">
        <v>1.7600569E-2</v>
      </c>
      <c r="AH1159" s="43">
        <v>9.3936230000000003E-3</v>
      </c>
      <c r="AI1159" s="43">
        <v>0.85414718700000003</v>
      </c>
      <c r="AJ1159" s="43">
        <v>2.2602454270000001</v>
      </c>
      <c r="AK1159" s="43">
        <v>7.598271682</v>
      </c>
      <c r="AL1159" s="43">
        <v>4.6244850000000002E-3</v>
      </c>
      <c r="AM1159" s="230">
        <v>3.0990784703280917E-2</v>
      </c>
      <c r="AN1159" s="43">
        <v>0.89486031099999996</v>
      </c>
    </row>
    <row r="1160" spans="1:40" x14ac:dyDescent="0.25">
      <c r="A1160" s="134">
        <v>1150</v>
      </c>
      <c r="B1160" s="134" t="s">
        <v>206</v>
      </c>
      <c r="C1160" s="134" t="s">
        <v>205</v>
      </c>
      <c r="D1160" s="134" t="s">
        <v>62</v>
      </c>
      <c r="E1160" s="134">
        <v>867</v>
      </c>
      <c r="F1160" s="134">
        <v>2052</v>
      </c>
      <c r="G1160" s="134">
        <v>118</v>
      </c>
      <c r="H1160" s="134">
        <v>938</v>
      </c>
      <c r="I1160" s="200">
        <v>0.184702614185</v>
      </c>
      <c r="J1160" s="134">
        <v>2990</v>
      </c>
      <c r="K1160" s="134">
        <v>16188.1845213</v>
      </c>
      <c r="L1160" s="42">
        <v>0.85395928790499998</v>
      </c>
      <c r="M1160" s="42">
        <v>0.519667590028</v>
      </c>
      <c r="N1160" s="134">
        <v>0</v>
      </c>
      <c r="O1160" s="43" t="s">
        <v>664</v>
      </c>
      <c r="P1160" s="43">
        <f t="shared" si="243"/>
        <v>16.12135933993995</v>
      </c>
      <c r="Q1160" s="43">
        <f t="shared" si="244"/>
        <v>2.0407868999999999E-2</v>
      </c>
      <c r="R1160" s="43">
        <f t="shared" si="245"/>
        <v>1.1318831999999999E-2</v>
      </c>
      <c r="S1160" s="43">
        <f t="shared" si="246"/>
        <v>0.85395928799999998</v>
      </c>
      <c r="T1160" s="43">
        <f t="shared" si="247"/>
        <v>2.5031514609999999</v>
      </c>
      <c r="U1160" s="43">
        <f t="shared" si="248"/>
        <v>8.4483800420000001</v>
      </c>
      <c r="V1160" s="43">
        <f t="shared" si="249"/>
        <v>5.274936E-3</v>
      </c>
      <c r="W1160" s="230">
        <f t="shared" si="250"/>
        <v>4.1789447347937277E-2</v>
      </c>
      <c r="X1160" s="43">
        <f t="shared" si="251"/>
        <v>0.89310435899999996</v>
      </c>
      <c r="Y1160" s="43">
        <v>116.83186550000001</v>
      </c>
      <c r="Z1160" s="43">
        <f t="shared" si="240"/>
        <v>0</v>
      </c>
      <c r="AA1160" s="43">
        <f t="shared" si="241"/>
        <v>81011</v>
      </c>
      <c r="AB1160" s="43">
        <f t="shared" si="242"/>
        <v>29053</v>
      </c>
      <c r="AC1160" s="43">
        <f t="shared" si="252"/>
        <v>2.1404971853430661E-2</v>
      </c>
      <c r="AD1160" s="43">
        <f t="shared" si="253"/>
        <v>0.87688609315999988</v>
      </c>
      <c r="AF1160" s="43">
        <v>16.12135933993995</v>
      </c>
      <c r="AG1160" s="43">
        <v>2.0407868999999999E-2</v>
      </c>
      <c r="AH1160" s="43">
        <v>1.1318831999999999E-2</v>
      </c>
      <c r="AI1160" s="43">
        <v>0.85395928799999998</v>
      </c>
      <c r="AJ1160" s="43">
        <v>2.5031514609999999</v>
      </c>
      <c r="AK1160" s="43">
        <v>8.4483800420000001</v>
      </c>
      <c r="AL1160" s="43">
        <v>5.274936E-3</v>
      </c>
      <c r="AM1160" s="230">
        <v>4.1789447347937277E-2</v>
      </c>
      <c r="AN1160" s="43">
        <v>0.89310435899999996</v>
      </c>
    </row>
    <row r="1161" spans="1:40" x14ac:dyDescent="0.25">
      <c r="A1161" s="134">
        <v>1151</v>
      </c>
      <c r="B1161" s="134" t="s">
        <v>206</v>
      </c>
      <c r="C1161" s="134" t="s">
        <v>205</v>
      </c>
      <c r="D1161" s="134" t="s">
        <v>62</v>
      </c>
      <c r="E1161" s="134">
        <v>9</v>
      </c>
      <c r="F1161" s="134">
        <v>21</v>
      </c>
      <c r="G1161" s="134">
        <v>72</v>
      </c>
      <c r="H1161" s="134">
        <v>391</v>
      </c>
      <c r="I1161" s="200">
        <v>0.111761293175</v>
      </c>
      <c r="J1161" s="134">
        <v>412</v>
      </c>
      <c r="K1161" s="134">
        <v>3686.4283536500002</v>
      </c>
      <c r="L1161" s="42">
        <v>0.91354825683100005</v>
      </c>
      <c r="M1161" s="42">
        <v>0.97750000000000004</v>
      </c>
      <c r="N1161" s="134">
        <v>0</v>
      </c>
      <c r="O1161" s="43" t="s">
        <v>666</v>
      </c>
      <c r="P1161" s="43">
        <f t="shared" si="243"/>
        <v>16.146631662432437</v>
      </c>
      <c r="Q1161" s="43">
        <f t="shared" si="244"/>
        <v>6.8649890000000002E-3</v>
      </c>
      <c r="R1161" s="43">
        <f t="shared" si="245"/>
        <v>6.1246470000000004E-3</v>
      </c>
      <c r="S1161" s="43">
        <f t="shared" si="246"/>
        <v>0.91354825699999997</v>
      </c>
      <c r="T1161" s="43">
        <f t="shared" si="247"/>
        <v>3.4295302009999999</v>
      </c>
      <c r="U1161" s="43">
        <f t="shared" si="248"/>
        <v>10.22627967</v>
      </c>
      <c r="V1161" s="43">
        <f t="shared" si="249"/>
        <v>2.8929979999999999E-3</v>
      </c>
      <c r="W1161" s="230">
        <f t="shared" si="250"/>
        <v>5.9814691739317402E-3</v>
      </c>
      <c r="X1161" s="43">
        <f t="shared" si="251"/>
        <v>0.94741780399999997</v>
      </c>
      <c r="Y1161" s="43">
        <v>24.162509620000002</v>
      </c>
      <c r="Z1161" s="43">
        <f t="shared" si="240"/>
        <v>0</v>
      </c>
      <c r="AA1161" s="43">
        <f t="shared" si="241"/>
        <v>81011</v>
      </c>
      <c r="AB1161" s="43">
        <f t="shared" si="242"/>
        <v>29053</v>
      </c>
      <c r="AC1161" s="43">
        <f t="shared" si="252"/>
        <v>2.1404971853430661E-2</v>
      </c>
      <c r="AD1161" s="43">
        <f t="shared" si="253"/>
        <v>0.87688609315999988</v>
      </c>
      <c r="AF1161" s="43">
        <v>16.146631662432437</v>
      </c>
      <c r="AG1161" s="43">
        <v>6.8649890000000002E-3</v>
      </c>
      <c r="AH1161" s="43">
        <v>6.1246470000000004E-3</v>
      </c>
      <c r="AI1161" s="43">
        <v>0.91354825699999997</v>
      </c>
      <c r="AJ1161" s="43">
        <v>3.4295302009999999</v>
      </c>
      <c r="AK1161" s="43">
        <v>10.22627967</v>
      </c>
      <c r="AL1161" s="43">
        <v>2.8929979999999999E-3</v>
      </c>
      <c r="AM1161" s="230">
        <v>5.9814691739317402E-3</v>
      </c>
      <c r="AN1161" s="43">
        <v>0.94741780399999997</v>
      </c>
    </row>
    <row r="1162" spans="1:40" x14ac:dyDescent="0.25">
      <c r="A1162" s="134">
        <v>1152</v>
      </c>
      <c r="B1162" s="134" t="s">
        <v>206</v>
      </c>
      <c r="C1162" s="134" t="s">
        <v>205</v>
      </c>
      <c r="D1162" s="134" t="s">
        <v>62</v>
      </c>
      <c r="E1162" s="134">
        <v>78</v>
      </c>
      <c r="F1162" s="134">
        <v>185</v>
      </c>
      <c r="G1162" s="134">
        <v>42</v>
      </c>
      <c r="H1162" s="134">
        <v>0</v>
      </c>
      <c r="I1162" s="200">
        <v>6.5569255011500002E-2</v>
      </c>
      <c r="J1162" s="134">
        <v>185</v>
      </c>
      <c r="K1162" s="134">
        <v>2821.4442876899998</v>
      </c>
      <c r="L1162" s="42">
        <v>0.85933564767500004</v>
      </c>
      <c r="M1162" s="42">
        <v>0</v>
      </c>
      <c r="N1162" s="134">
        <v>0</v>
      </c>
      <c r="O1162" s="43" t="s">
        <v>666</v>
      </c>
      <c r="P1162" s="43">
        <f t="shared" si="243"/>
        <v>16.096877696831037</v>
      </c>
      <c r="Q1162" s="43">
        <f t="shared" si="244"/>
        <v>2.5049350000000001E-2</v>
      </c>
      <c r="R1162" s="43">
        <f t="shared" si="245"/>
        <v>1.2865019E-2</v>
      </c>
      <c r="S1162" s="43">
        <f t="shared" si="246"/>
        <v>0.85933564799999995</v>
      </c>
      <c r="T1162" s="43">
        <f t="shared" si="247"/>
        <v>3.1691078560000001</v>
      </c>
      <c r="U1162" s="43">
        <f t="shared" si="248"/>
        <v>9.5648069679999992</v>
      </c>
      <c r="V1162" s="43">
        <f t="shared" si="249"/>
        <v>5.5640599999999996E-4</v>
      </c>
      <c r="W1162" s="230">
        <f t="shared" si="250"/>
        <v>6.5794964529141756E-2</v>
      </c>
      <c r="X1162" s="43">
        <f t="shared" si="251"/>
        <v>0.83516483500000005</v>
      </c>
      <c r="Y1162" s="43">
        <v>32.586676140000002</v>
      </c>
      <c r="Z1162" s="43">
        <f t="shared" si="240"/>
        <v>0</v>
      </c>
      <c r="AA1162" s="43">
        <f t="shared" si="241"/>
        <v>81011</v>
      </c>
      <c r="AB1162" s="43">
        <f t="shared" si="242"/>
        <v>29053</v>
      </c>
      <c r="AC1162" s="43">
        <f t="shared" si="252"/>
        <v>2.1404971853430661E-2</v>
      </c>
      <c r="AD1162" s="43">
        <f t="shared" si="253"/>
        <v>0.87688609315999988</v>
      </c>
      <c r="AF1162" s="43">
        <v>16.096877696831037</v>
      </c>
      <c r="AG1162" s="43">
        <v>2.5049350000000001E-2</v>
      </c>
      <c r="AH1162" s="43">
        <v>1.2865019E-2</v>
      </c>
      <c r="AI1162" s="43">
        <v>0.85933564799999995</v>
      </c>
      <c r="AJ1162" s="43">
        <v>3.1691078560000001</v>
      </c>
      <c r="AK1162" s="43">
        <v>9.5648069679999992</v>
      </c>
      <c r="AL1162" s="43">
        <v>5.5640599999999996E-4</v>
      </c>
      <c r="AM1162" s="230">
        <v>6.5794964529141756E-2</v>
      </c>
      <c r="AN1162" s="43">
        <v>0.83516483500000005</v>
      </c>
    </row>
    <row r="1163" spans="1:40" x14ac:dyDescent="0.25">
      <c r="A1163" s="134">
        <v>1153</v>
      </c>
      <c r="B1163" s="134" t="s">
        <v>206</v>
      </c>
      <c r="C1163" s="134" t="s">
        <v>205</v>
      </c>
      <c r="D1163" s="134" t="s">
        <v>62</v>
      </c>
      <c r="E1163" s="134">
        <v>773</v>
      </c>
      <c r="F1163" s="134">
        <v>2298</v>
      </c>
      <c r="G1163" s="134">
        <v>197</v>
      </c>
      <c r="H1163" s="134">
        <v>109</v>
      </c>
      <c r="I1163" s="200">
        <v>0.30370205268200001</v>
      </c>
      <c r="J1163" s="134">
        <v>2407</v>
      </c>
      <c r="K1163" s="134">
        <v>7925.5308903799996</v>
      </c>
      <c r="L1163" s="42">
        <v>0.88275698261699997</v>
      </c>
      <c r="M1163" s="42">
        <v>0.12358276644000001</v>
      </c>
      <c r="N1163" s="134">
        <v>0</v>
      </c>
      <c r="O1163" s="43" t="s">
        <v>666</v>
      </c>
      <c r="P1163" s="43">
        <f t="shared" si="243"/>
        <v>15.953590043705283</v>
      </c>
      <c r="Q1163" s="43">
        <f t="shared" si="244"/>
        <v>2.582914E-2</v>
      </c>
      <c r="R1163" s="43">
        <f t="shared" si="245"/>
        <v>1.3233284E-2</v>
      </c>
      <c r="S1163" s="43">
        <f t="shared" si="246"/>
        <v>0.88275698300000005</v>
      </c>
      <c r="T1163" s="43">
        <f t="shared" si="247"/>
        <v>2.7526320609999999</v>
      </c>
      <c r="U1163" s="43">
        <f t="shared" si="248"/>
        <v>10.19821885</v>
      </c>
      <c r="V1163" s="43">
        <f t="shared" si="249"/>
        <v>1.9293750000000001E-3</v>
      </c>
      <c r="W1163" s="230">
        <f t="shared" si="250"/>
        <v>6.0872596387690915E-2</v>
      </c>
      <c r="X1163" s="43">
        <f t="shared" si="251"/>
        <v>0.90879243799999998</v>
      </c>
      <c r="Y1163" s="43">
        <v>119.9822705</v>
      </c>
      <c r="Z1163" s="43">
        <f t="shared" ref="Z1163:Z1226" si="254">IF(B1163="Berkeley",1,0)</f>
        <v>0</v>
      </c>
      <c r="AA1163" s="43">
        <f t="shared" ref="AA1163:AA1226" si="255">SUMIFS(F:F,B:B,B1163)</f>
        <v>81011</v>
      </c>
      <c r="AB1163" s="43">
        <f t="shared" ref="AB1163:AB1226" si="256">SUMIFS(E:E,B:B,B1163)</f>
        <v>29053</v>
      </c>
      <c r="AC1163" s="43">
        <f t="shared" si="252"/>
        <v>2.1404971853430661E-2</v>
      </c>
      <c r="AD1163" s="43">
        <f t="shared" si="253"/>
        <v>0.87688609315999988</v>
      </c>
      <c r="AF1163" s="43">
        <v>15.953590043705283</v>
      </c>
      <c r="AG1163" s="43">
        <v>2.582914E-2</v>
      </c>
      <c r="AH1163" s="43">
        <v>1.3233284E-2</v>
      </c>
      <c r="AI1163" s="43">
        <v>0.88275698300000005</v>
      </c>
      <c r="AJ1163" s="43">
        <v>2.7526320609999999</v>
      </c>
      <c r="AK1163" s="43">
        <v>10.19821885</v>
      </c>
      <c r="AL1163" s="43">
        <v>1.9293750000000001E-3</v>
      </c>
      <c r="AM1163" s="230">
        <v>6.0872596387690915E-2</v>
      </c>
      <c r="AN1163" s="43">
        <v>0.90879243799999998</v>
      </c>
    </row>
    <row r="1164" spans="1:40" x14ac:dyDescent="0.25">
      <c r="A1164" s="134">
        <v>1154</v>
      </c>
      <c r="B1164" s="134" t="s">
        <v>206</v>
      </c>
      <c r="C1164" s="134" t="s">
        <v>205</v>
      </c>
      <c r="D1164" s="134" t="s">
        <v>62</v>
      </c>
      <c r="E1164" s="134">
        <v>1166</v>
      </c>
      <c r="F1164" s="134">
        <v>3464</v>
      </c>
      <c r="G1164" s="134">
        <v>317</v>
      </c>
      <c r="H1164" s="134">
        <v>286</v>
      </c>
      <c r="I1164" s="200">
        <v>0.48757865835199998</v>
      </c>
      <c r="J1164" s="134">
        <v>3750</v>
      </c>
      <c r="K1164" s="134">
        <v>7691.0667351000002</v>
      </c>
      <c r="L1164" s="42">
        <v>0.88510302215100001</v>
      </c>
      <c r="M1164" s="42">
        <v>0.19696969697</v>
      </c>
      <c r="N1164" s="134">
        <v>0</v>
      </c>
      <c r="O1164" s="43" t="s">
        <v>665</v>
      </c>
      <c r="P1164" s="43">
        <f t="shared" ref="P1164:P1227" si="257">IF(OR(IFERROR(AF1164=0,TRUE),ISERROR(AF1164)),AVERAGEIFS(AF:AF,$B:$B,$B1164,AF:AF,"&gt;0"),AF1164)</f>
        <v>16.496959600204057</v>
      </c>
      <c r="Q1164" s="43">
        <f t="shared" ref="Q1164:Q1227" si="258">IF(OR(IFERROR(AG1164=0,TRUE),ISERROR(AG1164)),AVERAGEIFS(AG:AG,$B:$B,$B1164,AG:AG,"&gt;0"),AG1164)</f>
        <v>2.5668324999999999E-2</v>
      </c>
      <c r="R1164" s="43">
        <f t="shared" ref="R1164:R1227" si="259">IF(OR(IFERROR(AH1164=0,TRUE),ISERROR(AH1164)),AVERAGEIFS(AH:AH,$B:$B,$B1164,AH:AH,"&gt;0"),AH1164)</f>
        <v>1.3102776999999999E-2</v>
      </c>
      <c r="S1164" s="43">
        <f t="shared" ref="S1164:S1227" si="260">IF(OR(IFERROR(AI1164=0,TRUE),ISERROR(AI1164)),AVERAGEIFS(AI:AI,$B:$B,$B1164,AI:AI,"&gt;0"),AI1164)</f>
        <v>0.88510302200000002</v>
      </c>
      <c r="T1164" s="43">
        <f t="shared" ref="T1164:T1227" si="261">IF(OR(IFERROR(AJ1164=0,TRUE),ISERROR(AJ1164)),AVERAGEIFS(AJ:AJ,$B:$B,$B1164,AJ:AJ,"&gt;0"),AJ1164)</f>
        <v>2.9013304949999998</v>
      </c>
      <c r="U1164" s="43">
        <f t="shared" ref="U1164:U1227" si="262">IF(OR(IFERROR(AK1164=0,TRUE),ISERROR(AK1164)),AVERAGEIFS(AK:AK,$B:$B,$B1164,AK:AK,"&gt;0"),AK1164)</f>
        <v>10.57564455</v>
      </c>
      <c r="V1164" s="43">
        <f t="shared" ref="V1164:V1227" si="263">IF(OR(IFERROR(AL1164=0,TRUE),ISERROR(AL1164)),AVERAGEIFS(AL:AL,$B:$B,$B1164,AL:AL,"&gt;0"),AL1164)</f>
        <v>2.2237989999999998E-3</v>
      </c>
      <c r="W1164" s="230">
        <f t="shared" ref="W1164:W1227" si="264">IF(OR(IFERROR(AM1164=0,TRUE),ISERROR(AM1164)),AVERAGEIFS(AM:AM,$B:$B,$B1164,AM:AM,"&gt;0"),AM1164)</f>
        <v>6.16475228794671E-2</v>
      </c>
      <c r="X1164" s="43">
        <f t="shared" ref="X1164:X1227" si="265">IF(OR(IFERROR(AN1164=0,TRUE),ISERROR(AN1164)),AVERAGEIFS(AN:AN,$B:$B,$B1164,AN:AN,"&gt;0"),AN1164)</f>
        <v>0.909397813</v>
      </c>
      <c r="Y1164" s="43">
        <v>158.70234740000001</v>
      </c>
      <c r="Z1164" s="43">
        <f t="shared" si="254"/>
        <v>0</v>
      </c>
      <c r="AA1164" s="43">
        <f t="shared" si="255"/>
        <v>81011</v>
      </c>
      <c r="AB1164" s="43">
        <f t="shared" si="256"/>
        <v>29053</v>
      </c>
      <c r="AC1164" s="43">
        <f t="shared" ref="AC1164:AC1227" si="266">AVERAGEIFS(Q:Q,B:B,B1164,N:N,0,Q:Q,"&gt;0")</f>
        <v>2.1404971853430661E-2</v>
      </c>
      <c r="AD1164" s="43">
        <f t="shared" ref="AD1164:AD1227" si="267">AVERAGEIFS(S:S,B:B,B1164,N:N,0,S:S,"&gt;0")</f>
        <v>0.87688609315999988</v>
      </c>
      <c r="AF1164" s="43">
        <v>16.496959600204057</v>
      </c>
      <c r="AG1164" s="43">
        <v>2.5668324999999999E-2</v>
      </c>
      <c r="AH1164" s="43">
        <v>1.3102776999999999E-2</v>
      </c>
      <c r="AI1164" s="43">
        <v>0.88510302200000002</v>
      </c>
      <c r="AJ1164" s="43">
        <v>2.9013304949999998</v>
      </c>
      <c r="AK1164" s="43">
        <v>10.57564455</v>
      </c>
      <c r="AL1164" s="43">
        <v>2.2237989999999998E-3</v>
      </c>
      <c r="AM1164" s="230">
        <v>6.16475228794671E-2</v>
      </c>
      <c r="AN1164" s="43">
        <v>0.909397813</v>
      </c>
    </row>
    <row r="1165" spans="1:40" x14ac:dyDescent="0.25">
      <c r="A1165" s="134">
        <v>1155</v>
      </c>
      <c r="B1165" s="134" t="s">
        <v>206</v>
      </c>
      <c r="C1165" s="134" t="s">
        <v>205</v>
      </c>
      <c r="D1165" s="134" t="s">
        <v>62</v>
      </c>
      <c r="E1165" s="134">
        <v>1</v>
      </c>
      <c r="F1165" s="134">
        <v>3</v>
      </c>
      <c r="G1165" s="134">
        <v>240</v>
      </c>
      <c r="H1165" s="134">
        <v>869</v>
      </c>
      <c r="I1165" s="200">
        <v>0.210216392275</v>
      </c>
      <c r="J1165" s="134">
        <v>872</v>
      </c>
      <c r="K1165" s="134">
        <v>4148.1065799099997</v>
      </c>
      <c r="L1165" s="42">
        <v>0.95881948546100004</v>
      </c>
      <c r="M1165" s="42">
        <v>0.99885057471299998</v>
      </c>
      <c r="N1165" s="134">
        <v>1</v>
      </c>
      <c r="O1165" s="43" t="s">
        <v>666</v>
      </c>
      <c r="P1165" s="43">
        <f t="shared" si="257"/>
        <v>16.465054568419514</v>
      </c>
      <c r="Q1165" s="43">
        <f t="shared" si="258"/>
        <v>5.199609E-3</v>
      </c>
      <c r="R1165" s="43">
        <f t="shared" si="259"/>
        <v>6.4777250000000001E-3</v>
      </c>
      <c r="S1165" s="43">
        <f t="shared" si="260"/>
        <v>0.95881948500000003</v>
      </c>
      <c r="T1165" s="43">
        <f t="shared" si="261"/>
        <v>3.965799257</v>
      </c>
      <c r="U1165" s="43">
        <f t="shared" si="262"/>
        <v>10.32119329</v>
      </c>
      <c r="V1165" s="43">
        <f t="shared" si="263"/>
        <v>3.5502450000000001E-3</v>
      </c>
      <c r="W1165" s="230">
        <f t="shared" si="264"/>
        <v>3.2038792916829024E-3</v>
      </c>
      <c r="X1165" s="43">
        <f t="shared" si="265"/>
        <v>0.97159804299999997</v>
      </c>
      <c r="Y1165" s="43">
        <v>46.954881399999998</v>
      </c>
      <c r="Z1165" s="43">
        <f t="shared" si="254"/>
        <v>0</v>
      </c>
      <c r="AA1165" s="43">
        <f t="shared" si="255"/>
        <v>81011</v>
      </c>
      <c r="AB1165" s="43">
        <f t="shared" si="256"/>
        <v>29053</v>
      </c>
      <c r="AC1165" s="43">
        <f t="shared" si="266"/>
        <v>2.1404971853430661E-2</v>
      </c>
      <c r="AD1165" s="43">
        <f t="shared" si="267"/>
        <v>0.87688609315999988</v>
      </c>
      <c r="AF1165" s="43">
        <v>16.465054568419514</v>
      </c>
      <c r="AG1165" s="43">
        <v>5.199609E-3</v>
      </c>
      <c r="AH1165" s="43">
        <v>6.4777250000000001E-3</v>
      </c>
      <c r="AI1165" s="43">
        <v>0.95881948500000003</v>
      </c>
      <c r="AJ1165" s="43">
        <v>3.965799257</v>
      </c>
      <c r="AK1165" s="43">
        <v>10.32119329</v>
      </c>
      <c r="AL1165" s="43">
        <v>3.5502450000000001E-3</v>
      </c>
      <c r="AM1165" s="230">
        <v>3.2038792916829024E-3</v>
      </c>
      <c r="AN1165" s="43">
        <v>0.97159804299999997</v>
      </c>
    </row>
    <row r="1166" spans="1:40" x14ac:dyDescent="0.25">
      <c r="A1166" s="134">
        <v>1156</v>
      </c>
      <c r="B1166" s="134" t="s">
        <v>206</v>
      </c>
      <c r="C1166" s="134" t="s">
        <v>205</v>
      </c>
      <c r="D1166" s="134" t="s">
        <v>62</v>
      </c>
      <c r="E1166" s="134">
        <v>0</v>
      </c>
      <c r="F1166" s="134">
        <v>0</v>
      </c>
      <c r="G1166" s="134">
        <v>18</v>
      </c>
      <c r="H1166" s="134">
        <v>243</v>
      </c>
      <c r="I1166" s="200">
        <v>3.3596000803900003E-2</v>
      </c>
      <c r="J1166" s="134">
        <v>243</v>
      </c>
      <c r="K1166" s="134">
        <v>7233.0037559700004</v>
      </c>
      <c r="L1166" s="42">
        <v>0.90645326188499997</v>
      </c>
      <c r="M1166" s="42">
        <v>1</v>
      </c>
      <c r="N1166" s="134">
        <v>1</v>
      </c>
      <c r="O1166" s="43" t="s">
        <v>666</v>
      </c>
      <c r="P1166" s="43">
        <f t="shared" si="257"/>
        <v>14.719522597402598</v>
      </c>
      <c r="Q1166" s="43">
        <f t="shared" si="258"/>
        <v>1.1951138E-2</v>
      </c>
      <c r="R1166" s="43">
        <f t="shared" si="259"/>
        <v>7.6325109999999998E-3</v>
      </c>
      <c r="S1166" s="43">
        <f t="shared" si="260"/>
        <v>0.90645326199999998</v>
      </c>
      <c r="T1166" s="43">
        <f t="shared" si="261"/>
        <v>3.0968858130000001</v>
      </c>
      <c r="U1166" s="43">
        <f t="shared" si="262"/>
        <v>7.824459557</v>
      </c>
      <c r="V1166" s="43">
        <f t="shared" si="263"/>
        <v>3.2142529999999998E-3</v>
      </c>
      <c r="W1166" s="230">
        <f t="shared" si="264"/>
        <v>7.3468638075121677E-3</v>
      </c>
      <c r="X1166" s="43">
        <f t="shared" si="265"/>
        <v>0.92414363099999997</v>
      </c>
      <c r="Y1166" s="43">
        <v>48.150656939999998</v>
      </c>
      <c r="Z1166" s="43">
        <f t="shared" si="254"/>
        <v>0</v>
      </c>
      <c r="AA1166" s="43">
        <f t="shared" si="255"/>
        <v>81011</v>
      </c>
      <c r="AB1166" s="43">
        <f t="shared" si="256"/>
        <v>29053</v>
      </c>
      <c r="AC1166" s="43">
        <f t="shared" si="266"/>
        <v>2.1404971853430661E-2</v>
      </c>
      <c r="AD1166" s="43">
        <f t="shared" si="267"/>
        <v>0.87688609315999988</v>
      </c>
      <c r="AF1166" s="43">
        <v>14.719522597402598</v>
      </c>
      <c r="AG1166" s="43">
        <v>1.1951138E-2</v>
      </c>
      <c r="AH1166" s="43">
        <v>7.6325109999999998E-3</v>
      </c>
      <c r="AI1166" s="43">
        <v>0.90645326199999998</v>
      </c>
      <c r="AJ1166" s="43">
        <v>3.0968858130000001</v>
      </c>
      <c r="AK1166" s="43">
        <v>7.824459557</v>
      </c>
      <c r="AL1166" s="43">
        <v>3.2142529999999998E-3</v>
      </c>
      <c r="AM1166" s="230">
        <v>7.3468638075121677E-3</v>
      </c>
      <c r="AN1166" s="43">
        <v>0.92414363099999997</v>
      </c>
    </row>
    <row r="1167" spans="1:40" x14ac:dyDescent="0.25">
      <c r="A1167" s="134">
        <v>1157</v>
      </c>
      <c r="B1167" s="134" t="s">
        <v>206</v>
      </c>
      <c r="C1167" s="134" t="s">
        <v>205</v>
      </c>
      <c r="D1167" s="134" t="s">
        <v>62</v>
      </c>
      <c r="E1167" s="134">
        <v>0</v>
      </c>
      <c r="F1167" s="134">
        <v>0</v>
      </c>
      <c r="G1167" s="134">
        <v>40</v>
      </c>
      <c r="H1167" s="134">
        <v>937</v>
      </c>
      <c r="I1167" s="200">
        <v>7.3082612107600003E-2</v>
      </c>
      <c r="J1167" s="134">
        <v>937</v>
      </c>
      <c r="K1167" s="134">
        <v>12821.107141300001</v>
      </c>
      <c r="L1167" s="42">
        <v>0.912741057696</v>
      </c>
      <c r="M1167" s="42">
        <v>1</v>
      </c>
      <c r="N1167" s="134">
        <v>0</v>
      </c>
      <c r="O1167" s="43" t="s">
        <v>666</v>
      </c>
      <c r="P1167" s="43">
        <f t="shared" si="257"/>
        <v>15.072435851545519</v>
      </c>
      <c r="Q1167" s="43">
        <f t="shared" si="258"/>
        <v>1.4916985000000001E-2</v>
      </c>
      <c r="R1167" s="43">
        <f t="shared" si="259"/>
        <v>7.9070870000000001E-3</v>
      </c>
      <c r="S1167" s="43">
        <f t="shared" si="260"/>
        <v>0.91274105800000005</v>
      </c>
      <c r="T1167" s="43">
        <f t="shared" si="261"/>
        <v>3.0816645810000001</v>
      </c>
      <c r="U1167" s="43">
        <f t="shared" si="262"/>
        <v>8.2808596080000001</v>
      </c>
      <c r="V1167" s="43">
        <f t="shared" si="263"/>
        <v>4.1077800000000001E-3</v>
      </c>
      <c r="W1167" s="230">
        <f t="shared" si="264"/>
        <v>1.6186610592204997E-2</v>
      </c>
      <c r="X1167" s="43">
        <f t="shared" si="265"/>
        <v>0.94564526400000004</v>
      </c>
      <c r="Y1167" s="43">
        <v>48.138736700000003</v>
      </c>
      <c r="Z1167" s="43">
        <f t="shared" si="254"/>
        <v>0</v>
      </c>
      <c r="AA1167" s="43">
        <f t="shared" si="255"/>
        <v>81011</v>
      </c>
      <c r="AB1167" s="43">
        <f t="shared" si="256"/>
        <v>29053</v>
      </c>
      <c r="AC1167" s="43">
        <f t="shared" si="266"/>
        <v>2.1404971853430661E-2</v>
      </c>
      <c r="AD1167" s="43">
        <f t="shared" si="267"/>
        <v>0.87688609315999988</v>
      </c>
      <c r="AF1167" s="43">
        <v>15.072435851545519</v>
      </c>
      <c r="AG1167" s="43">
        <v>1.4916985000000001E-2</v>
      </c>
      <c r="AH1167" s="43">
        <v>7.9070870000000001E-3</v>
      </c>
      <c r="AI1167" s="43">
        <v>0.91274105800000005</v>
      </c>
      <c r="AJ1167" s="43">
        <v>3.0816645810000001</v>
      </c>
      <c r="AK1167" s="43">
        <v>8.2808596080000001</v>
      </c>
      <c r="AL1167" s="43">
        <v>4.1077800000000001E-3</v>
      </c>
      <c r="AM1167" s="230">
        <v>1.6186610592204997E-2</v>
      </c>
      <c r="AN1167" s="43">
        <v>0.94564526400000004</v>
      </c>
    </row>
    <row r="1168" spans="1:40" x14ac:dyDescent="0.25">
      <c r="A1168" s="134">
        <v>1158</v>
      </c>
      <c r="B1168" s="134" t="s">
        <v>206</v>
      </c>
      <c r="C1168" s="134" t="s">
        <v>205</v>
      </c>
      <c r="D1168" s="134" t="s">
        <v>62</v>
      </c>
      <c r="E1168" s="134">
        <v>0</v>
      </c>
      <c r="F1168" s="134">
        <v>0</v>
      </c>
      <c r="G1168" s="134">
        <v>45</v>
      </c>
      <c r="H1168" s="134">
        <v>1341</v>
      </c>
      <c r="I1168" s="200">
        <v>8.3545559616599999E-2</v>
      </c>
      <c r="J1168" s="134">
        <v>1341</v>
      </c>
      <c r="K1168" s="134">
        <v>16051.122359499999</v>
      </c>
      <c r="L1168" s="42">
        <v>0.90538610110899997</v>
      </c>
      <c r="M1168" s="42">
        <v>1</v>
      </c>
      <c r="N1168" s="134">
        <v>0</v>
      </c>
      <c r="O1168" s="43" t="s">
        <v>664</v>
      </c>
      <c r="P1168" s="43">
        <f t="shared" si="257"/>
        <v>15.140912977805504</v>
      </c>
      <c r="Q1168" s="43">
        <f t="shared" si="258"/>
        <v>1.4365433E-2</v>
      </c>
      <c r="R1168" s="43">
        <f t="shared" si="259"/>
        <v>7.1532899999999996E-3</v>
      </c>
      <c r="S1168" s="43">
        <f t="shared" si="260"/>
        <v>0.90538610100000005</v>
      </c>
      <c r="T1168" s="43">
        <f t="shared" si="261"/>
        <v>3.0703125</v>
      </c>
      <c r="U1168" s="43">
        <f t="shared" si="262"/>
        <v>8.8392873059999992</v>
      </c>
      <c r="V1168" s="43">
        <f t="shared" si="263"/>
        <v>3.9712979999999998E-3</v>
      </c>
      <c r="W1168" s="230">
        <f t="shared" si="264"/>
        <v>1.6601046513609788E-2</v>
      </c>
      <c r="X1168" s="43">
        <f t="shared" si="265"/>
        <v>0.94291898900000004</v>
      </c>
      <c r="Y1168" s="43">
        <v>48.145282889999997</v>
      </c>
      <c r="Z1168" s="43">
        <f t="shared" si="254"/>
        <v>0</v>
      </c>
      <c r="AA1168" s="43">
        <f t="shared" si="255"/>
        <v>81011</v>
      </c>
      <c r="AB1168" s="43">
        <f t="shared" si="256"/>
        <v>29053</v>
      </c>
      <c r="AC1168" s="43">
        <f t="shared" si="266"/>
        <v>2.1404971853430661E-2</v>
      </c>
      <c r="AD1168" s="43">
        <f t="shared" si="267"/>
        <v>0.87688609315999988</v>
      </c>
      <c r="AF1168" s="43">
        <v>15.140912977805504</v>
      </c>
      <c r="AG1168" s="43">
        <v>1.4365433E-2</v>
      </c>
      <c r="AH1168" s="43">
        <v>7.1532899999999996E-3</v>
      </c>
      <c r="AI1168" s="43">
        <v>0.90538610100000005</v>
      </c>
      <c r="AJ1168" s="43">
        <v>3.0703125</v>
      </c>
      <c r="AK1168" s="43">
        <v>8.8392873059999992</v>
      </c>
      <c r="AL1168" s="43">
        <v>3.9712979999999998E-3</v>
      </c>
      <c r="AM1168" s="230">
        <v>1.6601046513609788E-2</v>
      </c>
      <c r="AN1168" s="43">
        <v>0.94291898900000004</v>
      </c>
    </row>
    <row r="1169" spans="1:40" x14ac:dyDescent="0.25">
      <c r="A1169" s="134">
        <v>1159</v>
      </c>
      <c r="B1169" s="134" t="s">
        <v>206</v>
      </c>
      <c r="C1169" s="134" t="s">
        <v>205</v>
      </c>
      <c r="D1169" s="134" t="s">
        <v>62</v>
      </c>
      <c r="E1169" s="134">
        <v>0</v>
      </c>
      <c r="F1169" s="134">
        <v>0</v>
      </c>
      <c r="G1169" s="134">
        <v>10</v>
      </c>
      <c r="H1169" s="134">
        <v>228</v>
      </c>
      <c r="I1169" s="200">
        <v>1.9689305922100001E-2</v>
      </c>
      <c r="J1169" s="134">
        <v>228</v>
      </c>
      <c r="K1169" s="134">
        <v>11579.8901649</v>
      </c>
      <c r="L1169" s="42">
        <v>0.88419370089399996</v>
      </c>
      <c r="M1169" s="42">
        <v>1</v>
      </c>
      <c r="N1169" s="134">
        <v>1</v>
      </c>
      <c r="O1169" s="43" t="s">
        <v>666</v>
      </c>
      <c r="P1169" s="43">
        <f t="shared" si="257"/>
        <v>14.233533172227814</v>
      </c>
      <c r="Q1169" s="43">
        <f t="shared" si="258"/>
        <v>1.4835994E-2</v>
      </c>
      <c r="R1169" s="43">
        <f t="shared" si="259"/>
        <v>7.4742790000000003E-3</v>
      </c>
      <c r="S1169" s="43">
        <f t="shared" si="260"/>
        <v>0.88419370100000005</v>
      </c>
      <c r="T1169" s="43">
        <f t="shared" si="261"/>
        <v>2.7859327220000001</v>
      </c>
      <c r="U1169" s="43">
        <f t="shared" si="262"/>
        <v>7.358563738</v>
      </c>
      <c r="V1169" s="43">
        <f t="shared" si="263"/>
        <v>3.0731410000000002E-3</v>
      </c>
      <c r="W1169" s="230">
        <f t="shared" si="264"/>
        <v>1.3931571399303419E-2</v>
      </c>
      <c r="X1169" s="43">
        <f t="shared" si="265"/>
        <v>0.89704978499999999</v>
      </c>
      <c r="Y1169" s="43">
        <v>48.138736700000003</v>
      </c>
      <c r="Z1169" s="43">
        <f t="shared" si="254"/>
        <v>0</v>
      </c>
      <c r="AA1169" s="43">
        <f t="shared" si="255"/>
        <v>81011</v>
      </c>
      <c r="AB1169" s="43">
        <f t="shared" si="256"/>
        <v>29053</v>
      </c>
      <c r="AC1169" s="43">
        <f t="shared" si="266"/>
        <v>2.1404971853430661E-2</v>
      </c>
      <c r="AD1169" s="43">
        <f t="shared" si="267"/>
        <v>0.87688609315999988</v>
      </c>
      <c r="AF1169" s="43">
        <v>14.233533172227814</v>
      </c>
      <c r="AG1169" s="43">
        <v>1.4835994E-2</v>
      </c>
      <c r="AH1169" s="43">
        <v>7.4742790000000003E-3</v>
      </c>
      <c r="AI1169" s="43">
        <v>0.88419370100000005</v>
      </c>
      <c r="AJ1169" s="43">
        <v>2.7859327220000001</v>
      </c>
      <c r="AK1169" s="43">
        <v>7.358563738</v>
      </c>
      <c r="AL1169" s="43">
        <v>3.0731410000000002E-3</v>
      </c>
      <c r="AM1169" s="230">
        <v>1.3931571399303419E-2</v>
      </c>
      <c r="AN1169" s="43">
        <v>0.89704978499999999</v>
      </c>
    </row>
    <row r="1170" spans="1:40" x14ac:dyDescent="0.25">
      <c r="A1170" s="134">
        <v>1160</v>
      </c>
      <c r="B1170" s="134" t="s">
        <v>206</v>
      </c>
      <c r="C1170" s="134" t="s">
        <v>205</v>
      </c>
      <c r="D1170" s="134" t="s">
        <v>62</v>
      </c>
      <c r="E1170" s="134">
        <v>0</v>
      </c>
      <c r="F1170" s="134">
        <v>0</v>
      </c>
      <c r="G1170" s="134">
        <v>23</v>
      </c>
      <c r="H1170" s="134">
        <v>972</v>
      </c>
      <c r="I1170" s="200">
        <v>4.29539849096E-2</v>
      </c>
      <c r="J1170" s="134">
        <v>972</v>
      </c>
      <c r="K1170" s="134">
        <v>22628.866729000001</v>
      </c>
      <c r="L1170" s="42">
        <v>0.90127313968</v>
      </c>
      <c r="M1170" s="42">
        <v>1</v>
      </c>
      <c r="N1170" s="134">
        <v>0</v>
      </c>
      <c r="O1170" s="43" t="s">
        <v>664</v>
      </c>
      <c r="P1170" s="43">
        <f t="shared" si="257"/>
        <v>14.984763882303479</v>
      </c>
      <c r="Q1170" s="43">
        <f t="shared" si="258"/>
        <v>1.562157E-2</v>
      </c>
      <c r="R1170" s="43">
        <f t="shared" si="259"/>
        <v>7.3168950000000003E-3</v>
      </c>
      <c r="S1170" s="43">
        <f t="shared" si="260"/>
        <v>0.90127314000000003</v>
      </c>
      <c r="T1170" s="43">
        <f t="shared" si="261"/>
        <v>3.0065130259999999</v>
      </c>
      <c r="U1170" s="43">
        <f t="shared" si="262"/>
        <v>8.4857876529999992</v>
      </c>
      <c r="V1170" s="43">
        <f t="shared" si="263"/>
        <v>4.0143829999999998E-3</v>
      </c>
      <c r="W1170" s="230">
        <f t="shared" si="264"/>
        <v>2.0121170328046497E-2</v>
      </c>
      <c r="X1170" s="43">
        <f t="shared" si="265"/>
        <v>0.93409516299999995</v>
      </c>
      <c r="Y1170" s="43">
        <v>48.969255619999998</v>
      </c>
      <c r="Z1170" s="43">
        <f t="shared" si="254"/>
        <v>0</v>
      </c>
      <c r="AA1170" s="43">
        <f t="shared" si="255"/>
        <v>81011</v>
      </c>
      <c r="AB1170" s="43">
        <f t="shared" si="256"/>
        <v>29053</v>
      </c>
      <c r="AC1170" s="43">
        <f t="shared" si="266"/>
        <v>2.1404971853430661E-2</v>
      </c>
      <c r="AD1170" s="43">
        <f t="shared" si="267"/>
        <v>0.87688609315999988</v>
      </c>
      <c r="AF1170" s="43">
        <v>14.984763882303479</v>
      </c>
      <c r="AG1170" s="43">
        <v>1.562157E-2</v>
      </c>
      <c r="AH1170" s="43">
        <v>7.3168950000000003E-3</v>
      </c>
      <c r="AI1170" s="43">
        <v>0.90127314000000003</v>
      </c>
      <c r="AJ1170" s="43">
        <v>3.0065130259999999</v>
      </c>
      <c r="AK1170" s="43">
        <v>8.4857876529999992</v>
      </c>
      <c r="AL1170" s="43">
        <v>4.0143829999999998E-3</v>
      </c>
      <c r="AM1170" s="230">
        <v>2.0121170328046497E-2</v>
      </c>
      <c r="AN1170" s="43">
        <v>0.93409516299999995</v>
      </c>
    </row>
    <row r="1171" spans="1:40" x14ac:dyDescent="0.25">
      <c r="A1171" s="134">
        <v>1161</v>
      </c>
      <c r="B1171" s="134" t="s">
        <v>206</v>
      </c>
      <c r="C1171" s="134" t="s">
        <v>205</v>
      </c>
      <c r="D1171" s="134" t="s">
        <v>62</v>
      </c>
      <c r="E1171" s="134">
        <v>486</v>
      </c>
      <c r="F1171" s="134">
        <v>1506</v>
      </c>
      <c r="G1171" s="134">
        <v>153</v>
      </c>
      <c r="H1171" s="134">
        <v>1103</v>
      </c>
      <c r="I1171" s="200">
        <v>0.28282842881999998</v>
      </c>
      <c r="J1171" s="134">
        <v>2609</v>
      </c>
      <c r="K1171" s="134">
        <v>9224.6738097899997</v>
      </c>
      <c r="L1171" s="42">
        <v>0.89511180963600001</v>
      </c>
      <c r="M1171" s="42">
        <v>0.69414726242900004</v>
      </c>
      <c r="N1171" s="134">
        <v>0</v>
      </c>
      <c r="O1171" s="43" t="s">
        <v>666</v>
      </c>
      <c r="P1171" s="43">
        <f t="shared" si="257"/>
        <v>15.507061360059588</v>
      </c>
      <c r="Q1171" s="43">
        <f t="shared" si="258"/>
        <v>1.7746191000000001E-2</v>
      </c>
      <c r="R1171" s="43">
        <f t="shared" si="259"/>
        <v>1.1787616000000001E-2</v>
      </c>
      <c r="S1171" s="43">
        <f t="shared" si="260"/>
        <v>0.89511180999999995</v>
      </c>
      <c r="T1171" s="43">
        <f t="shared" si="261"/>
        <v>2.8184314079999999</v>
      </c>
      <c r="U1171" s="43">
        <f t="shared" si="262"/>
        <v>9.4850981070000007</v>
      </c>
      <c r="V1171" s="43">
        <f t="shared" si="263"/>
        <v>4.5925840000000002E-3</v>
      </c>
      <c r="W1171" s="230">
        <f t="shared" si="264"/>
        <v>3.6962534573799347E-2</v>
      </c>
      <c r="X1171" s="43">
        <f t="shared" si="265"/>
        <v>0.92080936000000002</v>
      </c>
      <c r="Y1171" s="43">
        <v>137.33180200000001</v>
      </c>
      <c r="Z1171" s="43">
        <f t="shared" si="254"/>
        <v>0</v>
      </c>
      <c r="AA1171" s="43">
        <f t="shared" si="255"/>
        <v>81011</v>
      </c>
      <c r="AB1171" s="43">
        <f t="shared" si="256"/>
        <v>29053</v>
      </c>
      <c r="AC1171" s="43">
        <f t="shared" si="266"/>
        <v>2.1404971853430661E-2</v>
      </c>
      <c r="AD1171" s="43">
        <f t="shared" si="267"/>
        <v>0.87688609315999988</v>
      </c>
      <c r="AF1171" s="43">
        <v>15.507061360059588</v>
      </c>
      <c r="AG1171" s="43">
        <v>1.7746191000000001E-2</v>
      </c>
      <c r="AH1171" s="43">
        <v>1.1787616000000001E-2</v>
      </c>
      <c r="AI1171" s="43">
        <v>0.89511180999999995</v>
      </c>
      <c r="AJ1171" s="43">
        <v>2.8184314079999999</v>
      </c>
      <c r="AK1171" s="43">
        <v>9.4850981070000007</v>
      </c>
      <c r="AL1171" s="43">
        <v>4.5925840000000002E-3</v>
      </c>
      <c r="AM1171" s="230">
        <v>3.6962534573799347E-2</v>
      </c>
      <c r="AN1171" s="43">
        <v>0.92080936000000002</v>
      </c>
    </row>
    <row r="1172" spans="1:40" x14ac:dyDescent="0.25">
      <c r="A1172" s="134">
        <v>1162</v>
      </c>
      <c r="B1172" s="134" t="s">
        <v>206</v>
      </c>
      <c r="C1172" s="134" t="s">
        <v>205</v>
      </c>
      <c r="D1172" s="134" t="s">
        <v>62</v>
      </c>
      <c r="E1172" s="134">
        <v>467</v>
      </c>
      <c r="F1172" s="134">
        <v>1445</v>
      </c>
      <c r="G1172" s="134">
        <v>101</v>
      </c>
      <c r="H1172" s="134">
        <v>74</v>
      </c>
      <c r="I1172" s="200">
        <v>0.186829609796</v>
      </c>
      <c r="J1172" s="134">
        <v>1519</v>
      </c>
      <c r="K1172" s="134">
        <v>8130.4028930900004</v>
      </c>
      <c r="L1172" s="42">
        <v>0.882673147341</v>
      </c>
      <c r="M1172" s="42">
        <v>0.13678373382600001</v>
      </c>
      <c r="N1172" s="134">
        <v>0</v>
      </c>
      <c r="O1172" s="43" t="s">
        <v>666</v>
      </c>
      <c r="P1172" s="43">
        <f t="shared" si="257"/>
        <v>15.349838449039996</v>
      </c>
      <c r="Q1172" s="43">
        <f t="shared" si="258"/>
        <v>2.4299254999999999E-2</v>
      </c>
      <c r="R1172" s="43">
        <f t="shared" si="259"/>
        <v>1.3074891999999999E-2</v>
      </c>
      <c r="S1172" s="43">
        <f t="shared" si="260"/>
        <v>0.88267314699999999</v>
      </c>
      <c r="T1172" s="43">
        <f t="shared" si="261"/>
        <v>2.7334917459999999</v>
      </c>
      <c r="U1172" s="43">
        <f t="shared" si="262"/>
        <v>9.12113437</v>
      </c>
      <c r="V1172" s="43">
        <f t="shared" si="263"/>
        <v>2.5414309999999998E-3</v>
      </c>
      <c r="W1172" s="230">
        <f t="shared" si="264"/>
        <v>6.4078466670196441E-2</v>
      </c>
      <c r="X1172" s="43">
        <f t="shared" si="265"/>
        <v>0.89266426600000004</v>
      </c>
      <c r="Y1172" s="43">
        <v>90.167373810000001</v>
      </c>
      <c r="Z1172" s="43">
        <f t="shared" si="254"/>
        <v>0</v>
      </c>
      <c r="AA1172" s="43">
        <f t="shared" si="255"/>
        <v>81011</v>
      </c>
      <c r="AB1172" s="43">
        <f t="shared" si="256"/>
        <v>29053</v>
      </c>
      <c r="AC1172" s="43">
        <f t="shared" si="266"/>
        <v>2.1404971853430661E-2</v>
      </c>
      <c r="AD1172" s="43">
        <f t="shared" si="267"/>
        <v>0.87688609315999988</v>
      </c>
      <c r="AF1172" s="43">
        <v>15.349838449039996</v>
      </c>
      <c r="AG1172" s="43">
        <v>2.4299254999999999E-2</v>
      </c>
      <c r="AH1172" s="43">
        <v>1.3074891999999999E-2</v>
      </c>
      <c r="AI1172" s="43">
        <v>0.88267314699999999</v>
      </c>
      <c r="AJ1172" s="43">
        <v>2.7334917459999999</v>
      </c>
      <c r="AK1172" s="43">
        <v>9.12113437</v>
      </c>
      <c r="AL1172" s="43">
        <v>2.5414309999999998E-3</v>
      </c>
      <c r="AM1172" s="230">
        <v>6.4078466670196441E-2</v>
      </c>
      <c r="AN1172" s="43">
        <v>0.89266426600000004</v>
      </c>
    </row>
    <row r="1173" spans="1:40" x14ac:dyDescent="0.25">
      <c r="A1173" s="134">
        <v>1163</v>
      </c>
      <c r="B1173" s="134" t="s">
        <v>206</v>
      </c>
      <c r="C1173" s="134" t="s">
        <v>205</v>
      </c>
      <c r="D1173" s="134" t="s">
        <v>62</v>
      </c>
      <c r="E1173" s="134">
        <v>0</v>
      </c>
      <c r="F1173" s="134">
        <v>0</v>
      </c>
      <c r="G1173" s="134">
        <v>69</v>
      </c>
      <c r="H1173" s="134">
        <v>42</v>
      </c>
      <c r="I1173" s="200">
        <v>0.128233171842</v>
      </c>
      <c r="J1173" s="134">
        <v>42</v>
      </c>
      <c r="K1173" s="134">
        <v>327.52835632799997</v>
      </c>
      <c r="L1173" s="42">
        <v>0.91446991404</v>
      </c>
      <c r="M1173" s="42">
        <v>1</v>
      </c>
      <c r="N1173" s="134">
        <v>0</v>
      </c>
      <c r="O1173" s="43" t="s">
        <v>666</v>
      </c>
      <c r="P1173" s="43">
        <f t="shared" si="257"/>
        <v>14.211541858000707</v>
      </c>
      <c r="Q1173" s="43">
        <f t="shared" si="258"/>
        <v>7.1633240000000004E-3</v>
      </c>
      <c r="R1173" s="43">
        <f t="shared" si="259"/>
        <v>2.5787969999999999E-3</v>
      </c>
      <c r="S1173" s="43">
        <f t="shared" si="260"/>
        <v>0.91446991399999999</v>
      </c>
      <c r="T1173" s="43">
        <f t="shared" si="261"/>
        <v>4.6388888890000004</v>
      </c>
      <c r="U1173" s="43">
        <f t="shared" si="262"/>
        <v>11.56175299</v>
      </c>
      <c r="V1173" s="43">
        <f t="shared" si="263"/>
        <v>1.4104370000000001E-3</v>
      </c>
      <c r="W1173" s="230">
        <f t="shared" si="264"/>
        <v>4.2755492704656055E-2</v>
      </c>
      <c r="X1173" s="43">
        <f t="shared" si="265"/>
        <v>0.88622473000000002</v>
      </c>
      <c r="Y1173" s="43">
        <v>49.666144459999998</v>
      </c>
      <c r="Z1173" s="43">
        <f t="shared" si="254"/>
        <v>0</v>
      </c>
      <c r="AA1173" s="43">
        <f t="shared" si="255"/>
        <v>81011</v>
      </c>
      <c r="AB1173" s="43">
        <f t="shared" si="256"/>
        <v>29053</v>
      </c>
      <c r="AC1173" s="43">
        <f t="shared" si="266"/>
        <v>2.1404971853430661E-2</v>
      </c>
      <c r="AD1173" s="43">
        <f t="shared" si="267"/>
        <v>0.87688609315999988</v>
      </c>
      <c r="AF1173" s="43">
        <v>14.211541858000707</v>
      </c>
      <c r="AG1173" s="43">
        <v>7.1633240000000004E-3</v>
      </c>
      <c r="AH1173" s="43">
        <v>2.5787969999999999E-3</v>
      </c>
      <c r="AI1173" s="43">
        <v>0.91446991399999999</v>
      </c>
      <c r="AJ1173" s="43">
        <v>4.6388888890000004</v>
      </c>
      <c r="AK1173" s="43">
        <v>11.56175299</v>
      </c>
      <c r="AL1173" s="43">
        <v>1.4104370000000001E-3</v>
      </c>
      <c r="AM1173" s="230">
        <v>0</v>
      </c>
      <c r="AN1173" s="43">
        <v>0.88622473000000002</v>
      </c>
    </row>
    <row r="1174" spans="1:40" x14ac:dyDescent="0.25">
      <c r="A1174" s="134">
        <v>1164</v>
      </c>
      <c r="B1174" s="134" t="s">
        <v>206</v>
      </c>
      <c r="C1174" s="134" t="s">
        <v>205</v>
      </c>
      <c r="D1174" s="134" t="s">
        <v>62</v>
      </c>
      <c r="E1174" s="134">
        <v>195</v>
      </c>
      <c r="F1174" s="134">
        <v>603</v>
      </c>
      <c r="G1174" s="134">
        <v>34</v>
      </c>
      <c r="H1174" s="134">
        <v>0</v>
      </c>
      <c r="I1174" s="200">
        <v>6.1970743922399998E-2</v>
      </c>
      <c r="J1174" s="134">
        <v>603</v>
      </c>
      <c r="K1174" s="134">
        <v>9730.3979560900007</v>
      </c>
      <c r="L1174" s="42">
        <v>0.85633799839299996</v>
      </c>
      <c r="M1174" s="42">
        <v>0</v>
      </c>
      <c r="N1174" s="134">
        <v>0</v>
      </c>
      <c r="O1174" s="43" t="s">
        <v>666</v>
      </c>
      <c r="P1174" s="43">
        <f t="shared" si="257"/>
        <v>15.116589466149932</v>
      </c>
      <c r="Q1174" s="43">
        <f t="shared" si="258"/>
        <v>3.1320028999999999E-2</v>
      </c>
      <c r="R1174" s="43">
        <f t="shared" si="259"/>
        <v>1.4787958E-2</v>
      </c>
      <c r="S1174" s="43">
        <f t="shared" si="260"/>
        <v>0.85633799799999999</v>
      </c>
      <c r="T1174" s="43">
        <f t="shared" si="261"/>
        <v>2.7182695749999999</v>
      </c>
      <c r="U1174" s="43">
        <f t="shared" si="262"/>
        <v>9.2967296089999998</v>
      </c>
      <c r="V1174" s="43">
        <f t="shared" si="263"/>
        <v>2.2788779999999998E-3</v>
      </c>
      <c r="W1174" s="230">
        <f t="shared" si="264"/>
        <v>7.2247543085030633E-2</v>
      </c>
      <c r="X1174" s="43">
        <f t="shared" si="265"/>
        <v>0.84233015200000005</v>
      </c>
      <c r="Y1174" s="43">
        <v>160.88487710000001</v>
      </c>
      <c r="Z1174" s="43">
        <f t="shared" si="254"/>
        <v>0</v>
      </c>
      <c r="AA1174" s="43">
        <f t="shared" si="255"/>
        <v>81011</v>
      </c>
      <c r="AB1174" s="43">
        <f t="shared" si="256"/>
        <v>29053</v>
      </c>
      <c r="AC1174" s="43">
        <f t="shared" si="266"/>
        <v>2.1404971853430661E-2</v>
      </c>
      <c r="AD1174" s="43">
        <f t="shared" si="267"/>
        <v>0.87688609315999988</v>
      </c>
      <c r="AF1174" s="43">
        <v>15.116589466149932</v>
      </c>
      <c r="AG1174" s="43">
        <v>3.1320028999999999E-2</v>
      </c>
      <c r="AH1174" s="43">
        <v>1.4787958E-2</v>
      </c>
      <c r="AI1174" s="43">
        <v>0.85633799799999999</v>
      </c>
      <c r="AJ1174" s="43">
        <v>2.7182695749999999</v>
      </c>
      <c r="AK1174" s="43">
        <v>9.2967296089999998</v>
      </c>
      <c r="AL1174" s="43">
        <v>2.2788779999999998E-3</v>
      </c>
      <c r="AM1174" s="230">
        <v>7.2247543085030633E-2</v>
      </c>
      <c r="AN1174" s="43">
        <v>0.84233015200000005</v>
      </c>
    </row>
    <row r="1175" spans="1:40" x14ac:dyDescent="0.25">
      <c r="A1175" s="134">
        <v>1165</v>
      </c>
      <c r="B1175" s="134" t="s">
        <v>206</v>
      </c>
      <c r="C1175" s="134" t="s">
        <v>205</v>
      </c>
      <c r="D1175" s="134" t="s">
        <v>62</v>
      </c>
      <c r="E1175" s="134">
        <v>0</v>
      </c>
      <c r="F1175" s="134">
        <v>0</v>
      </c>
      <c r="G1175" s="134">
        <v>20</v>
      </c>
      <c r="H1175" s="134">
        <v>0</v>
      </c>
      <c r="I1175" s="200">
        <v>3.6420991660599998E-2</v>
      </c>
      <c r="J1175" s="134">
        <v>0</v>
      </c>
      <c r="K1175" s="134">
        <v>0</v>
      </c>
      <c r="L1175" s="42">
        <v>0.94478527607399998</v>
      </c>
      <c r="M1175" s="42">
        <v>0</v>
      </c>
      <c r="N1175" s="134">
        <v>0</v>
      </c>
      <c r="O1175" s="43" t="s">
        <v>666</v>
      </c>
      <c r="P1175" s="43">
        <f t="shared" si="257"/>
        <v>15.938931331497235</v>
      </c>
      <c r="Q1175" s="43">
        <f t="shared" si="258"/>
        <v>3.2208589000000003E-2</v>
      </c>
      <c r="R1175" s="43">
        <f t="shared" si="259"/>
        <v>1.9117673115942022E-2</v>
      </c>
      <c r="S1175" s="43">
        <f t="shared" si="260"/>
        <v>0.94478527599999995</v>
      </c>
      <c r="T1175" s="43">
        <f t="shared" si="261"/>
        <v>3.4268881297463767</v>
      </c>
      <c r="U1175" s="43">
        <f t="shared" si="262"/>
        <v>31.68191268</v>
      </c>
      <c r="V1175" s="43">
        <f t="shared" si="263"/>
        <v>3.5018531387596905E-3</v>
      </c>
      <c r="W1175" s="230">
        <f t="shared" si="264"/>
        <v>4.2755492704656055E-2</v>
      </c>
      <c r="X1175" s="43">
        <f t="shared" si="265"/>
        <v>0.8898048499007094</v>
      </c>
      <c r="Y1175" s="43">
        <v>105.5288563</v>
      </c>
      <c r="Z1175" s="43">
        <f t="shared" si="254"/>
        <v>0</v>
      </c>
      <c r="AA1175" s="43">
        <f t="shared" si="255"/>
        <v>81011</v>
      </c>
      <c r="AB1175" s="43">
        <f t="shared" si="256"/>
        <v>29053</v>
      </c>
      <c r="AC1175" s="43">
        <f t="shared" si="266"/>
        <v>2.1404971853430661E-2</v>
      </c>
      <c r="AD1175" s="43">
        <f t="shared" si="267"/>
        <v>0.87688609315999988</v>
      </c>
      <c r="AF1175" s="43" t="e">
        <v>#DIV/0!</v>
      </c>
      <c r="AG1175" s="43">
        <v>3.2208589000000003E-2</v>
      </c>
      <c r="AH1175" s="43">
        <v>0</v>
      </c>
      <c r="AI1175" s="43">
        <v>0.94478527599999995</v>
      </c>
      <c r="AJ1175" s="43" t="e">
        <v>#DIV/0!</v>
      </c>
      <c r="AK1175" s="43">
        <v>31.68191268</v>
      </c>
      <c r="AL1175" s="43" t="e">
        <v>#DIV/0!</v>
      </c>
      <c r="AM1175" s="230" t="e">
        <v>#DIV/0!</v>
      </c>
      <c r="AN1175" s="43" t="e">
        <v>#DIV/0!</v>
      </c>
    </row>
    <row r="1176" spans="1:40" x14ac:dyDescent="0.25">
      <c r="A1176" s="134">
        <v>1166</v>
      </c>
      <c r="B1176" s="134" t="s">
        <v>206</v>
      </c>
      <c r="C1176" s="134" t="s">
        <v>205</v>
      </c>
      <c r="D1176" s="134" t="s">
        <v>62</v>
      </c>
      <c r="E1176" s="134">
        <v>348</v>
      </c>
      <c r="F1176" s="134">
        <v>1076</v>
      </c>
      <c r="G1176" s="134">
        <v>69</v>
      </c>
      <c r="H1176" s="134">
        <v>368</v>
      </c>
      <c r="I1176" s="200">
        <v>0.12816418433099999</v>
      </c>
      <c r="J1176" s="134">
        <v>1444</v>
      </c>
      <c r="K1176" s="134">
        <v>11266.7981896</v>
      </c>
      <c r="L1176" s="42">
        <v>0.88969603011999998</v>
      </c>
      <c r="M1176" s="42">
        <v>0.513966480447</v>
      </c>
      <c r="N1176" s="134">
        <v>0</v>
      </c>
      <c r="O1176" s="43" t="s">
        <v>666</v>
      </c>
      <c r="P1176" s="43">
        <f t="shared" si="257"/>
        <v>15.666491190685537</v>
      </c>
      <c r="Q1176" s="43">
        <f t="shared" si="258"/>
        <v>2.1733754000000001E-2</v>
      </c>
      <c r="R1176" s="43">
        <f t="shared" si="259"/>
        <v>1.2664488999999999E-2</v>
      </c>
      <c r="S1176" s="43">
        <f t="shared" si="260"/>
        <v>0.88969602999999997</v>
      </c>
      <c r="T1176" s="43">
        <f t="shared" si="261"/>
        <v>2.914009944</v>
      </c>
      <c r="U1176" s="43">
        <f t="shared" si="262"/>
        <v>9.6695620390000006</v>
      </c>
      <c r="V1176" s="43">
        <f t="shared" si="263"/>
        <v>4.2883169999999998E-3</v>
      </c>
      <c r="W1176" s="230">
        <f t="shared" si="264"/>
        <v>4.8613570814147654E-2</v>
      </c>
      <c r="X1176" s="43">
        <f t="shared" si="265"/>
        <v>0.904822142</v>
      </c>
      <c r="Y1176" s="43">
        <v>105.8472532</v>
      </c>
      <c r="Z1176" s="43">
        <f t="shared" si="254"/>
        <v>0</v>
      </c>
      <c r="AA1176" s="43">
        <f t="shared" si="255"/>
        <v>81011</v>
      </c>
      <c r="AB1176" s="43">
        <f t="shared" si="256"/>
        <v>29053</v>
      </c>
      <c r="AC1176" s="43">
        <f t="shared" si="266"/>
        <v>2.1404971853430661E-2</v>
      </c>
      <c r="AD1176" s="43">
        <f t="shared" si="267"/>
        <v>0.87688609315999988</v>
      </c>
      <c r="AF1176" s="43">
        <v>15.666491190685537</v>
      </c>
      <c r="AG1176" s="43">
        <v>2.1733754000000001E-2</v>
      </c>
      <c r="AH1176" s="43">
        <v>1.2664488999999999E-2</v>
      </c>
      <c r="AI1176" s="43">
        <v>0.88969602999999997</v>
      </c>
      <c r="AJ1176" s="43">
        <v>2.914009944</v>
      </c>
      <c r="AK1176" s="43">
        <v>9.6695620390000006</v>
      </c>
      <c r="AL1176" s="43">
        <v>4.2883169999999998E-3</v>
      </c>
      <c r="AM1176" s="230">
        <v>4.8613570814147654E-2</v>
      </c>
      <c r="AN1176" s="43">
        <v>0.904822142</v>
      </c>
    </row>
    <row r="1177" spans="1:40" x14ac:dyDescent="0.25">
      <c r="A1177" s="134">
        <v>1167</v>
      </c>
      <c r="B1177" s="134" t="s">
        <v>206</v>
      </c>
      <c r="C1177" s="134" t="s">
        <v>205</v>
      </c>
      <c r="D1177" s="134" t="s">
        <v>62</v>
      </c>
      <c r="E1177" s="134">
        <v>520</v>
      </c>
      <c r="F1177" s="134">
        <v>1431</v>
      </c>
      <c r="G1177" s="134">
        <v>32</v>
      </c>
      <c r="H1177" s="134">
        <v>463</v>
      </c>
      <c r="I1177" s="200">
        <v>5.0860731533100001E-2</v>
      </c>
      <c r="J1177" s="134">
        <v>1894</v>
      </c>
      <c r="K1177" s="134">
        <v>37238.945310299998</v>
      </c>
      <c r="L1177" s="42">
        <v>0.83292663816099999</v>
      </c>
      <c r="M1177" s="42">
        <v>0.47100712105800002</v>
      </c>
      <c r="N1177" s="134">
        <v>0</v>
      </c>
      <c r="O1177" s="43" t="s">
        <v>664</v>
      </c>
      <c r="P1177" s="43">
        <f t="shared" si="257"/>
        <v>16.236432740684759</v>
      </c>
      <c r="Q1177" s="43">
        <f t="shared" si="258"/>
        <v>4.1475445E-2</v>
      </c>
      <c r="R1177" s="43">
        <f t="shared" si="259"/>
        <v>1.4655951E-2</v>
      </c>
      <c r="S1177" s="43">
        <f t="shared" si="260"/>
        <v>0.832926638</v>
      </c>
      <c r="T1177" s="43">
        <f t="shared" si="261"/>
        <v>2.9880771180000001</v>
      </c>
      <c r="U1177" s="43">
        <f t="shared" si="262"/>
        <v>9.9001837950000002</v>
      </c>
      <c r="V1177" s="43">
        <f t="shared" si="263"/>
        <v>6.9775280000000002E-3</v>
      </c>
      <c r="W1177" s="230">
        <f t="shared" si="264"/>
        <v>8.044848659833502E-2</v>
      </c>
      <c r="X1177" s="43">
        <f t="shared" si="265"/>
        <v>0.85887108400000001</v>
      </c>
      <c r="Y1177" s="43">
        <v>25.498430299999999</v>
      </c>
      <c r="Z1177" s="43">
        <f t="shared" si="254"/>
        <v>0</v>
      </c>
      <c r="AA1177" s="43">
        <f t="shared" si="255"/>
        <v>81011</v>
      </c>
      <c r="AB1177" s="43">
        <f t="shared" si="256"/>
        <v>29053</v>
      </c>
      <c r="AC1177" s="43">
        <f t="shared" si="266"/>
        <v>2.1404971853430661E-2</v>
      </c>
      <c r="AD1177" s="43">
        <f t="shared" si="267"/>
        <v>0.87688609315999988</v>
      </c>
      <c r="AF1177" s="43">
        <v>16.236432740684759</v>
      </c>
      <c r="AG1177" s="43">
        <v>4.1475445E-2</v>
      </c>
      <c r="AH1177" s="43">
        <v>1.4655951E-2</v>
      </c>
      <c r="AI1177" s="43">
        <v>0.832926638</v>
      </c>
      <c r="AJ1177" s="43">
        <v>2.9880771180000001</v>
      </c>
      <c r="AK1177" s="43">
        <v>9.9001837950000002</v>
      </c>
      <c r="AL1177" s="43">
        <v>6.9775280000000002E-3</v>
      </c>
      <c r="AM1177" s="230">
        <v>8.044848659833502E-2</v>
      </c>
      <c r="AN1177" s="43">
        <v>0.85887108400000001</v>
      </c>
    </row>
    <row r="1178" spans="1:40" x14ac:dyDescent="0.25">
      <c r="A1178" s="134">
        <v>1168</v>
      </c>
      <c r="B1178" s="134" t="s">
        <v>206</v>
      </c>
      <c r="C1178" s="134" t="s">
        <v>205</v>
      </c>
      <c r="D1178" s="134" t="s">
        <v>62</v>
      </c>
      <c r="E1178" s="134">
        <v>0</v>
      </c>
      <c r="F1178" s="134">
        <v>0</v>
      </c>
      <c r="G1178" s="134">
        <v>78</v>
      </c>
      <c r="H1178" s="134">
        <v>3244</v>
      </c>
      <c r="I1178" s="200">
        <v>0.123726703046</v>
      </c>
      <c r="J1178" s="134">
        <v>3244</v>
      </c>
      <c r="K1178" s="134">
        <v>26219.077370800002</v>
      </c>
      <c r="L1178" s="42">
        <v>0.88384157081799997</v>
      </c>
      <c r="M1178" s="42">
        <v>1</v>
      </c>
      <c r="N1178" s="134">
        <v>1</v>
      </c>
      <c r="O1178" s="43" t="s">
        <v>664</v>
      </c>
      <c r="P1178" s="43">
        <f t="shared" si="257"/>
        <v>16.463021621908783</v>
      </c>
      <c r="Q1178" s="43">
        <f t="shared" si="258"/>
        <v>1.8923457000000001E-2</v>
      </c>
      <c r="R1178" s="43">
        <f t="shared" si="259"/>
        <v>7.3454649999999998E-3</v>
      </c>
      <c r="S1178" s="43">
        <f t="shared" si="260"/>
        <v>0.88384157100000005</v>
      </c>
      <c r="T1178" s="43">
        <f t="shared" si="261"/>
        <v>3.0018204100000001</v>
      </c>
      <c r="U1178" s="43">
        <f t="shared" si="262"/>
        <v>7.7720227419999999</v>
      </c>
      <c r="V1178" s="43">
        <f t="shared" si="263"/>
        <v>3.6013529999999998E-3</v>
      </c>
      <c r="W1178" s="230">
        <f t="shared" si="264"/>
        <v>4.9678346862611272E-2</v>
      </c>
      <c r="X1178" s="43">
        <f t="shared" si="265"/>
        <v>0.92352932600000004</v>
      </c>
      <c r="Y1178" s="43">
        <v>25.498430299999999</v>
      </c>
      <c r="Z1178" s="43">
        <f t="shared" si="254"/>
        <v>0</v>
      </c>
      <c r="AA1178" s="43">
        <f t="shared" si="255"/>
        <v>81011</v>
      </c>
      <c r="AB1178" s="43">
        <f t="shared" si="256"/>
        <v>29053</v>
      </c>
      <c r="AC1178" s="43">
        <f t="shared" si="266"/>
        <v>2.1404971853430661E-2</v>
      </c>
      <c r="AD1178" s="43">
        <f t="shared" si="267"/>
        <v>0.87688609315999988</v>
      </c>
      <c r="AF1178" s="43">
        <v>16.463021621908783</v>
      </c>
      <c r="AG1178" s="43">
        <v>1.8923457000000001E-2</v>
      </c>
      <c r="AH1178" s="43">
        <v>7.3454649999999998E-3</v>
      </c>
      <c r="AI1178" s="43">
        <v>0.88384157100000005</v>
      </c>
      <c r="AJ1178" s="43">
        <v>3.0018204100000001</v>
      </c>
      <c r="AK1178" s="43">
        <v>7.7720227419999999</v>
      </c>
      <c r="AL1178" s="43">
        <v>3.6013529999999998E-3</v>
      </c>
      <c r="AM1178" s="230">
        <v>4.9678346862611272E-2</v>
      </c>
      <c r="AN1178" s="43">
        <v>0.92352932600000004</v>
      </c>
    </row>
    <row r="1179" spans="1:40" x14ac:dyDescent="0.25">
      <c r="A1179" s="134">
        <v>1169</v>
      </c>
      <c r="B1179" s="134" t="s">
        <v>206</v>
      </c>
      <c r="C1179" s="134" t="s">
        <v>205</v>
      </c>
      <c r="D1179" s="134" t="s">
        <v>62</v>
      </c>
      <c r="E1179" s="134">
        <v>0</v>
      </c>
      <c r="F1179" s="134">
        <v>0</v>
      </c>
      <c r="G1179" s="134">
        <v>38</v>
      </c>
      <c r="H1179" s="134">
        <v>1672</v>
      </c>
      <c r="I1179" s="200">
        <v>7.4012341713500004E-2</v>
      </c>
      <c r="J1179" s="134">
        <v>1672</v>
      </c>
      <c r="K1179" s="134">
        <v>22590.8268985</v>
      </c>
      <c r="L1179" s="42">
        <v>0.88410426686400001</v>
      </c>
      <c r="M1179" s="42">
        <v>1</v>
      </c>
      <c r="N1179" s="134">
        <v>0</v>
      </c>
      <c r="O1179" s="43" t="s">
        <v>664</v>
      </c>
      <c r="P1179" s="43">
        <f t="shared" si="257"/>
        <v>16.394632785343298</v>
      </c>
      <c r="Q1179" s="43">
        <f t="shared" si="258"/>
        <v>1.7329553000000001E-2</v>
      </c>
      <c r="R1179" s="43">
        <f t="shared" si="259"/>
        <v>7.1390159999999998E-3</v>
      </c>
      <c r="S1179" s="43">
        <f t="shared" si="260"/>
        <v>0.884104267</v>
      </c>
      <c r="T1179" s="43">
        <f t="shared" si="261"/>
        <v>3.0465912080000002</v>
      </c>
      <c r="U1179" s="43">
        <f t="shared" si="262"/>
        <v>8.3627781310000007</v>
      </c>
      <c r="V1179" s="43">
        <f t="shared" si="263"/>
        <v>3.2637439999999998E-3</v>
      </c>
      <c r="W1179" s="230">
        <f t="shared" si="264"/>
        <v>4.0782735918068767E-2</v>
      </c>
      <c r="X1179" s="43">
        <f t="shared" si="265"/>
        <v>0.91344043699999999</v>
      </c>
      <c r="Y1179" s="43">
        <v>25.168507210000001</v>
      </c>
      <c r="Z1179" s="43">
        <f t="shared" si="254"/>
        <v>0</v>
      </c>
      <c r="AA1179" s="43">
        <f t="shared" si="255"/>
        <v>81011</v>
      </c>
      <c r="AB1179" s="43">
        <f t="shared" si="256"/>
        <v>29053</v>
      </c>
      <c r="AC1179" s="43">
        <f t="shared" si="266"/>
        <v>2.1404971853430661E-2</v>
      </c>
      <c r="AD1179" s="43">
        <f t="shared" si="267"/>
        <v>0.87688609315999988</v>
      </c>
      <c r="AF1179" s="43">
        <v>16.394632785343298</v>
      </c>
      <c r="AG1179" s="43">
        <v>1.7329553000000001E-2</v>
      </c>
      <c r="AH1179" s="43">
        <v>7.1390159999999998E-3</v>
      </c>
      <c r="AI1179" s="43">
        <v>0.884104267</v>
      </c>
      <c r="AJ1179" s="43">
        <v>3.0465912080000002</v>
      </c>
      <c r="AK1179" s="43">
        <v>8.3627781310000007</v>
      </c>
      <c r="AL1179" s="43">
        <v>3.2637439999999998E-3</v>
      </c>
      <c r="AM1179" s="230">
        <v>4.0782735918068767E-2</v>
      </c>
      <c r="AN1179" s="43">
        <v>0.91344043699999999</v>
      </c>
    </row>
    <row r="1180" spans="1:40" x14ac:dyDescent="0.25">
      <c r="A1180" s="134">
        <v>1170</v>
      </c>
      <c r="B1180" s="134" t="s">
        <v>206</v>
      </c>
      <c r="C1180" s="134" t="s">
        <v>205</v>
      </c>
      <c r="D1180" s="134" t="s">
        <v>62</v>
      </c>
      <c r="E1180" s="134">
        <v>0</v>
      </c>
      <c r="F1180" s="134">
        <v>0</v>
      </c>
      <c r="G1180" s="134">
        <v>35</v>
      </c>
      <c r="H1180" s="134">
        <v>1674</v>
      </c>
      <c r="I1180" s="200">
        <v>4.1132096696999999E-2</v>
      </c>
      <c r="J1180" s="134">
        <v>1674</v>
      </c>
      <c r="K1180" s="134">
        <v>40698.144136199997</v>
      </c>
      <c r="L1180" s="42">
        <v>0.88837248764999999</v>
      </c>
      <c r="M1180" s="42">
        <v>1</v>
      </c>
      <c r="N1180" s="134">
        <v>1</v>
      </c>
      <c r="O1180" s="43" t="s">
        <v>664</v>
      </c>
      <c r="P1180" s="43">
        <f t="shared" si="257"/>
        <v>16.482503213605721</v>
      </c>
      <c r="Q1180" s="43">
        <f t="shared" si="258"/>
        <v>2.0620435999999999E-2</v>
      </c>
      <c r="R1180" s="43">
        <f t="shared" si="259"/>
        <v>6.5456209999999997E-3</v>
      </c>
      <c r="S1180" s="43">
        <f t="shared" si="260"/>
        <v>0.88837248800000002</v>
      </c>
      <c r="T1180" s="43">
        <f t="shared" si="261"/>
        <v>3.277417807</v>
      </c>
      <c r="U1180" s="43">
        <f t="shared" si="262"/>
        <v>9.1279679169999994</v>
      </c>
      <c r="V1180" s="43">
        <f t="shared" si="263"/>
        <v>3.1198179999999999E-3</v>
      </c>
      <c r="W1180" s="230">
        <f t="shared" si="264"/>
        <v>4.2047275077995445E-2</v>
      </c>
      <c r="X1180" s="43">
        <f t="shared" si="265"/>
        <v>0.930492706</v>
      </c>
      <c r="Y1180" s="43">
        <v>23.60836621</v>
      </c>
      <c r="Z1180" s="43">
        <f t="shared" si="254"/>
        <v>0</v>
      </c>
      <c r="AA1180" s="43">
        <f t="shared" si="255"/>
        <v>81011</v>
      </c>
      <c r="AB1180" s="43">
        <f t="shared" si="256"/>
        <v>29053</v>
      </c>
      <c r="AC1180" s="43">
        <f t="shared" si="266"/>
        <v>2.1404971853430661E-2</v>
      </c>
      <c r="AD1180" s="43">
        <f t="shared" si="267"/>
        <v>0.87688609315999988</v>
      </c>
      <c r="AF1180" s="43">
        <v>16.482503213605721</v>
      </c>
      <c r="AG1180" s="43">
        <v>2.0620435999999999E-2</v>
      </c>
      <c r="AH1180" s="43">
        <v>6.5456209999999997E-3</v>
      </c>
      <c r="AI1180" s="43">
        <v>0.88837248800000002</v>
      </c>
      <c r="AJ1180" s="43">
        <v>3.277417807</v>
      </c>
      <c r="AK1180" s="43">
        <v>9.1279679169999994</v>
      </c>
      <c r="AL1180" s="43">
        <v>3.1198179999999999E-3</v>
      </c>
      <c r="AM1180" s="230">
        <v>4.2047275077995445E-2</v>
      </c>
      <c r="AN1180" s="43">
        <v>0.930492706</v>
      </c>
    </row>
    <row r="1181" spans="1:40" x14ac:dyDescent="0.25">
      <c r="A1181" s="134">
        <v>1171</v>
      </c>
      <c r="B1181" s="134" t="s">
        <v>206</v>
      </c>
      <c r="C1181" s="134" t="s">
        <v>205</v>
      </c>
      <c r="D1181" s="134" t="s">
        <v>62</v>
      </c>
      <c r="E1181" s="134">
        <v>0</v>
      </c>
      <c r="F1181" s="134">
        <v>0</v>
      </c>
      <c r="G1181" s="134">
        <v>26</v>
      </c>
      <c r="H1181" s="134">
        <v>1456</v>
      </c>
      <c r="I1181" s="200">
        <v>4.1558288874600002E-2</v>
      </c>
      <c r="J1181" s="134">
        <v>1456</v>
      </c>
      <c r="K1181" s="134">
        <v>35035.128717500003</v>
      </c>
      <c r="L1181" s="42">
        <v>0.88022717617299995</v>
      </c>
      <c r="M1181" s="42">
        <v>1</v>
      </c>
      <c r="N1181" s="134">
        <v>1</v>
      </c>
      <c r="O1181" s="43" t="s">
        <v>664</v>
      </c>
      <c r="P1181" s="43">
        <f t="shared" si="257"/>
        <v>16.723588457070772</v>
      </c>
      <c r="Q1181" s="43">
        <f t="shared" si="258"/>
        <v>3.0150034999999999E-2</v>
      </c>
      <c r="R1181" s="43">
        <f t="shared" si="259"/>
        <v>6.1757929999999997E-3</v>
      </c>
      <c r="S1181" s="43">
        <f t="shared" si="260"/>
        <v>0.880227176</v>
      </c>
      <c r="T1181" s="43">
        <f t="shared" si="261"/>
        <v>3.4222062520000001</v>
      </c>
      <c r="U1181" s="43">
        <f t="shared" si="262"/>
        <v>9.5411876190000005</v>
      </c>
      <c r="V1181" s="43">
        <f t="shared" si="263"/>
        <v>2.8936779999999998E-3</v>
      </c>
      <c r="W1181" s="230">
        <f t="shared" si="264"/>
        <v>5.7356245655442208E-2</v>
      </c>
      <c r="X1181" s="43">
        <f t="shared" si="265"/>
        <v>0.91624500900000005</v>
      </c>
      <c r="Y1181" s="43">
        <v>24.665485329999999</v>
      </c>
      <c r="Z1181" s="43">
        <f t="shared" si="254"/>
        <v>0</v>
      </c>
      <c r="AA1181" s="43">
        <f t="shared" si="255"/>
        <v>81011</v>
      </c>
      <c r="AB1181" s="43">
        <f t="shared" si="256"/>
        <v>29053</v>
      </c>
      <c r="AC1181" s="43">
        <f t="shared" si="266"/>
        <v>2.1404971853430661E-2</v>
      </c>
      <c r="AD1181" s="43">
        <f t="shared" si="267"/>
        <v>0.87688609315999988</v>
      </c>
      <c r="AF1181" s="43">
        <v>16.723588457070772</v>
      </c>
      <c r="AG1181" s="43">
        <v>3.0150034999999999E-2</v>
      </c>
      <c r="AH1181" s="43">
        <v>6.1757929999999997E-3</v>
      </c>
      <c r="AI1181" s="43">
        <v>0.880227176</v>
      </c>
      <c r="AJ1181" s="43">
        <v>3.4222062520000001</v>
      </c>
      <c r="AK1181" s="43">
        <v>9.5411876190000005</v>
      </c>
      <c r="AL1181" s="43">
        <v>2.8936779999999998E-3</v>
      </c>
      <c r="AM1181" s="230">
        <v>5.7356245655442208E-2</v>
      </c>
      <c r="AN1181" s="43">
        <v>0.91624500900000005</v>
      </c>
    </row>
    <row r="1182" spans="1:40" x14ac:dyDescent="0.25">
      <c r="A1182" s="134">
        <v>1172</v>
      </c>
      <c r="B1182" s="134" t="s">
        <v>206</v>
      </c>
      <c r="C1182" s="134" t="s">
        <v>205</v>
      </c>
      <c r="D1182" s="134" t="s">
        <v>62</v>
      </c>
      <c r="E1182" s="134">
        <v>0</v>
      </c>
      <c r="F1182" s="134">
        <v>0</v>
      </c>
      <c r="G1182" s="134">
        <v>92</v>
      </c>
      <c r="H1182" s="134">
        <v>1678</v>
      </c>
      <c r="I1182" s="200">
        <v>9.1267838040899996E-2</v>
      </c>
      <c r="J1182" s="134">
        <v>1678</v>
      </c>
      <c r="K1182" s="134">
        <v>18385.447009799998</v>
      </c>
      <c r="L1182" s="42">
        <v>0.88764385221099995</v>
      </c>
      <c r="M1182" s="42">
        <v>1</v>
      </c>
      <c r="N1182" s="134">
        <v>1</v>
      </c>
      <c r="O1182" s="43" t="s">
        <v>664</v>
      </c>
      <c r="P1182" s="43">
        <f t="shared" si="257"/>
        <v>16.612448073835509</v>
      </c>
      <c r="Q1182" s="43">
        <f t="shared" si="258"/>
        <v>2.8844392999999999E-2</v>
      </c>
      <c r="R1182" s="43">
        <f t="shared" si="259"/>
        <v>6.6027639999999997E-3</v>
      </c>
      <c r="S1182" s="43">
        <f t="shared" si="260"/>
        <v>0.88764385199999996</v>
      </c>
      <c r="T1182" s="43">
        <f t="shared" si="261"/>
        <v>3.4042553189999998</v>
      </c>
      <c r="U1182" s="43">
        <f t="shared" si="262"/>
        <v>9.5975863130000008</v>
      </c>
      <c r="V1182" s="43">
        <f t="shared" si="263"/>
        <v>3.3022350000000002E-3</v>
      </c>
      <c r="W1182" s="230">
        <f t="shared" si="264"/>
        <v>4.5399020068460971E-2</v>
      </c>
      <c r="X1182" s="43">
        <f t="shared" si="265"/>
        <v>0.92564601700000004</v>
      </c>
      <c r="Y1182" s="43">
        <v>25.499426880000001</v>
      </c>
      <c r="Z1182" s="43">
        <f t="shared" si="254"/>
        <v>0</v>
      </c>
      <c r="AA1182" s="43">
        <f t="shared" si="255"/>
        <v>81011</v>
      </c>
      <c r="AB1182" s="43">
        <f t="shared" si="256"/>
        <v>29053</v>
      </c>
      <c r="AC1182" s="43">
        <f t="shared" si="266"/>
        <v>2.1404971853430661E-2</v>
      </c>
      <c r="AD1182" s="43">
        <f t="shared" si="267"/>
        <v>0.87688609315999988</v>
      </c>
      <c r="AF1182" s="43">
        <v>16.612448073835509</v>
      </c>
      <c r="AG1182" s="43">
        <v>2.8844392999999999E-2</v>
      </c>
      <c r="AH1182" s="43">
        <v>6.6027639999999997E-3</v>
      </c>
      <c r="AI1182" s="43">
        <v>0.88764385199999996</v>
      </c>
      <c r="AJ1182" s="43">
        <v>3.4042553189999998</v>
      </c>
      <c r="AK1182" s="43">
        <v>9.5975863130000008</v>
      </c>
      <c r="AL1182" s="43">
        <v>3.3022350000000002E-3</v>
      </c>
      <c r="AM1182" s="230">
        <v>4.5399020068460971E-2</v>
      </c>
      <c r="AN1182" s="43">
        <v>0.92564601700000004</v>
      </c>
    </row>
    <row r="1183" spans="1:40" x14ac:dyDescent="0.25">
      <c r="A1183" s="134">
        <v>1173</v>
      </c>
      <c r="B1183" s="134" t="s">
        <v>206</v>
      </c>
      <c r="C1183" s="134" t="s">
        <v>205</v>
      </c>
      <c r="D1183" s="134" t="s">
        <v>62</v>
      </c>
      <c r="E1183" s="134">
        <v>1021</v>
      </c>
      <c r="F1183" s="134">
        <v>2811</v>
      </c>
      <c r="G1183" s="134">
        <v>222</v>
      </c>
      <c r="H1183" s="134">
        <v>1</v>
      </c>
      <c r="I1183" s="200">
        <v>0.350721121154</v>
      </c>
      <c r="J1183" s="134">
        <v>2812</v>
      </c>
      <c r="K1183" s="134">
        <v>8017.7663402400003</v>
      </c>
      <c r="L1183" s="42">
        <v>0.85525615104099995</v>
      </c>
      <c r="M1183" s="42">
        <v>9.7847358121299992E-4</v>
      </c>
      <c r="N1183" s="134">
        <v>0</v>
      </c>
      <c r="O1183" s="43" t="s">
        <v>666</v>
      </c>
      <c r="P1183" s="43">
        <f t="shared" si="257"/>
        <v>16.61552491221109</v>
      </c>
      <c r="Q1183" s="43">
        <f t="shared" si="258"/>
        <v>3.1418732999999997E-2</v>
      </c>
      <c r="R1183" s="43">
        <f t="shared" si="259"/>
        <v>1.2803838999999999E-2</v>
      </c>
      <c r="S1183" s="43">
        <f t="shared" si="260"/>
        <v>0.85525615099999996</v>
      </c>
      <c r="T1183" s="43">
        <f t="shared" si="261"/>
        <v>2.796987503</v>
      </c>
      <c r="U1183" s="43">
        <f t="shared" si="262"/>
        <v>10.222945080000001</v>
      </c>
      <c r="V1183" s="43">
        <f t="shared" si="263"/>
        <v>2.04544E-4</v>
      </c>
      <c r="W1183" s="230">
        <f t="shared" si="264"/>
        <v>7.6090291474906854E-2</v>
      </c>
      <c r="X1183" s="43">
        <f t="shared" si="265"/>
        <v>0.89323544499999996</v>
      </c>
      <c r="Y1183" s="43">
        <v>148.10547679999999</v>
      </c>
      <c r="Z1183" s="43">
        <f t="shared" si="254"/>
        <v>0</v>
      </c>
      <c r="AA1183" s="43">
        <f t="shared" si="255"/>
        <v>81011</v>
      </c>
      <c r="AB1183" s="43">
        <f t="shared" si="256"/>
        <v>29053</v>
      </c>
      <c r="AC1183" s="43">
        <f t="shared" si="266"/>
        <v>2.1404971853430661E-2</v>
      </c>
      <c r="AD1183" s="43">
        <f t="shared" si="267"/>
        <v>0.87688609315999988</v>
      </c>
      <c r="AF1183" s="43">
        <v>16.61552491221109</v>
      </c>
      <c r="AG1183" s="43">
        <v>3.1418732999999997E-2</v>
      </c>
      <c r="AH1183" s="43">
        <v>1.2803838999999999E-2</v>
      </c>
      <c r="AI1183" s="43">
        <v>0.85525615099999996</v>
      </c>
      <c r="AJ1183" s="43">
        <v>2.796987503</v>
      </c>
      <c r="AK1183" s="43">
        <v>10.222945080000001</v>
      </c>
      <c r="AL1183" s="43">
        <v>2.04544E-4</v>
      </c>
      <c r="AM1183" s="230">
        <v>7.6090291474906854E-2</v>
      </c>
      <c r="AN1183" s="43">
        <v>0.89323544499999996</v>
      </c>
    </row>
    <row r="1184" spans="1:40" x14ac:dyDescent="0.25">
      <c r="A1184" s="134">
        <v>1174</v>
      </c>
      <c r="B1184" s="134" t="s">
        <v>206</v>
      </c>
      <c r="C1184" s="134" t="s">
        <v>205</v>
      </c>
      <c r="D1184" s="134" t="s">
        <v>62</v>
      </c>
      <c r="E1184" s="134">
        <v>477</v>
      </c>
      <c r="F1184" s="134">
        <v>1314</v>
      </c>
      <c r="G1184" s="134">
        <v>124</v>
      </c>
      <c r="H1184" s="134">
        <v>262</v>
      </c>
      <c r="I1184" s="200">
        <v>0.19640008862800001</v>
      </c>
      <c r="J1184" s="134">
        <v>1576</v>
      </c>
      <c r="K1184" s="134">
        <v>8024.4362974100004</v>
      </c>
      <c r="L1184" s="42">
        <v>0.90838331640000003</v>
      </c>
      <c r="M1184" s="42">
        <v>0.354533152909</v>
      </c>
      <c r="N1184" s="134">
        <v>0</v>
      </c>
      <c r="O1184" s="43" t="s">
        <v>666</v>
      </c>
      <c r="P1184" s="43">
        <f t="shared" si="257"/>
        <v>16.48935598422289</v>
      </c>
      <c r="Q1184" s="43">
        <f t="shared" si="258"/>
        <v>1.8463075999999998E-2</v>
      </c>
      <c r="R1184" s="43">
        <f t="shared" si="259"/>
        <v>1.1945305999999999E-2</v>
      </c>
      <c r="S1184" s="43">
        <f t="shared" si="260"/>
        <v>0.908383316</v>
      </c>
      <c r="T1184" s="43">
        <f t="shared" si="261"/>
        <v>3.1384268400000002</v>
      </c>
      <c r="U1184" s="43">
        <f t="shared" si="262"/>
        <v>10.946063260000001</v>
      </c>
      <c r="V1184" s="43">
        <f t="shared" si="263"/>
        <v>2.9869620000000001E-3</v>
      </c>
      <c r="W1184" s="230">
        <f t="shared" si="264"/>
        <v>4.4433785374787427E-2</v>
      </c>
      <c r="X1184" s="43">
        <f t="shared" si="265"/>
        <v>0.92773514099999999</v>
      </c>
      <c r="Y1184" s="43">
        <v>120.67395260000001</v>
      </c>
      <c r="Z1184" s="43">
        <f t="shared" si="254"/>
        <v>0</v>
      </c>
      <c r="AA1184" s="43">
        <f t="shared" si="255"/>
        <v>81011</v>
      </c>
      <c r="AB1184" s="43">
        <f t="shared" si="256"/>
        <v>29053</v>
      </c>
      <c r="AC1184" s="43">
        <f t="shared" si="266"/>
        <v>2.1404971853430661E-2</v>
      </c>
      <c r="AD1184" s="43">
        <f t="shared" si="267"/>
        <v>0.87688609315999988</v>
      </c>
      <c r="AF1184" s="43">
        <v>16.48935598422289</v>
      </c>
      <c r="AG1184" s="43">
        <v>1.8463075999999998E-2</v>
      </c>
      <c r="AH1184" s="43">
        <v>1.1945305999999999E-2</v>
      </c>
      <c r="AI1184" s="43">
        <v>0.908383316</v>
      </c>
      <c r="AJ1184" s="43">
        <v>3.1384268400000002</v>
      </c>
      <c r="AK1184" s="43">
        <v>10.946063260000001</v>
      </c>
      <c r="AL1184" s="43">
        <v>2.9869620000000001E-3</v>
      </c>
      <c r="AM1184" s="230">
        <v>4.4433785374787427E-2</v>
      </c>
      <c r="AN1184" s="43">
        <v>0.92773514099999999</v>
      </c>
    </row>
    <row r="1185" spans="1:40" x14ac:dyDescent="0.25">
      <c r="A1185" s="134">
        <v>1175</v>
      </c>
      <c r="B1185" s="134" t="s">
        <v>206</v>
      </c>
      <c r="C1185" s="134" t="s">
        <v>205</v>
      </c>
      <c r="D1185" s="134" t="s">
        <v>62</v>
      </c>
      <c r="E1185" s="134">
        <v>507</v>
      </c>
      <c r="F1185" s="134">
        <v>1396</v>
      </c>
      <c r="G1185" s="134">
        <v>156</v>
      </c>
      <c r="H1185" s="134">
        <v>402</v>
      </c>
      <c r="I1185" s="200">
        <v>0.24583057141299999</v>
      </c>
      <c r="J1185" s="134">
        <v>1798</v>
      </c>
      <c r="K1185" s="134">
        <v>7313.9804771400004</v>
      </c>
      <c r="L1185" s="42">
        <v>0.91383295421599997</v>
      </c>
      <c r="M1185" s="42">
        <v>0.44224422442200001</v>
      </c>
      <c r="N1185" s="134">
        <v>0</v>
      </c>
      <c r="O1185" s="43" t="s">
        <v>666</v>
      </c>
      <c r="P1185" s="43">
        <f t="shared" si="257"/>
        <v>16.825327150959122</v>
      </c>
      <c r="Q1185" s="43">
        <f t="shared" si="258"/>
        <v>1.9290720000000001E-2</v>
      </c>
      <c r="R1185" s="43">
        <f t="shared" si="259"/>
        <v>1.1913958000000001E-2</v>
      </c>
      <c r="S1185" s="43">
        <f t="shared" si="260"/>
        <v>0.91383295399999998</v>
      </c>
      <c r="T1185" s="43">
        <f t="shared" si="261"/>
        <v>3.3184213910000002</v>
      </c>
      <c r="U1185" s="43">
        <f t="shared" si="262"/>
        <v>11.267634429999999</v>
      </c>
      <c r="V1185" s="43">
        <f t="shared" si="263"/>
        <v>3.0369709999999999E-3</v>
      </c>
      <c r="W1185" s="230">
        <f t="shared" si="264"/>
        <v>4.7237351760945546E-2</v>
      </c>
      <c r="X1185" s="43">
        <f t="shared" si="265"/>
        <v>0.92641567700000005</v>
      </c>
      <c r="Y1185" s="43">
        <v>114.8149998</v>
      </c>
      <c r="Z1185" s="43">
        <f t="shared" si="254"/>
        <v>0</v>
      </c>
      <c r="AA1185" s="43">
        <f t="shared" si="255"/>
        <v>81011</v>
      </c>
      <c r="AB1185" s="43">
        <f t="shared" si="256"/>
        <v>29053</v>
      </c>
      <c r="AC1185" s="43">
        <f t="shared" si="266"/>
        <v>2.1404971853430661E-2</v>
      </c>
      <c r="AD1185" s="43">
        <f t="shared" si="267"/>
        <v>0.87688609315999988</v>
      </c>
      <c r="AF1185" s="43">
        <v>16.825327150959122</v>
      </c>
      <c r="AG1185" s="43">
        <v>1.9290720000000001E-2</v>
      </c>
      <c r="AH1185" s="43">
        <v>1.1913958000000001E-2</v>
      </c>
      <c r="AI1185" s="43">
        <v>0.91383295399999998</v>
      </c>
      <c r="AJ1185" s="43">
        <v>3.3184213910000002</v>
      </c>
      <c r="AK1185" s="43">
        <v>11.267634429999999</v>
      </c>
      <c r="AL1185" s="43">
        <v>3.0369709999999999E-3</v>
      </c>
      <c r="AM1185" s="230">
        <v>4.7237351760945546E-2</v>
      </c>
      <c r="AN1185" s="43">
        <v>0.92641567700000005</v>
      </c>
    </row>
    <row r="1186" spans="1:40" x14ac:dyDescent="0.25">
      <c r="A1186" s="134">
        <v>1176</v>
      </c>
      <c r="B1186" s="134" t="s">
        <v>206</v>
      </c>
      <c r="C1186" s="134" t="s">
        <v>205</v>
      </c>
      <c r="D1186" s="134" t="s">
        <v>62</v>
      </c>
      <c r="E1186" s="134">
        <v>6</v>
      </c>
      <c r="F1186" s="134">
        <v>17</v>
      </c>
      <c r="G1186" s="134">
        <v>46</v>
      </c>
      <c r="H1186" s="134">
        <v>0</v>
      </c>
      <c r="I1186" s="200">
        <v>7.28688017869E-2</v>
      </c>
      <c r="J1186" s="134">
        <v>17</v>
      </c>
      <c r="K1186" s="134">
        <v>233.29600025100001</v>
      </c>
      <c r="L1186" s="42">
        <v>0.83375314861500005</v>
      </c>
      <c r="M1186" s="42">
        <v>0</v>
      </c>
      <c r="N1186" s="134">
        <v>0</v>
      </c>
      <c r="O1186" s="43" t="s">
        <v>665</v>
      </c>
      <c r="P1186" s="43">
        <f t="shared" si="257"/>
        <v>14.823611647627983</v>
      </c>
      <c r="Q1186" s="43">
        <f t="shared" si="258"/>
        <v>2.4685138999999998E-2</v>
      </c>
      <c r="R1186" s="43">
        <f t="shared" si="259"/>
        <v>1.2594457999999999E-2</v>
      </c>
      <c r="S1186" s="43">
        <f t="shared" si="260"/>
        <v>0.83375314899999997</v>
      </c>
      <c r="T1186" s="43">
        <f t="shared" si="261"/>
        <v>3.9555555560000002</v>
      </c>
      <c r="U1186" s="43">
        <f t="shared" si="262"/>
        <v>8.6388499299999992</v>
      </c>
      <c r="V1186" s="43">
        <f t="shared" si="263"/>
        <v>3.5018531387596905E-3</v>
      </c>
      <c r="W1186" s="230">
        <f t="shared" si="264"/>
        <v>7.2784810126582278E-2</v>
      </c>
      <c r="X1186" s="43">
        <f t="shared" si="265"/>
        <v>0.72468354400000001</v>
      </c>
      <c r="Y1186" s="43">
        <v>56.073445800000002</v>
      </c>
      <c r="Z1186" s="43">
        <f t="shared" si="254"/>
        <v>0</v>
      </c>
      <c r="AA1186" s="43">
        <f t="shared" si="255"/>
        <v>81011</v>
      </c>
      <c r="AB1186" s="43">
        <f t="shared" si="256"/>
        <v>29053</v>
      </c>
      <c r="AC1186" s="43">
        <f t="shared" si="266"/>
        <v>2.1404971853430661E-2</v>
      </c>
      <c r="AD1186" s="43">
        <f t="shared" si="267"/>
        <v>0.87688609315999988</v>
      </c>
      <c r="AF1186" s="43">
        <v>14.823611647627983</v>
      </c>
      <c r="AG1186" s="43">
        <v>2.4685138999999998E-2</v>
      </c>
      <c r="AH1186" s="43">
        <v>1.2594457999999999E-2</v>
      </c>
      <c r="AI1186" s="43">
        <v>0.83375314899999997</v>
      </c>
      <c r="AJ1186" s="43">
        <v>3.9555555560000002</v>
      </c>
      <c r="AK1186" s="43">
        <v>8.6388499299999992</v>
      </c>
      <c r="AL1186" s="43">
        <v>0</v>
      </c>
      <c r="AM1186" s="230">
        <v>7.2784810126582278E-2</v>
      </c>
      <c r="AN1186" s="43">
        <v>0.72468354400000001</v>
      </c>
    </row>
    <row r="1187" spans="1:40" x14ac:dyDescent="0.25">
      <c r="A1187" s="134">
        <v>1177</v>
      </c>
      <c r="B1187" s="134" t="s">
        <v>206</v>
      </c>
      <c r="C1187" s="134" t="s">
        <v>205</v>
      </c>
      <c r="D1187" s="134" t="s">
        <v>62</v>
      </c>
      <c r="E1187" s="134">
        <v>0</v>
      </c>
      <c r="F1187" s="134">
        <v>0</v>
      </c>
      <c r="G1187" s="134">
        <v>243</v>
      </c>
      <c r="H1187" s="134">
        <v>175</v>
      </c>
      <c r="I1187" s="200">
        <v>0.381998055537</v>
      </c>
      <c r="J1187" s="134">
        <v>175</v>
      </c>
      <c r="K1187" s="134">
        <v>458.11751516300001</v>
      </c>
      <c r="L1187" s="42">
        <v>0.95983653925500001</v>
      </c>
      <c r="M1187" s="42">
        <v>1</v>
      </c>
      <c r="N1187" s="134">
        <v>0</v>
      </c>
      <c r="O1187" s="43" t="s">
        <v>665</v>
      </c>
      <c r="P1187" s="43">
        <f t="shared" si="257"/>
        <v>17.713587884664118</v>
      </c>
      <c r="Q1187" s="43">
        <f t="shared" si="258"/>
        <v>2.1597879613138693E-2</v>
      </c>
      <c r="R1187" s="43">
        <f t="shared" si="259"/>
        <v>4.9120780000000003E-3</v>
      </c>
      <c r="S1187" s="43">
        <f t="shared" si="260"/>
        <v>0.95983653899999999</v>
      </c>
      <c r="T1187" s="43">
        <f t="shared" si="261"/>
        <v>5.8127659569999999</v>
      </c>
      <c r="U1187" s="43">
        <f t="shared" si="262"/>
        <v>13.15211502</v>
      </c>
      <c r="V1187" s="43">
        <f t="shared" si="263"/>
        <v>1.5934670000000001E-3</v>
      </c>
      <c r="W1187" s="230">
        <f t="shared" si="264"/>
        <v>4.2755492704656055E-2</v>
      </c>
      <c r="X1187" s="43">
        <f t="shared" si="265"/>
        <v>0.93924907899999999</v>
      </c>
      <c r="Y1187" s="43">
        <v>54.191424230000003</v>
      </c>
      <c r="Z1187" s="43">
        <f t="shared" si="254"/>
        <v>0</v>
      </c>
      <c r="AA1187" s="43">
        <f t="shared" si="255"/>
        <v>81011</v>
      </c>
      <c r="AB1187" s="43">
        <f t="shared" si="256"/>
        <v>29053</v>
      </c>
      <c r="AC1187" s="43">
        <f t="shared" si="266"/>
        <v>2.1404971853430661E-2</v>
      </c>
      <c r="AD1187" s="43">
        <f t="shared" si="267"/>
        <v>0.87688609315999988</v>
      </c>
      <c r="AF1187" s="43">
        <v>17.713587884664118</v>
      </c>
      <c r="AG1187" s="43">
        <v>0</v>
      </c>
      <c r="AH1187" s="43">
        <v>4.9120780000000003E-3</v>
      </c>
      <c r="AI1187" s="43">
        <v>0.95983653899999999</v>
      </c>
      <c r="AJ1187" s="43">
        <v>5.8127659569999999</v>
      </c>
      <c r="AK1187" s="43">
        <v>13.15211502</v>
      </c>
      <c r="AL1187" s="43">
        <v>1.5934670000000001E-3</v>
      </c>
      <c r="AM1187" s="230">
        <v>0</v>
      </c>
      <c r="AN1187" s="43">
        <v>0.93924907899999999</v>
      </c>
    </row>
    <row r="1188" spans="1:40" x14ac:dyDescent="0.25">
      <c r="A1188" s="134">
        <v>1178</v>
      </c>
      <c r="B1188" s="134" t="s">
        <v>206</v>
      </c>
      <c r="C1188" s="134" t="s">
        <v>205</v>
      </c>
      <c r="D1188" s="134" t="s">
        <v>62</v>
      </c>
      <c r="E1188" s="134">
        <v>260</v>
      </c>
      <c r="F1188" s="134">
        <v>716</v>
      </c>
      <c r="G1188" s="134">
        <v>203</v>
      </c>
      <c r="H1188" s="134">
        <v>1</v>
      </c>
      <c r="I1188" s="200">
        <v>0.31991974394400002</v>
      </c>
      <c r="J1188" s="134">
        <v>717</v>
      </c>
      <c r="K1188" s="134">
        <v>2241.18709012</v>
      </c>
      <c r="L1188" s="42">
        <v>0.94248427594999995</v>
      </c>
      <c r="M1188" s="42">
        <v>3.8314176245200001E-3</v>
      </c>
      <c r="N1188" s="134">
        <v>0</v>
      </c>
      <c r="O1188" s="43" t="s">
        <v>665</v>
      </c>
      <c r="P1188" s="43">
        <f t="shared" si="257"/>
        <v>19.06234903560885</v>
      </c>
      <c r="Q1188" s="43">
        <f t="shared" si="258"/>
        <v>1.4364467000000001E-2</v>
      </c>
      <c r="R1188" s="43">
        <f t="shared" si="259"/>
        <v>1.1934574999999999E-2</v>
      </c>
      <c r="S1188" s="43">
        <f t="shared" si="260"/>
        <v>0.94248427599999995</v>
      </c>
      <c r="T1188" s="43">
        <f t="shared" si="261"/>
        <v>4.8867728530000001</v>
      </c>
      <c r="U1188" s="43">
        <f t="shared" si="262"/>
        <v>16.142829670000001</v>
      </c>
      <c r="V1188" s="43">
        <f t="shared" si="263"/>
        <v>5.6509899999999999E-5</v>
      </c>
      <c r="W1188" s="230">
        <f t="shared" si="264"/>
        <v>3.9359177215189868E-2</v>
      </c>
      <c r="X1188" s="43">
        <f t="shared" si="265"/>
        <v>0.93125565099999996</v>
      </c>
      <c r="Y1188" s="43">
        <v>54.687366500000003</v>
      </c>
      <c r="Z1188" s="43">
        <f t="shared" si="254"/>
        <v>0</v>
      </c>
      <c r="AA1188" s="43">
        <f t="shared" si="255"/>
        <v>81011</v>
      </c>
      <c r="AB1188" s="43">
        <f t="shared" si="256"/>
        <v>29053</v>
      </c>
      <c r="AC1188" s="43">
        <f t="shared" si="266"/>
        <v>2.1404971853430661E-2</v>
      </c>
      <c r="AD1188" s="43">
        <f t="shared" si="267"/>
        <v>0.87688609315999988</v>
      </c>
      <c r="AF1188" s="43">
        <v>19.06234903560885</v>
      </c>
      <c r="AG1188" s="43">
        <v>1.4364467000000001E-2</v>
      </c>
      <c r="AH1188" s="43">
        <v>1.1934574999999999E-2</v>
      </c>
      <c r="AI1188" s="43">
        <v>0.94248427599999995</v>
      </c>
      <c r="AJ1188" s="43">
        <v>4.8867728530000001</v>
      </c>
      <c r="AK1188" s="43">
        <v>16.142829670000001</v>
      </c>
      <c r="AL1188" s="201">
        <v>5.6509899999999999E-5</v>
      </c>
      <c r="AM1188" s="230">
        <v>3.9359177215189868E-2</v>
      </c>
      <c r="AN1188" s="43">
        <v>0.93125565099999996</v>
      </c>
    </row>
    <row r="1189" spans="1:40" x14ac:dyDescent="0.25">
      <c r="A1189" s="134">
        <v>1179</v>
      </c>
      <c r="B1189" s="134" t="s">
        <v>206</v>
      </c>
      <c r="C1189" s="134" t="s">
        <v>205</v>
      </c>
      <c r="D1189" s="134" t="s">
        <v>62</v>
      </c>
      <c r="E1189" s="134">
        <v>113</v>
      </c>
      <c r="F1189" s="134">
        <v>310</v>
      </c>
      <c r="G1189" s="134">
        <v>168</v>
      </c>
      <c r="H1189" s="134">
        <v>0</v>
      </c>
      <c r="I1189" s="200">
        <v>0.26497624192800001</v>
      </c>
      <c r="J1189" s="134">
        <v>310</v>
      </c>
      <c r="K1189" s="134">
        <v>1169.9162073699999</v>
      </c>
      <c r="L1189" s="42">
        <v>0.92796931956299999</v>
      </c>
      <c r="M1189" s="42">
        <v>0</v>
      </c>
      <c r="N1189" s="134">
        <v>0</v>
      </c>
      <c r="O1189" s="43" t="s">
        <v>665</v>
      </c>
      <c r="P1189" s="43">
        <f t="shared" si="257"/>
        <v>17.727192013197211</v>
      </c>
      <c r="Q1189" s="43">
        <f t="shared" si="258"/>
        <v>1.7181803999999998E-2</v>
      </c>
      <c r="R1189" s="43">
        <f t="shared" si="259"/>
        <v>1.2131683000000001E-2</v>
      </c>
      <c r="S1189" s="43">
        <f t="shared" si="260"/>
        <v>0.92796931999999999</v>
      </c>
      <c r="T1189" s="43">
        <f t="shared" si="261"/>
        <v>3.9498432600000002</v>
      </c>
      <c r="U1189" s="43">
        <f t="shared" si="262"/>
        <v>13.587443609999999</v>
      </c>
      <c r="V1189" s="43">
        <f t="shared" si="263"/>
        <v>4.6434500000000001E-4</v>
      </c>
      <c r="W1189" s="230">
        <f t="shared" si="264"/>
        <v>4.7429519071310121E-2</v>
      </c>
      <c r="X1189" s="43">
        <f t="shared" si="265"/>
        <v>0.89028192399999995</v>
      </c>
      <c r="Y1189" s="43">
        <v>54.374772139999997</v>
      </c>
      <c r="Z1189" s="43">
        <f t="shared" si="254"/>
        <v>0</v>
      </c>
      <c r="AA1189" s="43">
        <f t="shared" si="255"/>
        <v>81011</v>
      </c>
      <c r="AB1189" s="43">
        <f t="shared" si="256"/>
        <v>29053</v>
      </c>
      <c r="AC1189" s="43">
        <f t="shared" si="266"/>
        <v>2.1404971853430661E-2</v>
      </c>
      <c r="AD1189" s="43">
        <f t="shared" si="267"/>
        <v>0.87688609315999988</v>
      </c>
      <c r="AF1189" s="43">
        <v>17.727192013197211</v>
      </c>
      <c r="AG1189" s="43">
        <v>1.7181803999999998E-2</v>
      </c>
      <c r="AH1189" s="43">
        <v>1.2131683000000001E-2</v>
      </c>
      <c r="AI1189" s="43">
        <v>0.92796931999999999</v>
      </c>
      <c r="AJ1189" s="43">
        <v>3.9498432600000002</v>
      </c>
      <c r="AK1189" s="43">
        <v>13.587443609999999</v>
      </c>
      <c r="AL1189" s="43">
        <v>4.6434500000000001E-4</v>
      </c>
      <c r="AM1189" s="230">
        <v>4.7429519071310121E-2</v>
      </c>
      <c r="AN1189" s="43">
        <v>0.89028192399999995</v>
      </c>
    </row>
    <row r="1190" spans="1:40" x14ac:dyDescent="0.25">
      <c r="A1190" s="134">
        <v>1180</v>
      </c>
      <c r="B1190" s="134" t="s">
        <v>206</v>
      </c>
      <c r="C1190" s="134" t="s">
        <v>205</v>
      </c>
      <c r="D1190" s="134" t="s">
        <v>62</v>
      </c>
      <c r="E1190" s="134">
        <v>117</v>
      </c>
      <c r="F1190" s="134">
        <v>321</v>
      </c>
      <c r="G1190" s="134">
        <v>34</v>
      </c>
      <c r="H1190" s="134">
        <v>0</v>
      </c>
      <c r="I1190" s="200">
        <v>5.4521550246999999E-2</v>
      </c>
      <c r="J1190" s="134">
        <v>321</v>
      </c>
      <c r="K1190" s="134">
        <v>5887.58020536</v>
      </c>
      <c r="L1190" s="42">
        <v>0.892180945542</v>
      </c>
      <c r="M1190" s="42">
        <v>0</v>
      </c>
      <c r="N1190" s="134">
        <v>0</v>
      </c>
      <c r="O1190" s="43" t="s">
        <v>666</v>
      </c>
      <c r="P1190" s="43">
        <f t="shared" si="257"/>
        <v>17.47532821370234</v>
      </c>
      <c r="Q1190" s="43">
        <f t="shared" si="258"/>
        <v>2.7965685000000001E-2</v>
      </c>
      <c r="R1190" s="43">
        <f t="shared" si="259"/>
        <v>1.1866521E-2</v>
      </c>
      <c r="S1190" s="43">
        <f t="shared" si="260"/>
        <v>0.89218094599999997</v>
      </c>
      <c r="T1190" s="43">
        <f t="shared" si="261"/>
        <v>3.624018838</v>
      </c>
      <c r="U1190" s="43">
        <f t="shared" si="262"/>
        <v>12.78439024</v>
      </c>
      <c r="V1190" s="43">
        <f t="shared" si="263"/>
        <v>6.5560900000000003E-4</v>
      </c>
      <c r="W1190" s="230">
        <f t="shared" si="264"/>
        <v>6.7921064708581919E-2</v>
      </c>
      <c r="X1190" s="43">
        <f t="shared" si="265"/>
        <v>0.85832295300000006</v>
      </c>
      <c r="Y1190" s="43">
        <v>54.512269230000001</v>
      </c>
      <c r="Z1190" s="43">
        <f t="shared" si="254"/>
        <v>0</v>
      </c>
      <c r="AA1190" s="43">
        <f t="shared" si="255"/>
        <v>81011</v>
      </c>
      <c r="AB1190" s="43">
        <f t="shared" si="256"/>
        <v>29053</v>
      </c>
      <c r="AC1190" s="43">
        <f t="shared" si="266"/>
        <v>2.1404971853430661E-2</v>
      </c>
      <c r="AD1190" s="43">
        <f t="shared" si="267"/>
        <v>0.87688609315999988</v>
      </c>
      <c r="AF1190" s="43">
        <v>17.47532821370234</v>
      </c>
      <c r="AG1190" s="43">
        <v>2.7965685000000001E-2</v>
      </c>
      <c r="AH1190" s="43">
        <v>1.1866521E-2</v>
      </c>
      <c r="AI1190" s="43">
        <v>0.89218094599999997</v>
      </c>
      <c r="AJ1190" s="43">
        <v>3.624018838</v>
      </c>
      <c r="AK1190" s="43">
        <v>12.78439024</v>
      </c>
      <c r="AL1190" s="43">
        <v>6.5560900000000003E-4</v>
      </c>
      <c r="AM1190" s="230">
        <v>6.7921064708581919E-2</v>
      </c>
      <c r="AN1190" s="43">
        <v>0.85832295300000006</v>
      </c>
    </row>
    <row r="1191" spans="1:40" x14ac:dyDescent="0.25">
      <c r="A1191" s="134">
        <v>1181</v>
      </c>
      <c r="B1191" s="134" t="s">
        <v>206</v>
      </c>
      <c r="C1191" s="134" t="s">
        <v>205</v>
      </c>
      <c r="D1191" s="134" t="s">
        <v>62</v>
      </c>
      <c r="E1191" s="134">
        <v>380</v>
      </c>
      <c r="F1191" s="134">
        <v>1024</v>
      </c>
      <c r="G1191" s="134">
        <v>685</v>
      </c>
      <c r="H1191" s="134">
        <v>0</v>
      </c>
      <c r="I1191" s="200">
        <v>1.09312975181</v>
      </c>
      <c r="J1191" s="134">
        <v>1024</v>
      </c>
      <c r="K1191" s="134">
        <v>936.759792973</v>
      </c>
      <c r="L1191" s="42">
        <v>0.93844078155999999</v>
      </c>
      <c r="M1191" s="42">
        <v>0</v>
      </c>
      <c r="N1191" s="134">
        <v>0</v>
      </c>
      <c r="O1191" s="43" t="s">
        <v>665</v>
      </c>
      <c r="P1191" s="43">
        <f t="shared" si="257"/>
        <v>19.264915962715261</v>
      </c>
      <c r="Q1191" s="43">
        <f t="shared" si="258"/>
        <v>1.3004323999999999E-2</v>
      </c>
      <c r="R1191" s="43">
        <f t="shared" si="259"/>
        <v>2.3391528000000002E-2</v>
      </c>
      <c r="S1191" s="43">
        <f t="shared" si="260"/>
        <v>0.93844078200000003</v>
      </c>
      <c r="T1191" s="43">
        <f t="shared" si="261"/>
        <v>4.0312463699999999</v>
      </c>
      <c r="U1191" s="43">
        <f t="shared" si="262"/>
        <v>16.756616619999999</v>
      </c>
      <c r="V1191" s="43">
        <f t="shared" si="263"/>
        <v>9.1635000000000002E-4</v>
      </c>
      <c r="W1191" s="230">
        <f t="shared" si="264"/>
        <v>3.7963084173321116E-2</v>
      </c>
      <c r="X1191" s="43">
        <f t="shared" si="265"/>
        <v>0.94212032199999995</v>
      </c>
      <c r="Y1191" s="43">
        <v>5.2884669569999998</v>
      </c>
      <c r="Z1191" s="43">
        <f t="shared" si="254"/>
        <v>0</v>
      </c>
      <c r="AA1191" s="43">
        <f t="shared" si="255"/>
        <v>81011</v>
      </c>
      <c r="AB1191" s="43">
        <f t="shared" si="256"/>
        <v>29053</v>
      </c>
      <c r="AC1191" s="43">
        <f t="shared" si="266"/>
        <v>2.1404971853430661E-2</v>
      </c>
      <c r="AD1191" s="43">
        <f t="shared" si="267"/>
        <v>0.87688609315999988</v>
      </c>
      <c r="AF1191" s="43">
        <v>19.264915962715261</v>
      </c>
      <c r="AG1191" s="43">
        <v>1.3004323999999999E-2</v>
      </c>
      <c r="AH1191" s="43">
        <v>2.3391528000000002E-2</v>
      </c>
      <c r="AI1191" s="43">
        <v>0.93844078200000003</v>
      </c>
      <c r="AJ1191" s="43">
        <v>4.0312463699999999</v>
      </c>
      <c r="AK1191" s="43">
        <v>16.756616619999999</v>
      </c>
      <c r="AL1191" s="43">
        <v>9.1635000000000002E-4</v>
      </c>
      <c r="AM1191" s="230">
        <v>3.7963084173321116E-2</v>
      </c>
      <c r="AN1191" s="43">
        <v>0.94212032199999995</v>
      </c>
    </row>
    <row r="1192" spans="1:40" x14ac:dyDescent="0.25">
      <c r="A1192" s="134">
        <v>1182</v>
      </c>
      <c r="B1192" s="134" t="s">
        <v>206</v>
      </c>
      <c r="C1192" s="134" t="s">
        <v>205</v>
      </c>
      <c r="D1192" s="134" t="s">
        <v>62</v>
      </c>
      <c r="E1192" s="134">
        <v>124</v>
      </c>
      <c r="F1192" s="134">
        <v>333</v>
      </c>
      <c r="G1192" s="134">
        <v>318</v>
      </c>
      <c r="H1192" s="134">
        <v>0</v>
      </c>
      <c r="I1192" s="200">
        <v>0.50712553310800002</v>
      </c>
      <c r="J1192" s="134">
        <v>333</v>
      </c>
      <c r="K1192" s="134">
        <v>656.64214924999999</v>
      </c>
      <c r="L1192" s="42">
        <v>0.899066664603</v>
      </c>
      <c r="M1192" s="42">
        <v>0</v>
      </c>
      <c r="N1192" s="134">
        <v>0</v>
      </c>
      <c r="O1192" s="43" t="s">
        <v>665</v>
      </c>
      <c r="P1192" s="43">
        <f t="shared" si="257"/>
        <v>19.494182366551261</v>
      </c>
      <c r="Q1192" s="43">
        <f t="shared" si="258"/>
        <v>1.598898E-2</v>
      </c>
      <c r="R1192" s="43">
        <f t="shared" si="259"/>
        <v>4.9700497000000003E-2</v>
      </c>
      <c r="S1192" s="43">
        <f t="shared" si="260"/>
        <v>0.89906666499999999</v>
      </c>
      <c r="T1192" s="43">
        <f t="shared" si="261"/>
        <v>3.875679876</v>
      </c>
      <c r="U1192" s="43">
        <f t="shared" si="262"/>
        <v>16.843511929999998</v>
      </c>
      <c r="V1192" s="43">
        <f t="shared" si="263"/>
        <v>3.4158799999999998E-4</v>
      </c>
      <c r="W1192" s="230">
        <f t="shared" si="264"/>
        <v>5.1579846285226306E-2</v>
      </c>
      <c r="X1192" s="43">
        <f t="shared" si="265"/>
        <v>0.89877597499999995</v>
      </c>
      <c r="Y1192" s="43">
        <v>5.3021598000000001</v>
      </c>
      <c r="Z1192" s="43">
        <f t="shared" si="254"/>
        <v>0</v>
      </c>
      <c r="AA1192" s="43">
        <f t="shared" si="255"/>
        <v>81011</v>
      </c>
      <c r="AB1192" s="43">
        <f t="shared" si="256"/>
        <v>29053</v>
      </c>
      <c r="AC1192" s="43">
        <f t="shared" si="266"/>
        <v>2.1404971853430661E-2</v>
      </c>
      <c r="AD1192" s="43">
        <f t="shared" si="267"/>
        <v>0.87688609315999988</v>
      </c>
      <c r="AF1192" s="43">
        <v>19.494182366551261</v>
      </c>
      <c r="AG1192" s="43">
        <v>1.598898E-2</v>
      </c>
      <c r="AH1192" s="43">
        <v>4.9700497000000003E-2</v>
      </c>
      <c r="AI1192" s="43">
        <v>0.89906666499999999</v>
      </c>
      <c r="AJ1192" s="43">
        <v>3.875679876</v>
      </c>
      <c r="AK1192" s="43">
        <v>16.843511929999998</v>
      </c>
      <c r="AL1192" s="43">
        <v>3.4158799999999998E-4</v>
      </c>
      <c r="AM1192" s="230">
        <v>5.1579846285226306E-2</v>
      </c>
      <c r="AN1192" s="43">
        <v>0.89877597499999995</v>
      </c>
    </row>
    <row r="1193" spans="1:40" x14ac:dyDescent="0.25">
      <c r="A1193" s="134">
        <v>1183</v>
      </c>
      <c r="B1193" s="134" t="s">
        <v>206</v>
      </c>
      <c r="C1193" s="134" t="s">
        <v>205</v>
      </c>
      <c r="D1193" s="134" t="s">
        <v>62</v>
      </c>
      <c r="E1193" s="134">
        <v>65</v>
      </c>
      <c r="F1193" s="134">
        <v>176</v>
      </c>
      <c r="G1193" s="134">
        <v>2009</v>
      </c>
      <c r="H1193" s="134">
        <v>3</v>
      </c>
      <c r="I1193" s="200">
        <v>3.2052073535300001</v>
      </c>
      <c r="J1193" s="134">
        <v>179</v>
      </c>
      <c r="K1193" s="134">
        <v>55.846620906699997</v>
      </c>
      <c r="L1193" s="42">
        <v>0.87879208415400001</v>
      </c>
      <c r="M1193" s="42">
        <v>4.4117647058800002E-2</v>
      </c>
      <c r="N1193" s="134">
        <v>0</v>
      </c>
      <c r="O1193" s="43" t="s">
        <v>665</v>
      </c>
      <c r="P1193" s="43">
        <f t="shared" si="257"/>
        <v>20.36229581517059</v>
      </c>
      <c r="Q1193" s="43">
        <f t="shared" si="258"/>
        <v>1.9983902000000001E-2</v>
      </c>
      <c r="R1193" s="43">
        <f t="shared" si="259"/>
        <v>6.7889754999999996E-2</v>
      </c>
      <c r="S1193" s="43">
        <f t="shared" si="260"/>
        <v>0.87879208399999997</v>
      </c>
      <c r="T1193" s="43">
        <f t="shared" si="261"/>
        <v>4.7456552849999998</v>
      </c>
      <c r="U1193" s="43">
        <f t="shared" si="262"/>
        <v>18.315339819999998</v>
      </c>
      <c r="V1193" s="43">
        <f t="shared" si="263"/>
        <v>3.5018531387596905E-3</v>
      </c>
      <c r="W1193" s="230">
        <f t="shared" si="264"/>
        <v>7.1619812583668008E-2</v>
      </c>
      <c r="X1193" s="43">
        <f t="shared" si="265"/>
        <v>0.85140562200000003</v>
      </c>
      <c r="Y1193" s="43">
        <v>3.9404845989999999</v>
      </c>
      <c r="Z1193" s="43">
        <f t="shared" si="254"/>
        <v>0</v>
      </c>
      <c r="AA1193" s="43">
        <f t="shared" si="255"/>
        <v>81011</v>
      </c>
      <c r="AB1193" s="43">
        <f t="shared" si="256"/>
        <v>29053</v>
      </c>
      <c r="AC1193" s="43">
        <f t="shared" si="266"/>
        <v>2.1404971853430661E-2</v>
      </c>
      <c r="AD1193" s="43">
        <f t="shared" si="267"/>
        <v>0.87688609315999988</v>
      </c>
      <c r="AF1193" s="43">
        <v>20.36229581517059</v>
      </c>
      <c r="AG1193" s="43">
        <v>1.9983902000000001E-2</v>
      </c>
      <c r="AH1193" s="43">
        <v>6.7889754999999996E-2</v>
      </c>
      <c r="AI1193" s="43">
        <v>0.87879208399999997</v>
      </c>
      <c r="AJ1193" s="43">
        <v>4.7456552849999998</v>
      </c>
      <c r="AK1193" s="43">
        <v>18.315339819999998</v>
      </c>
      <c r="AL1193" s="43">
        <v>0</v>
      </c>
      <c r="AM1193" s="230">
        <v>7.1619812583668008E-2</v>
      </c>
      <c r="AN1193" s="43">
        <v>0.85140562200000003</v>
      </c>
    </row>
    <row r="1194" spans="1:40" x14ac:dyDescent="0.25">
      <c r="A1194" s="134">
        <v>1184</v>
      </c>
      <c r="B1194" s="134" t="s">
        <v>206</v>
      </c>
      <c r="C1194" s="134" t="s">
        <v>205</v>
      </c>
      <c r="D1194" s="134" t="s">
        <v>62</v>
      </c>
      <c r="E1194" s="134">
        <v>0</v>
      </c>
      <c r="F1194" s="134">
        <v>0</v>
      </c>
      <c r="G1194" s="134">
        <v>26</v>
      </c>
      <c r="H1194" s="134">
        <v>0</v>
      </c>
      <c r="I1194" s="200">
        <v>4.17683394661E-2</v>
      </c>
      <c r="J1194" s="134">
        <v>0</v>
      </c>
      <c r="K1194" s="134">
        <v>0</v>
      </c>
      <c r="L1194" s="42">
        <v>0.47462235649500001</v>
      </c>
      <c r="M1194" s="42">
        <v>0</v>
      </c>
      <c r="N1194" s="134">
        <v>0</v>
      </c>
      <c r="O1194" s="43" t="s">
        <v>666</v>
      </c>
      <c r="P1194" s="43">
        <f t="shared" si="257"/>
        <v>15.938931331497235</v>
      </c>
      <c r="Q1194" s="43">
        <f t="shared" si="258"/>
        <v>2.1597879613138693E-2</v>
      </c>
      <c r="R1194" s="43">
        <f t="shared" si="259"/>
        <v>0.39743202399999999</v>
      </c>
      <c r="S1194" s="43">
        <f t="shared" si="260"/>
        <v>0.47462235600000002</v>
      </c>
      <c r="T1194" s="43">
        <f t="shared" si="261"/>
        <v>3.190376965</v>
      </c>
      <c r="U1194" s="43">
        <f t="shared" si="262"/>
        <v>7.728109656</v>
      </c>
      <c r="V1194" s="43">
        <f t="shared" si="263"/>
        <v>3.5018531387596905E-3</v>
      </c>
      <c r="W1194" s="230">
        <f t="shared" si="264"/>
        <v>4.2755492704656055E-2</v>
      </c>
      <c r="X1194" s="43">
        <f t="shared" si="265"/>
        <v>0.8898048499007094</v>
      </c>
      <c r="Y1194" s="43">
        <v>5.7487176699999996</v>
      </c>
      <c r="Z1194" s="43">
        <f t="shared" si="254"/>
        <v>0</v>
      </c>
      <c r="AA1194" s="43">
        <f t="shared" si="255"/>
        <v>81011</v>
      </c>
      <c r="AB1194" s="43">
        <f t="shared" si="256"/>
        <v>29053</v>
      </c>
      <c r="AC1194" s="43">
        <f t="shared" si="266"/>
        <v>2.1404971853430661E-2</v>
      </c>
      <c r="AD1194" s="43">
        <f t="shared" si="267"/>
        <v>0.87688609315999988</v>
      </c>
      <c r="AF1194" s="43" t="e">
        <v>#DIV/0!</v>
      </c>
      <c r="AG1194" s="43">
        <v>0</v>
      </c>
      <c r="AH1194" s="43">
        <v>0.39743202399999999</v>
      </c>
      <c r="AI1194" s="43">
        <v>0.47462235600000002</v>
      </c>
      <c r="AJ1194" s="43">
        <v>3.190376965</v>
      </c>
      <c r="AK1194" s="43">
        <v>7.728109656</v>
      </c>
      <c r="AL1194" s="43" t="e">
        <v>#DIV/0!</v>
      </c>
      <c r="AM1194" s="230" t="e">
        <v>#DIV/0!</v>
      </c>
      <c r="AN1194" s="43" t="e">
        <v>#DIV/0!</v>
      </c>
    </row>
    <row r="1195" spans="1:40" x14ac:dyDescent="0.25">
      <c r="A1195" s="134">
        <v>1185</v>
      </c>
      <c r="B1195" s="134" t="s">
        <v>206</v>
      </c>
      <c r="C1195" s="134" t="s">
        <v>205</v>
      </c>
      <c r="D1195" s="134" t="s">
        <v>62</v>
      </c>
      <c r="E1195" s="134">
        <v>4</v>
      </c>
      <c r="F1195" s="134">
        <v>11</v>
      </c>
      <c r="G1195" s="134">
        <v>76</v>
      </c>
      <c r="H1195" s="134">
        <v>59</v>
      </c>
      <c r="I1195" s="200">
        <v>0.120596372087</v>
      </c>
      <c r="J1195" s="134">
        <v>70</v>
      </c>
      <c r="K1195" s="134">
        <v>580.44863861800002</v>
      </c>
      <c r="L1195" s="42">
        <v>0.77604135360899995</v>
      </c>
      <c r="M1195" s="42">
        <v>0.93650793650800002</v>
      </c>
      <c r="N1195" s="134">
        <v>0</v>
      </c>
      <c r="O1195" s="43" t="s">
        <v>666</v>
      </c>
      <c r="P1195" s="43">
        <f t="shared" si="257"/>
        <v>17.24204846434489</v>
      </c>
      <c r="Q1195" s="43">
        <f t="shared" si="258"/>
        <v>6.6117699999999999E-4</v>
      </c>
      <c r="R1195" s="43">
        <f t="shared" si="259"/>
        <v>0.15988459499999999</v>
      </c>
      <c r="S1195" s="43">
        <f t="shared" si="260"/>
        <v>0.77604135399999996</v>
      </c>
      <c r="T1195" s="43">
        <f t="shared" si="261"/>
        <v>3.5800638259999999</v>
      </c>
      <c r="U1195" s="43">
        <f t="shared" si="262"/>
        <v>11.819032760000001</v>
      </c>
      <c r="V1195" s="43">
        <f t="shared" si="263"/>
        <v>7.1977E-4</v>
      </c>
      <c r="W1195" s="230">
        <f t="shared" si="264"/>
        <v>2.6391554702495201E-3</v>
      </c>
      <c r="X1195" s="43">
        <f t="shared" si="265"/>
        <v>0.893714012</v>
      </c>
      <c r="Y1195" s="43">
        <v>5.4516307429999999</v>
      </c>
      <c r="Z1195" s="43">
        <f t="shared" si="254"/>
        <v>0</v>
      </c>
      <c r="AA1195" s="43">
        <f t="shared" si="255"/>
        <v>81011</v>
      </c>
      <c r="AB1195" s="43">
        <f t="shared" si="256"/>
        <v>29053</v>
      </c>
      <c r="AC1195" s="43">
        <f t="shared" si="266"/>
        <v>2.1404971853430661E-2</v>
      </c>
      <c r="AD1195" s="43">
        <f t="shared" si="267"/>
        <v>0.87688609315999988</v>
      </c>
      <c r="AF1195" s="43">
        <v>17.24204846434489</v>
      </c>
      <c r="AG1195" s="43">
        <v>6.6117699999999999E-4</v>
      </c>
      <c r="AH1195" s="43">
        <v>0.15988459499999999</v>
      </c>
      <c r="AI1195" s="43">
        <v>0.77604135399999996</v>
      </c>
      <c r="AJ1195" s="43">
        <v>3.5800638259999999</v>
      </c>
      <c r="AK1195" s="43">
        <v>11.819032760000001</v>
      </c>
      <c r="AL1195" s="43">
        <v>7.1977E-4</v>
      </c>
      <c r="AM1195" s="230">
        <v>2.6391554702495201E-3</v>
      </c>
      <c r="AN1195" s="43">
        <v>0.893714012</v>
      </c>
    </row>
    <row r="1196" spans="1:40" x14ac:dyDescent="0.25">
      <c r="A1196" s="134">
        <v>1186</v>
      </c>
      <c r="B1196" s="134" t="s">
        <v>206</v>
      </c>
      <c r="C1196" s="134" t="s">
        <v>205</v>
      </c>
      <c r="D1196" s="134" t="s">
        <v>62</v>
      </c>
      <c r="E1196" s="134">
        <v>151</v>
      </c>
      <c r="F1196" s="134">
        <v>408</v>
      </c>
      <c r="G1196" s="134">
        <v>763</v>
      </c>
      <c r="H1196" s="134">
        <v>0</v>
      </c>
      <c r="I1196" s="200">
        <v>1.2174060841800001</v>
      </c>
      <c r="J1196" s="134">
        <v>408</v>
      </c>
      <c r="K1196" s="134">
        <v>335.13878836499998</v>
      </c>
      <c r="L1196" s="42">
        <v>0.91261580841699996</v>
      </c>
      <c r="M1196" s="42">
        <v>0</v>
      </c>
      <c r="N1196" s="134">
        <v>0</v>
      </c>
      <c r="O1196" s="43" t="s">
        <v>665</v>
      </c>
      <c r="P1196" s="43">
        <f t="shared" si="257"/>
        <v>18.692842136121563</v>
      </c>
      <c r="Q1196" s="43">
        <f t="shared" si="258"/>
        <v>1.2721059E-2</v>
      </c>
      <c r="R1196" s="43">
        <f t="shared" si="259"/>
        <v>4.3438714000000003E-2</v>
      </c>
      <c r="S1196" s="43">
        <f t="shared" si="260"/>
        <v>0.91261580799999997</v>
      </c>
      <c r="T1196" s="43">
        <f t="shared" si="261"/>
        <v>3.852107395</v>
      </c>
      <c r="U1196" s="43">
        <f t="shared" si="262"/>
        <v>15.183709909999999</v>
      </c>
      <c r="V1196" s="43">
        <f t="shared" si="263"/>
        <v>6.15793E-4</v>
      </c>
      <c r="W1196" s="230">
        <f t="shared" si="264"/>
        <v>3.7326512244801283E-2</v>
      </c>
      <c r="X1196" s="43">
        <f t="shared" si="265"/>
        <v>0.91876272999999997</v>
      </c>
      <c r="Y1196" s="43">
        <v>5.1431864310000002</v>
      </c>
      <c r="Z1196" s="43">
        <f t="shared" si="254"/>
        <v>0</v>
      </c>
      <c r="AA1196" s="43">
        <f t="shared" si="255"/>
        <v>81011</v>
      </c>
      <c r="AB1196" s="43">
        <f t="shared" si="256"/>
        <v>29053</v>
      </c>
      <c r="AC1196" s="43">
        <f t="shared" si="266"/>
        <v>2.1404971853430661E-2</v>
      </c>
      <c r="AD1196" s="43">
        <f t="shared" si="267"/>
        <v>0.87688609315999988</v>
      </c>
      <c r="AF1196" s="43">
        <v>18.692842136121563</v>
      </c>
      <c r="AG1196" s="43">
        <v>1.2721059E-2</v>
      </c>
      <c r="AH1196" s="43">
        <v>4.3438714000000003E-2</v>
      </c>
      <c r="AI1196" s="43">
        <v>0.91261580799999997</v>
      </c>
      <c r="AJ1196" s="43">
        <v>3.852107395</v>
      </c>
      <c r="AK1196" s="43">
        <v>15.183709909999999</v>
      </c>
      <c r="AL1196" s="43">
        <v>6.15793E-4</v>
      </c>
      <c r="AM1196" s="230">
        <v>3.7326512244801283E-2</v>
      </c>
      <c r="AN1196" s="43">
        <v>0.91876272999999997</v>
      </c>
    </row>
    <row r="1197" spans="1:40" x14ac:dyDescent="0.25">
      <c r="A1197" s="134">
        <v>1187</v>
      </c>
      <c r="B1197" s="134" t="s">
        <v>206</v>
      </c>
      <c r="C1197" s="134" t="s">
        <v>205</v>
      </c>
      <c r="D1197" s="134" t="s">
        <v>62</v>
      </c>
      <c r="E1197" s="134">
        <v>18</v>
      </c>
      <c r="F1197" s="134">
        <v>48</v>
      </c>
      <c r="G1197" s="134">
        <v>370</v>
      </c>
      <c r="H1197" s="134">
        <v>0</v>
      </c>
      <c r="I1197" s="200">
        <v>0.58978098050000005</v>
      </c>
      <c r="J1197" s="134">
        <v>48</v>
      </c>
      <c r="K1197" s="134">
        <v>81.386144326500002</v>
      </c>
      <c r="L1197" s="42">
        <v>0.661885871224</v>
      </c>
      <c r="M1197" s="42">
        <v>0</v>
      </c>
      <c r="N1197" s="134">
        <v>0</v>
      </c>
      <c r="O1197" s="43" t="s">
        <v>666</v>
      </c>
      <c r="P1197" s="43">
        <f t="shared" si="257"/>
        <v>16.201883294133804</v>
      </c>
      <c r="Q1197" s="43">
        <f t="shared" si="258"/>
        <v>1.9758926E-2</v>
      </c>
      <c r="R1197" s="43">
        <f t="shared" si="259"/>
        <v>0.20628623700000001</v>
      </c>
      <c r="S1197" s="43">
        <f t="shared" si="260"/>
        <v>0.66188587099999996</v>
      </c>
      <c r="T1197" s="43">
        <f t="shared" si="261"/>
        <v>3.1044333150000001</v>
      </c>
      <c r="U1197" s="43">
        <f t="shared" si="262"/>
        <v>8.8805236179999998</v>
      </c>
      <c r="V1197" s="43">
        <f t="shared" si="263"/>
        <v>3.5018531387596905E-3</v>
      </c>
      <c r="W1197" s="230">
        <f t="shared" si="264"/>
        <v>7.3622623110677715E-2</v>
      </c>
      <c r="X1197" s="43">
        <f t="shared" si="265"/>
        <v>0.77669429499999998</v>
      </c>
      <c r="Y1197" s="43">
        <v>5.5285013960000002</v>
      </c>
      <c r="Z1197" s="43">
        <f t="shared" si="254"/>
        <v>0</v>
      </c>
      <c r="AA1197" s="43">
        <f t="shared" si="255"/>
        <v>81011</v>
      </c>
      <c r="AB1197" s="43">
        <f t="shared" si="256"/>
        <v>29053</v>
      </c>
      <c r="AC1197" s="43">
        <f t="shared" si="266"/>
        <v>2.1404971853430661E-2</v>
      </c>
      <c r="AD1197" s="43">
        <f t="shared" si="267"/>
        <v>0.87688609315999988</v>
      </c>
      <c r="AF1197" s="43">
        <v>16.201883294133804</v>
      </c>
      <c r="AG1197" s="43">
        <v>1.9758926E-2</v>
      </c>
      <c r="AH1197" s="43">
        <v>0.20628623700000001</v>
      </c>
      <c r="AI1197" s="43">
        <v>0.66188587099999996</v>
      </c>
      <c r="AJ1197" s="43">
        <v>3.1044333150000001</v>
      </c>
      <c r="AK1197" s="43">
        <v>8.8805236179999998</v>
      </c>
      <c r="AL1197" s="43">
        <v>0</v>
      </c>
      <c r="AM1197" s="230">
        <v>7.3622623110677715E-2</v>
      </c>
      <c r="AN1197" s="43">
        <v>0.77669429499999998</v>
      </c>
    </row>
    <row r="1198" spans="1:40" x14ac:dyDescent="0.25">
      <c r="A1198" s="134">
        <v>1188</v>
      </c>
      <c r="B1198" s="134" t="s">
        <v>206</v>
      </c>
      <c r="C1198" s="134" t="s">
        <v>205</v>
      </c>
      <c r="D1198" s="134" t="s">
        <v>62</v>
      </c>
      <c r="E1198" s="134">
        <v>76</v>
      </c>
      <c r="F1198" s="134">
        <v>205</v>
      </c>
      <c r="G1198" s="134">
        <v>285</v>
      </c>
      <c r="H1198" s="134">
        <v>0</v>
      </c>
      <c r="I1198" s="200">
        <v>0.45470671377999999</v>
      </c>
      <c r="J1198" s="134">
        <v>205</v>
      </c>
      <c r="K1198" s="134">
        <v>450.84005533099997</v>
      </c>
      <c r="L1198" s="42">
        <v>0.83734693386600001</v>
      </c>
      <c r="M1198" s="42">
        <v>0</v>
      </c>
      <c r="N1198" s="134">
        <v>0</v>
      </c>
      <c r="O1198" s="43" t="s">
        <v>665</v>
      </c>
      <c r="P1198" s="43">
        <f t="shared" si="257"/>
        <v>17.561726029596116</v>
      </c>
      <c r="Q1198" s="43">
        <f t="shared" si="258"/>
        <v>2.0545144000000001E-2</v>
      </c>
      <c r="R1198" s="43">
        <f t="shared" si="259"/>
        <v>6.9959342999999993E-2</v>
      </c>
      <c r="S1198" s="43">
        <f t="shared" si="260"/>
        <v>0.83734693400000004</v>
      </c>
      <c r="T1198" s="43">
        <f t="shared" si="261"/>
        <v>3.174302446</v>
      </c>
      <c r="U1198" s="43">
        <f t="shared" si="262"/>
        <v>11.50228016</v>
      </c>
      <c r="V1198" s="43">
        <f t="shared" si="263"/>
        <v>1.9074900000000001E-4</v>
      </c>
      <c r="W1198" s="230">
        <f t="shared" si="264"/>
        <v>6.1802575107296136E-2</v>
      </c>
      <c r="X1198" s="43">
        <f t="shared" si="265"/>
        <v>0.86304244200000002</v>
      </c>
      <c r="Y1198" s="43">
        <v>5.3840811479999999</v>
      </c>
      <c r="Z1198" s="43">
        <f t="shared" si="254"/>
        <v>0</v>
      </c>
      <c r="AA1198" s="43">
        <f t="shared" si="255"/>
        <v>81011</v>
      </c>
      <c r="AB1198" s="43">
        <f t="shared" si="256"/>
        <v>29053</v>
      </c>
      <c r="AC1198" s="43">
        <f t="shared" si="266"/>
        <v>2.1404971853430661E-2</v>
      </c>
      <c r="AD1198" s="43">
        <f t="shared" si="267"/>
        <v>0.87688609315999988</v>
      </c>
      <c r="AF1198" s="43">
        <v>17.561726029596116</v>
      </c>
      <c r="AG1198" s="43">
        <v>2.0545144000000001E-2</v>
      </c>
      <c r="AH1198" s="43">
        <v>6.9959342999999993E-2</v>
      </c>
      <c r="AI1198" s="43">
        <v>0.83734693400000004</v>
      </c>
      <c r="AJ1198" s="43">
        <v>3.174302446</v>
      </c>
      <c r="AK1198" s="43">
        <v>11.50228016</v>
      </c>
      <c r="AL1198" s="43">
        <v>1.9074900000000001E-4</v>
      </c>
      <c r="AM1198" s="230">
        <v>6.1802575107296136E-2</v>
      </c>
      <c r="AN1198" s="43">
        <v>0.86304244200000002</v>
      </c>
    </row>
    <row r="1199" spans="1:40" x14ac:dyDescent="0.25">
      <c r="A1199" s="134">
        <v>1189</v>
      </c>
      <c r="B1199" s="134" t="s">
        <v>206</v>
      </c>
      <c r="C1199" s="134" t="s">
        <v>205</v>
      </c>
      <c r="D1199" s="134" t="s">
        <v>62</v>
      </c>
      <c r="E1199" s="134">
        <v>81</v>
      </c>
      <c r="F1199" s="134">
        <v>219</v>
      </c>
      <c r="G1199" s="134">
        <v>578</v>
      </c>
      <c r="H1199" s="134">
        <v>0</v>
      </c>
      <c r="I1199" s="200">
        <v>0.92162307851799996</v>
      </c>
      <c r="J1199" s="134">
        <v>219</v>
      </c>
      <c r="K1199" s="134">
        <v>237.62425779500001</v>
      </c>
      <c r="L1199" s="42">
        <v>0.85247451685800002</v>
      </c>
      <c r="M1199" s="42">
        <v>0</v>
      </c>
      <c r="N1199" s="134">
        <v>0</v>
      </c>
      <c r="O1199" s="43" t="s">
        <v>665</v>
      </c>
      <c r="P1199" s="43">
        <f t="shared" si="257"/>
        <v>17.998033942177045</v>
      </c>
      <c r="Q1199" s="43">
        <f t="shared" si="258"/>
        <v>1.8287902000000002E-2</v>
      </c>
      <c r="R1199" s="43">
        <f t="shared" si="259"/>
        <v>7.0568700999999998E-2</v>
      </c>
      <c r="S1199" s="43">
        <f t="shared" si="260"/>
        <v>0.85247451699999999</v>
      </c>
      <c r="T1199" s="43">
        <f t="shared" si="261"/>
        <v>3.7579222479999999</v>
      </c>
      <c r="U1199" s="43">
        <f t="shared" si="262"/>
        <v>12.17312742</v>
      </c>
      <c r="V1199" s="43">
        <f t="shared" si="263"/>
        <v>2.6971100000000001E-4</v>
      </c>
      <c r="W1199" s="230">
        <f t="shared" si="264"/>
        <v>6.5899487548323296E-2</v>
      </c>
      <c r="X1199" s="43">
        <f t="shared" si="265"/>
        <v>0.85831160699999998</v>
      </c>
      <c r="Y1199" s="43">
        <v>5.3021598000000001</v>
      </c>
      <c r="Z1199" s="43">
        <f t="shared" si="254"/>
        <v>0</v>
      </c>
      <c r="AA1199" s="43">
        <f t="shared" si="255"/>
        <v>81011</v>
      </c>
      <c r="AB1199" s="43">
        <f t="shared" si="256"/>
        <v>29053</v>
      </c>
      <c r="AC1199" s="43">
        <f t="shared" si="266"/>
        <v>2.1404971853430661E-2</v>
      </c>
      <c r="AD1199" s="43">
        <f t="shared" si="267"/>
        <v>0.87688609315999988</v>
      </c>
      <c r="AF1199" s="43">
        <v>17.998033942177045</v>
      </c>
      <c r="AG1199" s="43">
        <v>1.8287902000000002E-2</v>
      </c>
      <c r="AH1199" s="43">
        <v>7.0568700999999998E-2</v>
      </c>
      <c r="AI1199" s="43">
        <v>0.85247451699999999</v>
      </c>
      <c r="AJ1199" s="43">
        <v>3.7579222479999999</v>
      </c>
      <c r="AK1199" s="43">
        <v>12.17312742</v>
      </c>
      <c r="AL1199" s="43">
        <v>2.6971100000000001E-4</v>
      </c>
      <c r="AM1199" s="230">
        <v>6.5899487548323296E-2</v>
      </c>
      <c r="AN1199" s="43">
        <v>0.85831160699999998</v>
      </c>
    </row>
    <row r="1200" spans="1:40" x14ac:dyDescent="0.25">
      <c r="A1200" s="134">
        <v>1190</v>
      </c>
      <c r="B1200" s="134" t="s">
        <v>206</v>
      </c>
      <c r="C1200" s="134" t="s">
        <v>205</v>
      </c>
      <c r="D1200" s="134" t="s">
        <v>62</v>
      </c>
      <c r="E1200" s="134">
        <v>209</v>
      </c>
      <c r="F1200" s="134">
        <v>563</v>
      </c>
      <c r="G1200" s="134">
        <v>263</v>
      </c>
      <c r="H1200" s="134">
        <v>1427</v>
      </c>
      <c r="I1200" s="200">
        <v>0.41991481847599998</v>
      </c>
      <c r="J1200" s="134">
        <v>1990</v>
      </c>
      <c r="K1200" s="134">
        <v>4739.0563810599997</v>
      </c>
      <c r="L1200" s="42">
        <v>0.95222912381400004</v>
      </c>
      <c r="M1200" s="42">
        <v>0.87224938875299995</v>
      </c>
      <c r="N1200" s="134">
        <v>1</v>
      </c>
      <c r="O1200" s="43" t="s">
        <v>666</v>
      </c>
      <c r="P1200" s="43">
        <f t="shared" si="257"/>
        <v>17.903415083689612</v>
      </c>
      <c r="Q1200" s="43">
        <f t="shared" si="258"/>
        <v>6.2955670000000002E-3</v>
      </c>
      <c r="R1200" s="43">
        <f t="shared" si="259"/>
        <v>1.5390775000000001E-2</v>
      </c>
      <c r="S1200" s="43">
        <f t="shared" si="260"/>
        <v>0.95222912400000004</v>
      </c>
      <c r="T1200" s="43">
        <f t="shared" si="261"/>
        <v>4.2143329239999998</v>
      </c>
      <c r="U1200" s="43">
        <f t="shared" si="262"/>
        <v>12.77620361</v>
      </c>
      <c r="V1200" s="43">
        <f t="shared" si="263"/>
        <v>2.7991359999999998E-3</v>
      </c>
      <c r="W1200" s="230">
        <f t="shared" si="264"/>
        <v>1.6086500140810214E-2</v>
      </c>
      <c r="X1200" s="43">
        <f t="shared" si="265"/>
        <v>0.97113817300000005</v>
      </c>
      <c r="Y1200" s="43">
        <v>5.3279093790000003</v>
      </c>
      <c r="Z1200" s="43">
        <f t="shared" si="254"/>
        <v>0</v>
      </c>
      <c r="AA1200" s="43">
        <f t="shared" si="255"/>
        <v>81011</v>
      </c>
      <c r="AB1200" s="43">
        <f t="shared" si="256"/>
        <v>29053</v>
      </c>
      <c r="AC1200" s="43">
        <f t="shared" si="266"/>
        <v>2.1404971853430661E-2</v>
      </c>
      <c r="AD1200" s="43">
        <f t="shared" si="267"/>
        <v>0.87688609315999988</v>
      </c>
      <c r="AF1200" s="43">
        <v>17.903415083689612</v>
      </c>
      <c r="AG1200" s="43">
        <v>6.2955670000000002E-3</v>
      </c>
      <c r="AH1200" s="43">
        <v>1.5390775000000001E-2</v>
      </c>
      <c r="AI1200" s="43">
        <v>0.95222912400000004</v>
      </c>
      <c r="AJ1200" s="43">
        <v>4.2143329239999998</v>
      </c>
      <c r="AK1200" s="43">
        <v>12.77620361</v>
      </c>
      <c r="AL1200" s="43">
        <v>2.7991359999999998E-3</v>
      </c>
      <c r="AM1200" s="230">
        <v>1.6086500140810214E-2</v>
      </c>
      <c r="AN1200" s="43">
        <v>0.97113817300000005</v>
      </c>
    </row>
    <row r="1201" spans="1:40" x14ac:dyDescent="0.25">
      <c r="A1201" s="134">
        <v>1191</v>
      </c>
      <c r="B1201" s="134" t="s">
        <v>206</v>
      </c>
      <c r="C1201" s="134" t="s">
        <v>205</v>
      </c>
      <c r="D1201" s="134" t="s">
        <v>62</v>
      </c>
      <c r="E1201" s="134">
        <v>2</v>
      </c>
      <c r="F1201" s="134">
        <v>6</v>
      </c>
      <c r="G1201" s="134">
        <v>860</v>
      </c>
      <c r="H1201" s="134">
        <v>13</v>
      </c>
      <c r="I1201" s="200">
        <v>1.32306210573</v>
      </c>
      <c r="J1201" s="134">
        <v>19</v>
      </c>
      <c r="K1201" s="134">
        <v>14.360625943200001</v>
      </c>
      <c r="L1201" s="42">
        <v>0.83712465878099995</v>
      </c>
      <c r="M1201" s="42">
        <v>0.86666666666699999</v>
      </c>
      <c r="N1201" s="134">
        <v>0</v>
      </c>
      <c r="O1201" s="43" t="s">
        <v>666</v>
      </c>
      <c r="P1201" s="43">
        <f t="shared" si="257"/>
        <v>17.664513059038786</v>
      </c>
      <c r="Q1201" s="43">
        <f t="shared" si="258"/>
        <v>9.0991809999999996E-3</v>
      </c>
      <c r="R1201" s="43">
        <f t="shared" si="259"/>
        <v>9.0991800000000001E-4</v>
      </c>
      <c r="S1201" s="43">
        <f t="shared" si="260"/>
        <v>0.83712465899999999</v>
      </c>
      <c r="T1201" s="43">
        <f t="shared" si="261"/>
        <v>16.399999999999999</v>
      </c>
      <c r="U1201" s="43">
        <f t="shared" si="262"/>
        <v>10.35781173</v>
      </c>
      <c r="V1201" s="43">
        <f t="shared" si="263"/>
        <v>3.5018531387596905E-3</v>
      </c>
      <c r="W1201" s="230">
        <f t="shared" si="264"/>
        <v>1.2300123001230012E-2</v>
      </c>
      <c r="X1201" s="43">
        <f t="shared" si="265"/>
        <v>0.81426814300000006</v>
      </c>
      <c r="Y1201" s="43">
        <v>13.226852559999999</v>
      </c>
      <c r="Z1201" s="43">
        <f t="shared" si="254"/>
        <v>0</v>
      </c>
      <c r="AA1201" s="43">
        <f t="shared" si="255"/>
        <v>81011</v>
      </c>
      <c r="AB1201" s="43">
        <f t="shared" si="256"/>
        <v>29053</v>
      </c>
      <c r="AC1201" s="43">
        <f t="shared" si="266"/>
        <v>2.1404971853430661E-2</v>
      </c>
      <c r="AD1201" s="43">
        <f t="shared" si="267"/>
        <v>0.87688609315999988</v>
      </c>
      <c r="AF1201" s="43">
        <v>17.664513059038786</v>
      </c>
      <c r="AG1201" s="43">
        <v>9.0991809999999996E-3</v>
      </c>
      <c r="AH1201" s="43">
        <v>9.0991800000000001E-4</v>
      </c>
      <c r="AI1201" s="43">
        <v>0.83712465899999999</v>
      </c>
      <c r="AJ1201" s="43">
        <v>16.399999999999999</v>
      </c>
      <c r="AK1201" s="43">
        <v>10.35781173</v>
      </c>
      <c r="AL1201" s="43">
        <v>0</v>
      </c>
      <c r="AM1201" s="230">
        <v>1.2300123001230012E-2</v>
      </c>
      <c r="AN1201" s="43">
        <v>0.81426814300000006</v>
      </c>
    </row>
    <row r="1202" spans="1:40" x14ac:dyDescent="0.25">
      <c r="A1202" s="134">
        <v>1192</v>
      </c>
      <c r="B1202" s="134" t="s">
        <v>204</v>
      </c>
      <c r="C1202" s="134" t="s">
        <v>205</v>
      </c>
      <c r="D1202" s="134" t="s">
        <v>62</v>
      </c>
      <c r="E1202" s="134">
        <v>0</v>
      </c>
      <c r="F1202" s="134">
        <v>0</v>
      </c>
      <c r="G1202" s="134">
        <v>98</v>
      </c>
      <c r="H1202" s="134">
        <v>0</v>
      </c>
      <c r="I1202" s="200">
        <v>0.202977628646</v>
      </c>
      <c r="J1202" s="134">
        <v>0</v>
      </c>
      <c r="K1202" s="134">
        <v>0</v>
      </c>
      <c r="L1202" s="42">
        <v>0</v>
      </c>
      <c r="M1202" s="42">
        <v>0</v>
      </c>
      <c r="N1202" s="134">
        <v>0</v>
      </c>
      <c r="O1202" s="43" t="s">
        <v>666</v>
      </c>
      <c r="P1202" s="43">
        <f t="shared" si="257"/>
        <v>17.970864213525694</v>
      </c>
      <c r="Q1202" s="43">
        <f t="shared" si="258"/>
        <v>1.7062811181712708E-2</v>
      </c>
      <c r="R1202" s="43">
        <f t="shared" si="259"/>
        <v>1.2281927743016759E-2</v>
      </c>
      <c r="S1202" s="43">
        <f t="shared" si="260"/>
        <v>0.87966620448387112</v>
      </c>
      <c r="T1202" s="43">
        <f t="shared" si="261"/>
        <v>3.4720153019613269</v>
      </c>
      <c r="U1202" s="43">
        <f t="shared" si="262"/>
        <v>11.363110024732618</v>
      </c>
      <c r="V1202" s="43">
        <f t="shared" si="263"/>
        <v>2.2188896352201251E-3</v>
      </c>
      <c r="W1202" s="230">
        <f t="shared" si="264"/>
        <v>3.7712999565398898E-2</v>
      </c>
      <c r="X1202" s="43">
        <f t="shared" si="265"/>
        <v>0.8985543829482765</v>
      </c>
      <c r="Y1202" s="43">
        <v>12.918597249999999</v>
      </c>
      <c r="Z1202" s="43">
        <f t="shared" si="254"/>
        <v>0</v>
      </c>
      <c r="AA1202" s="43">
        <f t="shared" si="255"/>
        <v>85233</v>
      </c>
      <c r="AB1202" s="43">
        <f t="shared" si="256"/>
        <v>30359</v>
      </c>
      <c r="AC1202" s="43">
        <f t="shared" si="266"/>
        <v>1.7062811181712705E-2</v>
      </c>
      <c r="AD1202" s="43">
        <f t="shared" si="267"/>
        <v>0.87966620448387123</v>
      </c>
      <c r="AF1202" s="43" t="e">
        <v>#DIV/0!</v>
      </c>
      <c r="AG1202" s="43" t="e">
        <v>#DIV/0!</v>
      </c>
      <c r="AH1202" s="43" t="e">
        <v>#DIV/0!</v>
      </c>
      <c r="AI1202" s="43" t="e">
        <v>#DIV/0!</v>
      </c>
      <c r="AJ1202" s="43" t="e">
        <v>#DIV/0!</v>
      </c>
      <c r="AK1202" s="43" t="e">
        <v>#DIV/0!</v>
      </c>
      <c r="AL1202" s="43" t="e">
        <v>#DIV/0!</v>
      </c>
      <c r="AM1202" s="230" t="e">
        <v>#DIV/0!</v>
      </c>
      <c r="AN1202" s="43" t="e">
        <v>#DIV/0!</v>
      </c>
    </row>
    <row r="1203" spans="1:40" x14ac:dyDescent="0.25">
      <c r="A1203" s="134">
        <v>1193</v>
      </c>
      <c r="B1203" s="134" t="s">
        <v>204</v>
      </c>
      <c r="C1203" s="134" t="s">
        <v>205</v>
      </c>
      <c r="D1203" s="134" t="s">
        <v>62</v>
      </c>
      <c r="E1203" s="134">
        <v>0</v>
      </c>
      <c r="F1203" s="134">
        <v>0</v>
      </c>
      <c r="G1203" s="134">
        <v>32</v>
      </c>
      <c r="H1203" s="134">
        <v>357</v>
      </c>
      <c r="I1203" s="200">
        <v>6.7076907944899997E-2</v>
      </c>
      <c r="J1203" s="134">
        <v>357</v>
      </c>
      <c r="K1203" s="134">
        <v>5322.2489070800002</v>
      </c>
      <c r="L1203" s="42">
        <v>0.92728719748199995</v>
      </c>
      <c r="M1203" s="42">
        <v>1</v>
      </c>
      <c r="N1203" s="134">
        <v>0</v>
      </c>
      <c r="O1203" s="43" t="s">
        <v>666</v>
      </c>
      <c r="P1203" s="43">
        <f t="shared" si="257"/>
        <v>17.857422412742736</v>
      </c>
      <c r="Q1203" s="43">
        <f t="shared" si="258"/>
        <v>1.5700176999999999E-2</v>
      </c>
      <c r="R1203" s="43">
        <f t="shared" si="259"/>
        <v>2.4961110000000001E-3</v>
      </c>
      <c r="S1203" s="43">
        <f t="shared" si="260"/>
        <v>0.92728719699999995</v>
      </c>
      <c r="T1203" s="43">
        <f t="shared" si="261"/>
        <v>6.7152317879999996</v>
      </c>
      <c r="U1203" s="43">
        <f t="shared" si="262"/>
        <v>10.985720799999999</v>
      </c>
      <c r="V1203" s="43">
        <f t="shared" si="263"/>
        <v>1.0796549999999999E-3</v>
      </c>
      <c r="W1203" s="230">
        <f t="shared" si="264"/>
        <v>1.1516314779270634E-2</v>
      </c>
      <c r="X1203" s="43">
        <f t="shared" si="265"/>
        <v>0.94667706299999999</v>
      </c>
      <c r="Y1203" s="43">
        <v>16.610313900000001</v>
      </c>
      <c r="Z1203" s="43">
        <f t="shared" si="254"/>
        <v>0</v>
      </c>
      <c r="AA1203" s="43">
        <f t="shared" si="255"/>
        <v>85233</v>
      </c>
      <c r="AB1203" s="43">
        <f t="shared" si="256"/>
        <v>30359</v>
      </c>
      <c r="AC1203" s="43">
        <f t="shared" si="266"/>
        <v>1.7062811181712705E-2</v>
      </c>
      <c r="AD1203" s="43">
        <f t="shared" si="267"/>
        <v>0.87966620448387123</v>
      </c>
      <c r="AF1203" s="43">
        <v>17.857422412742736</v>
      </c>
      <c r="AG1203" s="43">
        <v>1.5700176999999999E-2</v>
      </c>
      <c r="AH1203" s="43">
        <v>2.4961110000000001E-3</v>
      </c>
      <c r="AI1203" s="43">
        <v>0.92728719699999995</v>
      </c>
      <c r="AJ1203" s="43">
        <v>6.7152317879999996</v>
      </c>
      <c r="AK1203" s="43">
        <v>10.985720799999999</v>
      </c>
      <c r="AL1203" s="43">
        <v>1.0796549999999999E-3</v>
      </c>
      <c r="AM1203" s="230">
        <v>1.1516314779270634E-2</v>
      </c>
      <c r="AN1203" s="43">
        <v>0.94667706299999999</v>
      </c>
    </row>
    <row r="1204" spans="1:40" x14ac:dyDescent="0.25">
      <c r="A1204" s="134">
        <v>1194</v>
      </c>
      <c r="B1204" s="134" t="s">
        <v>204</v>
      </c>
      <c r="C1204" s="134" t="s">
        <v>205</v>
      </c>
      <c r="D1204" s="134" t="s">
        <v>62</v>
      </c>
      <c r="E1204" s="134">
        <v>0</v>
      </c>
      <c r="F1204" s="134">
        <v>0</v>
      </c>
      <c r="G1204" s="134">
        <v>19</v>
      </c>
      <c r="H1204" s="134">
        <v>413</v>
      </c>
      <c r="I1204" s="200">
        <v>3.9983751824199998E-2</v>
      </c>
      <c r="J1204" s="134">
        <v>413</v>
      </c>
      <c r="K1204" s="134">
        <v>10329.1957647</v>
      </c>
      <c r="L1204" s="42">
        <v>0.91290424257699998</v>
      </c>
      <c r="M1204" s="42">
        <v>1</v>
      </c>
      <c r="N1204" s="134">
        <v>0</v>
      </c>
      <c r="O1204" s="43" t="s">
        <v>666</v>
      </c>
      <c r="P1204" s="43">
        <f t="shared" si="257"/>
        <v>17.387503743206477</v>
      </c>
      <c r="Q1204" s="43">
        <f t="shared" si="258"/>
        <v>2.1080502000000001E-2</v>
      </c>
      <c r="R1204" s="43">
        <f t="shared" si="259"/>
        <v>5.8753069999999998E-3</v>
      </c>
      <c r="S1204" s="43">
        <f t="shared" si="260"/>
        <v>0.91290424299999995</v>
      </c>
      <c r="T1204" s="43">
        <f t="shared" si="261"/>
        <v>4.9802847750000003</v>
      </c>
      <c r="U1204" s="43">
        <f t="shared" si="262"/>
        <v>10.109606660000001</v>
      </c>
      <c r="V1204" s="43">
        <f t="shared" si="263"/>
        <v>1.1231539999999999E-3</v>
      </c>
      <c r="W1204" s="230">
        <f t="shared" si="264"/>
        <v>1.982366485090133E-2</v>
      </c>
      <c r="X1204" s="43">
        <f t="shared" si="265"/>
        <v>0.93721570200000004</v>
      </c>
      <c r="Y1204" s="43">
        <v>12.936399420000001</v>
      </c>
      <c r="Z1204" s="43">
        <f t="shared" si="254"/>
        <v>0</v>
      </c>
      <c r="AA1204" s="43">
        <f t="shared" si="255"/>
        <v>85233</v>
      </c>
      <c r="AB1204" s="43">
        <f t="shared" si="256"/>
        <v>30359</v>
      </c>
      <c r="AC1204" s="43">
        <f t="shared" si="266"/>
        <v>1.7062811181712705E-2</v>
      </c>
      <c r="AD1204" s="43">
        <f t="shared" si="267"/>
        <v>0.87966620448387123</v>
      </c>
      <c r="AF1204" s="43">
        <v>17.387503743206477</v>
      </c>
      <c r="AG1204" s="43">
        <v>2.1080502000000001E-2</v>
      </c>
      <c r="AH1204" s="43">
        <v>5.8753069999999998E-3</v>
      </c>
      <c r="AI1204" s="43">
        <v>0.91290424299999995</v>
      </c>
      <c r="AJ1204" s="43">
        <v>4.9802847750000003</v>
      </c>
      <c r="AK1204" s="43">
        <v>10.109606660000001</v>
      </c>
      <c r="AL1204" s="43">
        <v>1.1231539999999999E-3</v>
      </c>
      <c r="AM1204" s="230">
        <v>1.982366485090133E-2</v>
      </c>
      <c r="AN1204" s="43">
        <v>0.93721570200000004</v>
      </c>
    </row>
    <row r="1205" spans="1:40" x14ac:dyDescent="0.25">
      <c r="A1205" s="134">
        <v>1195</v>
      </c>
      <c r="B1205" s="134" t="s">
        <v>204</v>
      </c>
      <c r="C1205" s="134" t="s">
        <v>205</v>
      </c>
      <c r="D1205" s="134" t="s">
        <v>62</v>
      </c>
      <c r="E1205" s="134">
        <v>0</v>
      </c>
      <c r="F1205" s="134">
        <v>0</v>
      </c>
      <c r="G1205" s="134">
        <v>38</v>
      </c>
      <c r="H1205" s="134">
        <v>499</v>
      </c>
      <c r="I1205" s="200">
        <v>7.8232295384099995E-2</v>
      </c>
      <c r="J1205" s="134">
        <v>499</v>
      </c>
      <c r="K1205" s="134">
        <v>6378.43997227</v>
      </c>
      <c r="L1205" s="42">
        <v>0.92051160086700001</v>
      </c>
      <c r="M1205" s="42">
        <v>1</v>
      </c>
      <c r="N1205" s="134">
        <v>0</v>
      </c>
      <c r="O1205" s="43" t="s">
        <v>666</v>
      </c>
      <c r="P1205" s="43">
        <f t="shared" si="257"/>
        <v>17.950947224281734</v>
      </c>
      <c r="Q1205" s="43">
        <f t="shared" si="258"/>
        <v>1.6119655E-2</v>
      </c>
      <c r="R1205" s="43">
        <f t="shared" si="259"/>
        <v>2.8539720000000002E-3</v>
      </c>
      <c r="S1205" s="43">
        <f t="shared" si="260"/>
        <v>0.92051160099999996</v>
      </c>
      <c r="T1205" s="43">
        <f t="shared" si="261"/>
        <v>5.75</v>
      </c>
      <c r="U1205" s="43">
        <f t="shared" si="262"/>
        <v>10.92240301</v>
      </c>
      <c r="V1205" s="43">
        <f t="shared" si="263"/>
        <v>1.341082E-3</v>
      </c>
      <c r="W1205" s="230">
        <f t="shared" si="264"/>
        <v>1.3276709879302637E-2</v>
      </c>
      <c r="X1205" s="43">
        <f t="shared" si="265"/>
        <v>0.95069289199999996</v>
      </c>
      <c r="Y1205" s="43">
        <v>12.9293318</v>
      </c>
      <c r="Z1205" s="43">
        <f t="shared" si="254"/>
        <v>0</v>
      </c>
      <c r="AA1205" s="43">
        <f t="shared" si="255"/>
        <v>85233</v>
      </c>
      <c r="AB1205" s="43">
        <f t="shared" si="256"/>
        <v>30359</v>
      </c>
      <c r="AC1205" s="43">
        <f t="shared" si="266"/>
        <v>1.7062811181712705E-2</v>
      </c>
      <c r="AD1205" s="43">
        <f t="shared" si="267"/>
        <v>0.87966620448387123</v>
      </c>
      <c r="AF1205" s="43">
        <v>17.950947224281734</v>
      </c>
      <c r="AG1205" s="43">
        <v>1.6119655E-2</v>
      </c>
      <c r="AH1205" s="43">
        <v>2.8539720000000002E-3</v>
      </c>
      <c r="AI1205" s="43">
        <v>0.92051160099999996</v>
      </c>
      <c r="AJ1205" s="43">
        <v>5.75</v>
      </c>
      <c r="AK1205" s="43">
        <v>10.92240301</v>
      </c>
      <c r="AL1205" s="43">
        <v>1.341082E-3</v>
      </c>
      <c r="AM1205" s="230">
        <v>1.3276709879302637E-2</v>
      </c>
      <c r="AN1205" s="43">
        <v>0.95069289199999996</v>
      </c>
    </row>
    <row r="1206" spans="1:40" x14ac:dyDescent="0.25">
      <c r="A1206" s="134">
        <v>1196</v>
      </c>
      <c r="B1206" s="134" t="s">
        <v>204</v>
      </c>
      <c r="C1206" s="134" t="s">
        <v>205</v>
      </c>
      <c r="D1206" s="134" t="s">
        <v>62</v>
      </c>
      <c r="E1206" s="134">
        <v>203</v>
      </c>
      <c r="F1206" s="134">
        <v>580</v>
      </c>
      <c r="G1206" s="134">
        <v>72</v>
      </c>
      <c r="H1206" s="134">
        <v>1300</v>
      </c>
      <c r="I1206" s="200">
        <v>0.150143096202</v>
      </c>
      <c r="J1206" s="134">
        <v>1880</v>
      </c>
      <c r="K1206" s="134">
        <v>12521.388246</v>
      </c>
      <c r="L1206" s="42">
        <v>0.89597148147600003</v>
      </c>
      <c r="M1206" s="42">
        <v>0.86493679308100002</v>
      </c>
      <c r="N1206" s="134">
        <v>0</v>
      </c>
      <c r="O1206" s="43" t="s">
        <v>666</v>
      </c>
      <c r="P1206" s="43">
        <f t="shared" si="257"/>
        <v>18.358588115774236</v>
      </c>
      <c r="Q1206" s="43">
        <f t="shared" si="258"/>
        <v>3.0801431000000001E-2</v>
      </c>
      <c r="R1206" s="43">
        <f t="shared" si="259"/>
        <v>7.0188489999999997E-3</v>
      </c>
      <c r="S1206" s="43">
        <f t="shared" si="260"/>
        <v>0.89597148100000001</v>
      </c>
      <c r="T1206" s="43">
        <f t="shared" si="261"/>
        <v>3.9652758330000002</v>
      </c>
      <c r="U1206" s="43">
        <f t="shared" si="262"/>
        <v>12.285371619999999</v>
      </c>
      <c r="V1206" s="43">
        <f t="shared" si="263"/>
        <v>2.8796820000000002E-3</v>
      </c>
      <c r="W1206" s="230">
        <f t="shared" si="264"/>
        <v>4.2039301575713325E-2</v>
      </c>
      <c r="X1206" s="43">
        <f t="shared" si="265"/>
        <v>0.92326255800000001</v>
      </c>
      <c r="Y1206" s="43">
        <v>12.928880489999999</v>
      </c>
      <c r="Z1206" s="43">
        <f t="shared" si="254"/>
        <v>0</v>
      </c>
      <c r="AA1206" s="43">
        <f t="shared" si="255"/>
        <v>85233</v>
      </c>
      <c r="AB1206" s="43">
        <f t="shared" si="256"/>
        <v>30359</v>
      </c>
      <c r="AC1206" s="43">
        <f t="shared" si="266"/>
        <v>1.7062811181712705E-2</v>
      </c>
      <c r="AD1206" s="43">
        <f t="shared" si="267"/>
        <v>0.87966620448387123</v>
      </c>
      <c r="AF1206" s="43">
        <v>18.358588115774236</v>
      </c>
      <c r="AG1206" s="43">
        <v>3.0801431000000001E-2</v>
      </c>
      <c r="AH1206" s="43">
        <v>7.0188489999999997E-3</v>
      </c>
      <c r="AI1206" s="43">
        <v>0.89597148100000001</v>
      </c>
      <c r="AJ1206" s="43">
        <v>3.9652758330000002</v>
      </c>
      <c r="AK1206" s="43">
        <v>12.285371619999999</v>
      </c>
      <c r="AL1206" s="43">
        <v>2.8796820000000002E-3</v>
      </c>
      <c r="AM1206" s="230">
        <v>4.2039301575713325E-2</v>
      </c>
      <c r="AN1206" s="43">
        <v>0.92326255800000001</v>
      </c>
    </row>
    <row r="1207" spans="1:40" x14ac:dyDescent="0.25">
      <c r="A1207" s="134">
        <v>1197</v>
      </c>
      <c r="B1207" s="134" t="s">
        <v>204</v>
      </c>
      <c r="C1207" s="134" t="s">
        <v>205</v>
      </c>
      <c r="D1207" s="134" t="s">
        <v>62</v>
      </c>
      <c r="E1207" s="134">
        <v>0</v>
      </c>
      <c r="F1207" s="134">
        <v>0</v>
      </c>
      <c r="G1207" s="134">
        <v>37</v>
      </c>
      <c r="H1207" s="134">
        <v>482</v>
      </c>
      <c r="I1207" s="200">
        <v>7.5042325616200001E-2</v>
      </c>
      <c r="J1207" s="134">
        <v>482</v>
      </c>
      <c r="K1207" s="134">
        <v>6423.0418772599996</v>
      </c>
      <c r="L1207" s="42">
        <v>0.90352358190600002</v>
      </c>
      <c r="M1207" s="42">
        <v>1</v>
      </c>
      <c r="N1207" s="134">
        <v>0</v>
      </c>
      <c r="O1207" s="43" t="s">
        <v>666</v>
      </c>
      <c r="P1207" s="43">
        <f t="shared" si="257"/>
        <v>17.600765661179508</v>
      </c>
      <c r="Q1207" s="43">
        <f t="shared" si="258"/>
        <v>1.8725196E-2</v>
      </c>
      <c r="R1207" s="43">
        <f t="shared" si="259"/>
        <v>3.9906150000000003E-3</v>
      </c>
      <c r="S1207" s="43">
        <f t="shared" si="260"/>
        <v>0.90352358200000005</v>
      </c>
      <c r="T1207" s="43">
        <f t="shared" si="261"/>
        <v>4.9943342780000002</v>
      </c>
      <c r="U1207" s="43">
        <f t="shared" si="262"/>
        <v>11.612322499999999</v>
      </c>
      <c r="V1207" s="43">
        <f t="shared" si="263"/>
        <v>1.6237529999999999E-3</v>
      </c>
      <c r="W1207" s="230">
        <f t="shared" si="264"/>
        <v>1.5819995360705174E-2</v>
      </c>
      <c r="X1207" s="43">
        <f t="shared" si="265"/>
        <v>0.93755509199999998</v>
      </c>
      <c r="Y1207" s="43">
        <v>12.89738348</v>
      </c>
      <c r="Z1207" s="43">
        <f t="shared" si="254"/>
        <v>0</v>
      </c>
      <c r="AA1207" s="43">
        <f t="shared" si="255"/>
        <v>85233</v>
      </c>
      <c r="AB1207" s="43">
        <f t="shared" si="256"/>
        <v>30359</v>
      </c>
      <c r="AC1207" s="43">
        <f t="shared" si="266"/>
        <v>1.7062811181712705E-2</v>
      </c>
      <c r="AD1207" s="43">
        <f t="shared" si="267"/>
        <v>0.87966620448387123</v>
      </c>
      <c r="AF1207" s="43">
        <v>17.600765661179508</v>
      </c>
      <c r="AG1207" s="43">
        <v>1.8725196E-2</v>
      </c>
      <c r="AH1207" s="43">
        <v>3.9906150000000003E-3</v>
      </c>
      <c r="AI1207" s="43">
        <v>0.90352358200000005</v>
      </c>
      <c r="AJ1207" s="43">
        <v>4.9943342780000002</v>
      </c>
      <c r="AK1207" s="43">
        <v>11.612322499999999</v>
      </c>
      <c r="AL1207" s="43">
        <v>1.6237529999999999E-3</v>
      </c>
      <c r="AM1207" s="230">
        <v>1.5819995360705174E-2</v>
      </c>
      <c r="AN1207" s="43">
        <v>0.93755509199999998</v>
      </c>
    </row>
    <row r="1208" spans="1:40" x14ac:dyDescent="0.25">
      <c r="A1208" s="134">
        <v>1198</v>
      </c>
      <c r="B1208" s="134" t="s">
        <v>204</v>
      </c>
      <c r="C1208" s="134" t="s">
        <v>205</v>
      </c>
      <c r="D1208" s="134" t="s">
        <v>62</v>
      </c>
      <c r="E1208" s="134">
        <v>0</v>
      </c>
      <c r="F1208" s="134">
        <v>0</v>
      </c>
      <c r="G1208" s="134">
        <v>16</v>
      </c>
      <c r="H1208" s="134">
        <v>479</v>
      </c>
      <c r="I1208" s="200">
        <v>3.2597615318100001E-2</v>
      </c>
      <c r="J1208" s="134">
        <v>479</v>
      </c>
      <c r="K1208" s="134">
        <v>14694.3264201</v>
      </c>
      <c r="L1208" s="42">
        <v>0.90016304019600002</v>
      </c>
      <c r="M1208" s="42">
        <v>1</v>
      </c>
      <c r="N1208" s="134">
        <v>0</v>
      </c>
      <c r="O1208" s="43" t="s">
        <v>664</v>
      </c>
      <c r="P1208" s="43">
        <f t="shared" si="257"/>
        <v>17.625471887694321</v>
      </c>
      <c r="Q1208" s="43">
        <f t="shared" si="258"/>
        <v>2.4133974999999998E-2</v>
      </c>
      <c r="R1208" s="43">
        <f t="shared" si="259"/>
        <v>3.7237580000000002E-3</v>
      </c>
      <c r="S1208" s="43">
        <f t="shared" si="260"/>
        <v>0.90016304000000003</v>
      </c>
      <c r="T1208" s="43">
        <f t="shared" si="261"/>
        <v>5.1308900519999998</v>
      </c>
      <c r="U1208" s="43">
        <f t="shared" si="262"/>
        <v>11.86522233</v>
      </c>
      <c r="V1208" s="43">
        <f t="shared" si="263"/>
        <v>1.212004E-3</v>
      </c>
      <c r="W1208" s="230">
        <f t="shared" si="264"/>
        <v>2.4821835458379793E-2</v>
      </c>
      <c r="X1208" s="43">
        <f t="shared" si="265"/>
        <v>0.93697580800000002</v>
      </c>
      <c r="Y1208" s="43">
        <v>12.93015102</v>
      </c>
      <c r="Z1208" s="43">
        <f t="shared" si="254"/>
        <v>0</v>
      </c>
      <c r="AA1208" s="43">
        <f t="shared" si="255"/>
        <v>85233</v>
      </c>
      <c r="AB1208" s="43">
        <f t="shared" si="256"/>
        <v>30359</v>
      </c>
      <c r="AC1208" s="43">
        <f t="shared" si="266"/>
        <v>1.7062811181712705E-2</v>
      </c>
      <c r="AD1208" s="43">
        <f t="shared" si="267"/>
        <v>0.87966620448387123</v>
      </c>
      <c r="AF1208" s="43">
        <v>17.625471887694321</v>
      </c>
      <c r="AG1208" s="43">
        <v>2.4133974999999998E-2</v>
      </c>
      <c r="AH1208" s="43">
        <v>3.7237580000000002E-3</v>
      </c>
      <c r="AI1208" s="43">
        <v>0.90016304000000003</v>
      </c>
      <c r="AJ1208" s="43">
        <v>5.1308900519999998</v>
      </c>
      <c r="AK1208" s="43">
        <v>11.86522233</v>
      </c>
      <c r="AL1208" s="43">
        <v>1.212004E-3</v>
      </c>
      <c r="AM1208" s="230">
        <v>2.4821835458379793E-2</v>
      </c>
      <c r="AN1208" s="43">
        <v>0.93697580800000002</v>
      </c>
    </row>
    <row r="1209" spans="1:40" x14ac:dyDescent="0.25">
      <c r="A1209" s="134">
        <v>1199</v>
      </c>
      <c r="B1209" s="134" t="s">
        <v>204</v>
      </c>
      <c r="C1209" s="134" t="s">
        <v>205</v>
      </c>
      <c r="D1209" s="134" t="s">
        <v>62</v>
      </c>
      <c r="E1209" s="134">
        <v>3</v>
      </c>
      <c r="F1209" s="134">
        <v>8</v>
      </c>
      <c r="G1209" s="134">
        <v>29</v>
      </c>
      <c r="H1209" s="134">
        <v>867</v>
      </c>
      <c r="I1209" s="200">
        <v>6.05530577926E-2</v>
      </c>
      <c r="J1209" s="134">
        <v>875</v>
      </c>
      <c r="K1209" s="134">
        <v>14450.1373159</v>
      </c>
      <c r="L1209" s="42">
        <v>0.91760843893199995</v>
      </c>
      <c r="M1209" s="42">
        <v>0.99655172413799997</v>
      </c>
      <c r="N1209" s="134">
        <v>0</v>
      </c>
      <c r="O1209" s="43" t="s">
        <v>666</v>
      </c>
      <c r="P1209" s="43">
        <f t="shared" si="257"/>
        <v>18.090945904553699</v>
      </c>
      <c r="Q1209" s="43">
        <f t="shared" si="258"/>
        <v>1.4348387000000001E-2</v>
      </c>
      <c r="R1209" s="43">
        <f t="shared" si="259"/>
        <v>6.3634640000000001E-3</v>
      </c>
      <c r="S1209" s="43">
        <f t="shared" si="260"/>
        <v>0.917608439</v>
      </c>
      <c r="T1209" s="43">
        <f t="shared" si="261"/>
        <v>3.8795962510000002</v>
      </c>
      <c r="U1209" s="43">
        <f t="shared" si="262"/>
        <v>9.570555809</v>
      </c>
      <c r="V1209" s="43">
        <f t="shared" si="263"/>
        <v>1.9654189999999999E-3</v>
      </c>
      <c r="W1209" s="230">
        <f t="shared" si="264"/>
        <v>1.9786991049374519E-2</v>
      </c>
      <c r="X1209" s="43">
        <f t="shared" si="265"/>
        <v>0.95035988400000004</v>
      </c>
      <c r="Y1209" s="43">
        <v>12.929625010000001</v>
      </c>
      <c r="Z1209" s="43">
        <f t="shared" si="254"/>
        <v>0</v>
      </c>
      <c r="AA1209" s="43">
        <f t="shared" si="255"/>
        <v>85233</v>
      </c>
      <c r="AB1209" s="43">
        <f t="shared" si="256"/>
        <v>30359</v>
      </c>
      <c r="AC1209" s="43">
        <f t="shared" si="266"/>
        <v>1.7062811181712705E-2</v>
      </c>
      <c r="AD1209" s="43">
        <f t="shared" si="267"/>
        <v>0.87966620448387123</v>
      </c>
      <c r="AF1209" s="43">
        <v>18.090945904553699</v>
      </c>
      <c r="AG1209" s="43">
        <v>1.4348387000000001E-2</v>
      </c>
      <c r="AH1209" s="43">
        <v>6.3634640000000001E-3</v>
      </c>
      <c r="AI1209" s="43">
        <v>0.917608439</v>
      </c>
      <c r="AJ1209" s="43">
        <v>3.8795962510000002</v>
      </c>
      <c r="AK1209" s="43">
        <v>9.570555809</v>
      </c>
      <c r="AL1209" s="43">
        <v>1.9654189999999999E-3</v>
      </c>
      <c r="AM1209" s="230">
        <v>1.9786991049374519E-2</v>
      </c>
      <c r="AN1209" s="43">
        <v>0.95035988400000004</v>
      </c>
    </row>
    <row r="1210" spans="1:40" x14ac:dyDescent="0.25">
      <c r="A1210" s="134">
        <v>1200</v>
      </c>
      <c r="B1210" s="134" t="s">
        <v>204</v>
      </c>
      <c r="C1210" s="134" t="s">
        <v>205</v>
      </c>
      <c r="D1210" s="134" t="s">
        <v>62</v>
      </c>
      <c r="E1210" s="134">
        <v>1</v>
      </c>
      <c r="F1210" s="134">
        <v>3</v>
      </c>
      <c r="G1210" s="134">
        <v>79</v>
      </c>
      <c r="H1210" s="134">
        <v>0</v>
      </c>
      <c r="I1210" s="200">
        <v>0.120989307395</v>
      </c>
      <c r="J1210" s="134">
        <v>3</v>
      </c>
      <c r="K1210" s="134">
        <v>24.7955795813</v>
      </c>
      <c r="L1210" s="42">
        <v>0.4</v>
      </c>
      <c r="M1210" s="42">
        <v>0</v>
      </c>
      <c r="N1210" s="134">
        <v>0</v>
      </c>
      <c r="O1210" s="43" t="s">
        <v>666</v>
      </c>
      <c r="P1210" s="43">
        <f t="shared" si="257"/>
        <v>17.970864213525694</v>
      </c>
      <c r="Q1210" s="43">
        <f t="shared" si="258"/>
        <v>1.7062811181712708E-2</v>
      </c>
      <c r="R1210" s="43">
        <f t="shared" si="259"/>
        <v>1.2281927743016759E-2</v>
      </c>
      <c r="S1210" s="43">
        <f t="shared" si="260"/>
        <v>0.4</v>
      </c>
      <c r="T1210" s="43">
        <f t="shared" si="261"/>
        <v>3.4720153019613269</v>
      </c>
      <c r="U1210" s="43">
        <f t="shared" si="262"/>
        <v>3.3947368419999999</v>
      </c>
      <c r="V1210" s="43">
        <f t="shared" si="263"/>
        <v>2.2188896352201251E-3</v>
      </c>
      <c r="W1210" s="230">
        <f t="shared" si="264"/>
        <v>3.7712999565398898E-2</v>
      </c>
      <c r="X1210" s="43">
        <f t="shared" si="265"/>
        <v>0.8985543829482765</v>
      </c>
      <c r="Y1210" s="43">
        <v>80.523880300000002</v>
      </c>
      <c r="Z1210" s="43">
        <f t="shared" si="254"/>
        <v>0</v>
      </c>
      <c r="AA1210" s="43">
        <f t="shared" si="255"/>
        <v>85233</v>
      </c>
      <c r="AB1210" s="43">
        <f t="shared" si="256"/>
        <v>30359</v>
      </c>
      <c r="AC1210" s="43">
        <f t="shared" si="266"/>
        <v>1.7062811181712705E-2</v>
      </c>
      <c r="AD1210" s="43">
        <f t="shared" si="267"/>
        <v>0.87966620448387123</v>
      </c>
      <c r="AF1210" s="43" t="e">
        <v>#DIV/0!</v>
      </c>
      <c r="AG1210" s="43">
        <v>0</v>
      </c>
      <c r="AH1210" s="43">
        <v>0</v>
      </c>
      <c r="AI1210" s="43">
        <v>0.4</v>
      </c>
      <c r="AJ1210" s="43" t="e">
        <v>#DIV/0!</v>
      </c>
      <c r="AK1210" s="43">
        <v>3.3947368419999999</v>
      </c>
      <c r="AL1210" s="43" t="e">
        <v>#DIV/0!</v>
      </c>
      <c r="AM1210" s="230" t="e">
        <v>#DIV/0!</v>
      </c>
      <c r="AN1210" s="43" t="e">
        <v>#DIV/0!</v>
      </c>
    </row>
    <row r="1211" spans="1:40" x14ac:dyDescent="0.25">
      <c r="A1211" s="134">
        <v>1201</v>
      </c>
      <c r="B1211" s="134" t="s">
        <v>204</v>
      </c>
      <c r="C1211" s="134" t="s">
        <v>205</v>
      </c>
      <c r="D1211" s="134" t="s">
        <v>62</v>
      </c>
      <c r="E1211" s="134">
        <v>0</v>
      </c>
      <c r="F1211" s="134">
        <v>0</v>
      </c>
      <c r="G1211" s="134">
        <v>210</v>
      </c>
      <c r="H1211" s="134">
        <v>1200</v>
      </c>
      <c r="I1211" s="200">
        <v>0.32354076198100001</v>
      </c>
      <c r="J1211" s="134">
        <v>1200</v>
      </c>
      <c r="K1211" s="134">
        <v>3708.9607895200002</v>
      </c>
      <c r="L1211" s="42">
        <v>0.95350789286600002</v>
      </c>
      <c r="M1211" s="42">
        <v>1</v>
      </c>
      <c r="N1211" s="134">
        <v>0</v>
      </c>
      <c r="O1211" s="43" t="s">
        <v>666</v>
      </c>
      <c r="P1211" s="43">
        <f t="shared" si="257"/>
        <v>17.168598637237526</v>
      </c>
      <c r="Q1211" s="43">
        <f t="shared" si="258"/>
        <v>8.3082799999999995E-3</v>
      </c>
      <c r="R1211" s="43">
        <f t="shared" si="259"/>
        <v>8.4538889999999992E-3</v>
      </c>
      <c r="S1211" s="43">
        <f t="shared" si="260"/>
        <v>0.95350789300000005</v>
      </c>
      <c r="T1211" s="43">
        <f t="shared" si="261"/>
        <v>4.2778062529999996</v>
      </c>
      <c r="U1211" s="43">
        <f t="shared" si="262"/>
        <v>10.91704462</v>
      </c>
      <c r="V1211" s="43">
        <f t="shared" si="263"/>
        <v>7.7343500000000001E-3</v>
      </c>
      <c r="W1211" s="230">
        <f t="shared" si="264"/>
        <v>9.1007095043497879E-3</v>
      </c>
      <c r="X1211" s="43">
        <f t="shared" si="265"/>
        <v>0.96446210499999996</v>
      </c>
      <c r="Y1211" s="43">
        <v>13.2038967</v>
      </c>
      <c r="Z1211" s="43">
        <f t="shared" si="254"/>
        <v>0</v>
      </c>
      <c r="AA1211" s="43">
        <f t="shared" si="255"/>
        <v>85233</v>
      </c>
      <c r="AB1211" s="43">
        <f t="shared" si="256"/>
        <v>30359</v>
      </c>
      <c r="AC1211" s="43">
        <f t="shared" si="266"/>
        <v>1.7062811181712705E-2</v>
      </c>
      <c r="AD1211" s="43">
        <f t="shared" si="267"/>
        <v>0.87966620448387123</v>
      </c>
      <c r="AF1211" s="43">
        <v>17.168598637237526</v>
      </c>
      <c r="AG1211" s="43">
        <v>8.3082799999999995E-3</v>
      </c>
      <c r="AH1211" s="43">
        <v>8.4538889999999992E-3</v>
      </c>
      <c r="AI1211" s="43">
        <v>0.95350789300000005</v>
      </c>
      <c r="AJ1211" s="43">
        <v>4.2778062529999996</v>
      </c>
      <c r="AK1211" s="43">
        <v>10.91704462</v>
      </c>
      <c r="AL1211" s="43">
        <v>7.7343500000000001E-3</v>
      </c>
      <c r="AM1211" s="230">
        <v>9.1007095043497879E-3</v>
      </c>
      <c r="AN1211" s="43">
        <v>0.96446210499999996</v>
      </c>
    </row>
    <row r="1212" spans="1:40" x14ac:dyDescent="0.25">
      <c r="A1212" s="134">
        <v>1202</v>
      </c>
      <c r="B1212" s="134" t="s">
        <v>204</v>
      </c>
      <c r="C1212" s="134" t="s">
        <v>205</v>
      </c>
      <c r="D1212" s="134" t="s">
        <v>62</v>
      </c>
      <c r="E1212" s="134">
        <v>0</v>
      </c>
      <c r="F1212" s="134">
        <v>0</v>
      </c>
      <c r="G1212" s="134">
        <v>93</v>
      </c>
      <c r="H1212" s="134">
        <v>1</v>
      </c>
      <c r="I1212" s="200">
        <v>0.142493074104</v>
      </c>
      <c r="J1212" s="134">
        <v>1</v>
      </c>
      <c r="K1212" s="134">
        <v>7.0178849483699999</v>
      </c>
      <c r="L1212" s="42">
        <v>0</v>
      </c>
      <c r="M1212" s="42">
        <v>1</v>
      </c>
      <c r="N1212" s="134">
        <v>0</v>
      </c>
      <c r="O1212" s="43" t="s">
        <v>666</v>
      </c>
      <c r="P1212" s="43">
        <f t="shared" si="257"/>
        <v>17.970864213525694</v>
      </c>
      <c r="Q1212" s="43">
        <f t="shared" si="258"/>
        <v>1.7062811181712708E-2</v>
      </c>
      <c r="R1212" s="43">
        <f t="shared" si="259"/>
        <v>1.2281927743016759E-2</v>
      </c>
      <c r="S1212" s="43">
        <f t="shared" si="260"/>
        <v>0.87966620448387112</v>
      </c>
      <c r="T1212" s="43">
        <f t="shared" si="261"/>
        <v>3.4720153019613269</v>
      </c>
      <c r="U1212" s="43">
        <f t="shared" si="262"/>
        <v>3.6694915250000002</v>
      </c>
      <c r="V1212" s="43">
        <f t="shared" si="263"/>
        <v>2.2188896352201251E-3</v>
      </c>
      <c r="W1212" s="230">
        <f t="shared" si="264"/>
        <v>3.7712999565398898E-2</v>
      </c>
      <c r="X1212" s="43">
        <f t="shared" si="265"/>
        <v>0.8985543829482765</v>
      </c>
      <c r="Y1212" s="43">
        <v>13.1998119</v>
      </c>
      <c r="Z1212" s="43">
        <f t="shared" si="254"/>
        <v>0</v>
      </c>
      <c r="AA1212" s="43">
        <f t="shared" si="255"/>
        <v>85233</v>
      </c>
      <c r="AB1212" s="43">
        <f t="shared" si="256"/>
        <v>30359</v>
      </c>
      <c r="AC1212" s="43">
        <f t="shared" si="266"/>
        <v>1.7062811181712705E-2</v>
      </c>
      <c r="AD1212" s="43">
        <f t="shared" si="267"/>
        <v>0.87966620448387123</v>
      </c>
      <c r="AF1212" s="43" t="e">
        <v>#DIV/0!</v>
      </c>
      <c r="AG1212" s="43" t="e">
        <v>#DIV/0!</v>
      </c>
      <c r="AH1212" s="43" t="e">
        <v>#DIV/0!</v>
      </c>
      <c r="AI1212" s="43" t="e">
        <v>#DIV/0!</v>
      </c>
      <c r="AJ1212" s="43" t="e">
        <v>#DIV/0!</v>
      </c>
      <c r="AK1212" s="43">
        <v>3.6694915250000002</v>
      </c>
      <c r="AL1212" s="43" t="e">
        <v>#DIV/0!</v>
      </c>
      <c r="AM1212" s="230" t="e">
        <v>#DIV/0!</v>
      </c>
      <c r="AN1212" s="43" t="e">
        <v>#DIV/0!</v>
      </c>
    </row>
    <row r="1213" spans="1:40" x14ac:dyDescent="0.25">
      <c r="A1213" s="134">
        <v>1203</v>
      </c>
      <c r="B1213" s="134" t="s">
        <v>204</v>
      </c>
      <c r="C1213" s="134" t="s">
        <v>205</v>
      </c>
      <c r="D1213" s="134" t="s">
        <v>62</v>
      </c>
      <c r="E1213" s="134">
        <v>135</v>
      </c>
      <c r="F1213" s="134">
        <v>378</v>
      </c>
      <c r="G1213" s="134">
        <v>116</v>
      </c>
      <c r="H1213" s="134">
        <v>0</v>
      </c>
      <c r="I1213" s="200">
        <v>0.17902577059999999</v>
      </c>
      <c r="J1213" s="134">
        <v>378</v>
      </c>
      <c r="K1213" s="134">
        <v>2111.42786166</v>
      </c>
      <c r="L1213" s="42">
        <v>0.92235902162799999</v>
      </c>
      <c r="M1213" s="42">
        <v>0</v>
      </c>
      <c r="N1213" s="134">
        <v>0</v>
      </c>
      <c r="O1213" s="43" t="s">
        <v>666</v>
      </c>
      <c r="P1213" s="43">
        <f t="shared" si="257"/>
        <v>20.102516015394922</v>
      </c>
      <c r="Q1213" s="43">
        <f t="shared" si="258"/>
        <v>1.9488429000000002E-2</v>
      </c>
      <c r="R1213" s="43">
        <f t="shared" si="259"/>
        <v>1.3052639E-2</v>
      </c>
      <c r="S1213" s="43">
        <f t="shared" si="260"/>
        <v>0.92235902199999997</v>
      </c>
      <c r="T1213" s="43">
        <f t="shared" si="261"/>
        <v>4.2151741290000002</v>
      </c>
      <c r="U1213" s="43">
        <f t="shared" si="262"/>
        <v>16.374592620000001</v>
      </c>
      <c r="V1213" s="43">
        <f t="shared" si="263"/>
        <v>5.3921299999999998E-4</v>
      </c>
      <c r="W1213" s="230">
        <f t="shared" si="264"/>
        <v>4.6132646336348934E-2</v>
      </c>
      <c r="X1213" s="43">
        <f t="shared" si="265"/>
        <v>0.90294170500000004</v>
      </c>
      <c r="Y1213" s="43">
        <v>13.73012707</v>
      </c>
      <c r="Z1213" s="43">
        <f t="shared" si="254"/>
        <v>0</v>
      </c>
      <c r="AA1213" s="43">
        <f t="shared" si="255"/>
        <v>85233</v>
      </c>
      <c r="AB1213" s="43">
        <f t="shared" si="256"/>
        <v>30359</v>
      </c>
      <c r="AC1213" s="43">
        <f t="shared" si="266"/>
        <v>1.7062811181712705E-2</v>
      </c>
      <c r="AD1213" s="43">
        <f t="shared" si="267"/>
        <v>0.87966620448387123</v>
      </c>
      <c r="AF1213" s="43">
        <v>20.102516015394922</v>
      </c>
      <c r="AG1213" s="43">
        <v>1.9488429000000002E-2</v>
      </c>
      <c r="AH1213" s="43">
        <v>1.3052639E-2</v>
      </c>
      <c r="AI1213" s="43">
        <v>0.92235902199999997</v>
      </c>
      <c r="AJ1213" s="43">
        <v>4.2151741290000002</v>
      </c>
      <c r="AK1213" s="43">
        <v>16.374592620000001</v>
      </c>
      <c r="AL1213" s="43">
        <v>5.3921299999999998E-4</v>
      </c>
      <c r="AM1213" s="230">
        <v>4.6132646336348934E-2</v>
      </c>
      <c r="AN1213" s="43">
        <v>0.90294170500000004</v>
      </c>
    </row>
    <row r="1214" spans="1:40" x14ac:dyDescent="0.25">
      <c r="A1214" s="134">
        <v>1204</v>
      </c>
      <c r="B1214" s="134" t="s">
        <v>204</v>
      </c>
      <c r="C1214" s="134" t="s">
        <v>205</v>
      </c>
      <c r="D1214" s="134" t="s">
        <v>62</v>
      </c>
      <c r="E1214" s="134">
        <v>425</v>
      </c>
      <c r="F1214" s="134">
        <v>1191</v>
      </c>
      <c r="G1214" s="134">
        <v>104</v>
      </c>
      <c r="H1214" s="134">
        <v>0</v>
      </c>
      <c r="I1214" s="200">
        <v>0.16050924807299999</v>
      </c>
      <c r="J1214" s="134">
        <v>1191</v>
      </c>
      <c r="K1214" s="134">
        <v>7420.1331966799999</v>
      </c>
      <c r="L1214" s="42">
        <v>0.891414089169</v>
      </c>
      <c r="M1214" s="42">
        <v>0</v>
      </c>
      <c r="N1214" s="134">
        <v>0</v>
      </c>
      <c r="O1214" s="43" t="s">
        <v>666</v>
      </c>
      <c r="P1214" s="43">
        <f t="shared" si="257"/>
        <v>18.953175284957247</v>
      </c>
      <c r="Q1214" s="43">
        <f t="shared" si="258"/>
        <v>2.4185373E-2</v>
      </c>
      <c r="R1214" s="43">
        <f t="shared" si="259"/>
        <v>1.3158167E-2</v>
      </c>
      <c r="S1214" s="43">
        <f t="shared" si="260"/>
        <v>0.89141408899999997</v>
      </c>
      <c r="T1214" s="43">
        <f t="shared" si="261"/>
        <v>2.998431987</v>
      </c>
      <c r="U1214" s="43">
        <f t="shared" si="262"/>
        <v>13.23883539</v>
      </c>
      <c r="V1214" s="43">
        <f t="shared" si="263"/>
        <v>1.933365E-3</v>
      </c>
      <c r="W1214" s="230">
        <f t="shared" si="264"/>
        <v>5.0098545283904269E-2</v>
      </c>
      <c r="X1214" s="43">
        <f t="shared" si="265"/>
        <v>0.92251525099999998</v>
      </c>
      <c r="Y1214" s="43">
        <v>80.596153299999997</v>
      </c>
      <c r="Z1214" s="43">
        <f t="shared" si="254"/>
        <v>0</v>
      </c>
      <c r="AA1214" s="43">
        <f t="shared" si="255"/>
        <v>85233</v>
      </c>
      <c r="AB1214" s="43">
        <f t="shared" si="256"/>
        <v>30359</v>
      </c>
      <c r="AC1214" s="43">
        <f t="shared" si="266"/>
        <v>1.7062811181712705E-2</v>
      </c>
      <c r="AD1214" s="43">
        <f t="shared" si="267"/>
        <v>0.87966620448387123</v>
      </c>
      <c r="AF1214" s="43">
        <v>18.953175284957247</v>
      </c>
      <c r="AG1214" s="43">
        <v>2.4185373E-2</v>
      </c>
      <c r="AH1214" s="43">
        <v>1.3158167E-2</v>
      </c>
      <c r="AI1214" s="43">
        <v>0.89141408899999997</v>
      </c>
      <c r="AJ1214" s="43">
        <v>2.998431987</v>
      </c>
      <c r="AK1214" s="43">
        <v>13.23883539</v>
      </c>
      <c r="AL1214" s="43">
        <v>1.933365E-3</v>
      </c>
      <c r="AM1214" s="230">
        <v>5.0098545283904269E-2</v>
      </c>
      <c r="AN1214" s="43">
        <v>0.92251525099999998</v>
      </c>
    </row>
    <row r="1215" spans="1:40" x14ac:dyDescent="0.25">
      <c r="A1215" s="134">
        <v>1205</v>
      </c>
      <c r="B1215" s="134" t="s">
        <v>204</v>
      </c>
      <c r="C1215" s="134" t="s">
        <v>205</v>
      </c>
      <c r="D1215" s="134" t="s">
        <v>62</v>
      </c>
      <c r="E1215" s="134">
        <v>500</v>
      </c>
      <c r="F1215" s="134">
        <v>1401</v>
      </c>
      <c r="G1215" s="134">
        <v>176</v>
      </c>
      <c r="H1215" s="134">
        <v>154</v>
      </c>
      <c r="I1215" s="200">
        <v>0.27098450793700002</v>
      </c>
      <c r="J1215" s="134">
        <v>1555</v>
      </c>
      <c r="K1215" s="134">
        <v>5738.3354193900004</v>
      </c>
      <c r="L1215" s="42">
        <v>0.89808482229300002</v>
      </c>
      <c r="M1215" s="42">
        <v>0.235474006116</v>
      </c>
      <c r="N1215" s="134">
        <v>0</v>
      </c>
      <c r="O1215" s="43" t="s">
        <v>666</v>
      </c>
      <c r="P1215" s="43">
        <f t="shared" si="257"/>
        <v>17.862601193571845</v>
      </c>
      <c r="Q1215" s="43">
        <f t="shared" si="258"/>
        <v>2.0823352999999999E-2</v>
      </c>
      <c r="R1215" s="43">
        <f t="shared" si="259"/>
        <v>1.246887E-2</v>
      </c>
      <c r="S1215" s="43">
        <f t="shared" si="260"/>
        <v>0.89808482199999995</v>
      </c>
      <c r="T1215" s="43">
        <f t="shared" si="261"/>
        <v>3.1277551020000001</v>
      </c>
      <c r="U1215" s="43">
        <f t="shared" si="262"/>
        <v>12.38501992</v>
      </c>
      <c r="V1215" s="43">
        <f t="shared" si="263"/>
        <v>2.1985559999999999E-3</v>
      </c>
      <c r="W1215" s="230">
        <f t="shared" si="264"/>
        <v>4.1187982919886131E-2</v>
      </c>
      <c r="X1215" s="43">
        <f t="shared" si="265"/>
        <v>0.92862952399999998</v>
      </c>
      <c r="Y1215" s="43">
        <v>80.437553390000005</v>
      </c>
      <c r="Z1215" s="43">
        <f t="shared" si="254"/>
        <v>0</v>
      </c>
      <c r="AA1215" s="43">
        <f t="shared" si="255"/>
        <v>85233</v>
      </c>
      <c r="AB1215" s="43">
        <f t="shared" si="256"/>
        <v>30359</v>
      </c>
      <c r="AC1215" s="43">
        <f t="shared" si="266"/>
        <v>1.7062811181712705E-2</v>
      </c>
      <c r="AD1215" s="43">
        <f t="shared" si="267"/>
        <v>0.87966620448387123</v>
      </c>
      <c r="AF1215" s="43">
        <v>17.862601193571845</v>
      </c>
      <c r="AG1215" s="43">
        <v>2.0823352999999999E-2</v>
      </c>
      <c r="AH1215" s="43">
        <v>1.246887E-2</v>
      </c>
      <c r="AI1215" s="43">
        <v>0.89808482199999995</v>
      </c>
      <c r="AJ1215" s="43">
        <v>3.1277551020000001</v>
      </c>
      <c r="AK1215" s="43">
        <v>12.38501992</v>
      </c>
      <c r="AL1215" s="43">
        <v>2.1985559999999999E-3</v>
      </c>
      <c r="AM1215" s="230">
        <v>4.1187982919886131E-2</v>
      </c>
      <c r="AN1215" s="43">
        <v>0.92862952399999998</v>
      </c>
    </row>
    <row r="1216" spans="1:40" x14ac:dyDescent="0.25">
      <c r="A1216" s="134">
        <v>1206</v>
      </c>
      <c r="B1216" s="134" t="s">
        <v>204</v>
      </c>
      <c r="C1216" s="134" t="s">
        <v>205</v>
      </c>
      <c r="D1216" s="134" t="s">
        <v>62</v>
      </c>
      <c r="E1216" s="134">
        <v>1</v>
      </c>
      <c r="F1216" s="134">
        <v>3</v>
      </c>
      <c r="G1216" s="134">
        <v>67</v>
      </c>
      <c r="H1216" s="134">
        <v>888</v>
      </c>
      <c r="I1216" s="200">
        <v>0.10239246848399999</v>
      </c>
      <c r="J1216" s="134">
        <v>891</v>
      </c>
      <c r="K1216" s="134">
        <v>8701.8118929299999</v>
      </c>
      <c r="L1216" s="42">
        <v>0.94588299393899999</v>
      </c>
      <c r="M1216" s="42">
        <v>0.998875140607</v>
      </c>
      <c r="N1216" s="134">
        <v>0</v>
      </c>
      <c r="O1216" s="43" t="s">
        <v>666</v>
      </c>
      <c r="P1216" s="43">
        <f t="shared" si="257"/>
        <v>16.678108248702589</v>
      </c>
      <c r="Q1216" s="43">
        <f t="shared" si="258"/>
        <v>6.6062789999999996E-3</v>
      </c>
      <c r="R1216" s="43">
        <f t="shared" si="259"/>
        <v>5.5302049999999998E-3</v>
      </c>
      <c r="S1216" s="43">
        <f t="shared" si="260"/>
        <v>0.94588299399999998</v>
      </c>
      <c r="T1216" s="43">
        <f t="shared" si="261"/>
        <v>3.9058240400000002</v>
      </c>
      <c r="U1216" s="43">
        <f t="shared" si="262"/>
        <v>10.827699429999999</v>
      </c>
      <c r="V1216" s="43">
        <f t="shared" si="263"/>
        <v>3.3523210000000001E-3</v>
      </c>
      <c r="W1216" s="230">
        <f t="shared" si="264"/>
        <v>6.2509452034077732E-3</v>
      </c>
      <c r="X1216" s="43">
        <f t="shared" si="265"/>
        <v>0.96592226599999997</v>
      </c>
      <c r="Y1216" s="43">
        <v>80.596153299999997</v>
      </c>
      <c r="Z1216" s="43">
        <f t="shared" si="254"/>
        <v>0</v>
      </c>
      <c r="AA1216" s="43">
        <f t="shared" si="255"/>
        <v>85233</v>
      </c>
      <c r="AB1216" s="43">
        <f t="shared" si="256"/>
        <v>30359</v>
      </c>
      <c r="AC1216" s="43">
        <f t="shared" si="266"/>
        <v>1.7062811181712705E-2</v>
      </c>
      <c r="AD1216" s="43">
        <f t="shared" si="267"/>
        <v>0.87966620448387123</v>
      </c>
      <c r="AF1216" s="43">
        <v>16.678108248702589</v>
      </c>
      <c r="AG1216" s="43">
        <v>6.6062789999999996E-3</v>
      </c>
      <c r="AH1216" s="43">
        <v>5.5302049999999998E-3</v>
      </c>
      <c r="AI1216" s="43">
        <v>0.94588299399999998</v>
      </c>
      <c r="AJ1216" s="43">
        <v>3.9058240400000002</v>
      </c>
      <c r="AK1216" s="43">
        <v>10.827699429999999</v>
      </c>
      <c r="AL1216" s="43">
        <v>3.3523210000000001E-3</v>
      </c>
      <c r="AM1216" s="230">
        <v>6.2509452034077732E-3</v>
      </c>
      <c r="AN1216" s="43">
        <v>0.96592226599999997</v>
      </c>
    </row>
    <row r="1217" spans="1:40" x14ac:dyDescent="0.25">
      <c r="A1217" s="134">
        <v>1207</v>
      </c>
      <c r="B1217" s="134" t="s">
        <v>204</v>
      </c>
      <c r="C1217" s="134" t="s">
        <v>205</v>
      </c>
      <c r="D1217" s="134" t="s">
        <v>62</v>
      </c>
      <c r="E1217" s="134">
        <v>0</v>
      </c>
      <c r="F1217" s="134">
        <v>0</v>
      </c>
      <c r="G1217" s="134">
        <v>62</v>
      </c>
      <c r="H1217" s="134">
        <v>404</v>
      </c>
      <c r="I1217" s="200">
        <v>9.5259626597499994E-2</v>
      </c>
      <c r="J1217" s="134">
        <v>404</v>
      </c>
      <c r="K1217" s="134">
        <v>4241.0411884900004</v>
      </c>
      <c r="L1217" s="42">
        <v>0.94336832337800003</v>
      </c>
      <c r="M1217" s="42">
        <v>1</v>
      </c>
      <c r="N1217" s="134">
        <v>0</v>
      </c>
      <c r="O1217" s="43" t="s">
        <v>666</v>
      </c>
      <c r="P1217" s="43">
        <f t="shared" si="257"/>
        <v>16.444354282004745</v>
      </c>
      <c r="Q1217" s="43">
        <f t="shared" si="258"/>
        <v>3.682654E-3</v>
      </c>
      <c r="R1217" s="43">
        <f t="shared" si="259"/>
        <v>4.8715420000000004E-3</v>
      </c>
      <c r="S1217" s="43">
        <f t="shared" si="260"/>
        <v>0.94336832299999995</v>
      </c>
      <c r="T1217" s="43">
        <f t="shared" si="261"/>
        <v>4.1854103340000002</v>
      </c>
      <c r="U1217" s="43">
        <f t="shared" si="262"/>
        <v>10.25060568</v>
      </c>
      <c r="V1217" s="43">
        <f t="shared" si="263"/>
        <v>2.5311219999999998E-3</v>
      </c>
      <c r="W1217" s="230">
        <f t="shared" si="264"/>
        <v>2.5827780360555812E-3</v>
      </c>
      <c r="X1217" s="43">
        <f t="shared" si="265"/>
        <v>0.96130998499999998</v>
      </c>
      <c r="Y1217" s="43">
        <v>80.596153299999997</v>
      </c>
      <c r="Z1217" s="43">
        <f t="shared" si="254"/>
        <v>0</v>
      </c>
      <c r="AA1217" s="43">
        <f t="shared" si="255"/>
        <v>85233</v>
      </c>
      <c r="AB1217" s="43">
        <f t="shared" si="256"/>
        <v>30359</v>
      </c>
      <c r="AC1217" s="43">
        <f t="shared" si="266"/>
        <v>1.7062811181712705E-2</v>
      </c>
      <c r="AD1217" s="43">
        <f t="shared" si="267"/>
        <v>0.87966620448387123</v>
      </c>
      <c r="AF1217" s="43">
        <v>16.444354282004745</v>
      </c>
      <c r="AG1217" s="43">
        <v>3.682654E-3</v>
      </c>
      <c r="AH1217" s="43">
        <v>4.8715420000000004E-3</v>
      </c>
      <c r="AI1217" s="43">
        <v>0.94336832299999995</v>
      </c>
      <c r="AJ1217" s="43">
        <v>4.1854103340000002</v>
      </c>
      <c r="AK1217" s="43">
        <v>10.25060568</v>
      </c>
      <c r="AL1217" s="43">
        <v>2.5311219999999998E-3</v>
      </c>
      <c r="AM1217" s="230">
        <v>2.5827780360555812E-3</v>
      </c>
      <c r="AN1217" s="43">
        <v>0.96130998499999998</v>
      </c>
    </row>
    <row r="1218" spans="1:40" x14ac:dyDescent="0.25">
      <c r="A1218" s="134">
        <v>1208</v>
      </c>
      <c r="B1218" s="134" t="s">
        <v>204</v>
      </c>
      <c r="C1218" s="134" t="s">
        <v>205</v>
      </c>
      <c r="D1218" s="134" t="s">
        <v>62</v>
      </c>
      <c r="E1218" s="134">
        <v>0</v>
      </c>
      <c r="F1218" s="134">
        <v>0</v>
      </c>
      <c r="G1218" s="134">
        <v>33</v>
      </c>
      <c r="H1218" s="134">
        <v>376</v>
      </c>
      <c r="I1218" s="200">
        <v>5.0612944004499998E-2</v>
      </c>
      <c r="J1218" s="134">
        <v>376</v>
      </c>
      <c r="K1218" s="134">
        <v>7428.9296423200003</v>
      </c>
      <c r="L1218" s="42">
        <v>0.92234914406900004</v>
      </c>
      <c r="M1218" s="42">
        <v>1</v>
      </c>
      <c r="N1218" s="134">
        <v>0</v>
      </c>
      <c r="O1218" s="43" t="s">
        <v>666</v>
      </c>
      <c r="P1218" s="43">
        <f t="shared" si="257"/>
        <v>16.134383240684244</v>
      </c>
      <c r="Q1218" s="43">
        <f t="shared" si="258"/>
        <v>8.0055690000000006E-3</v>
      </c>
      <c r="R1218" s="43">
        <f t="shared" si="259"/>
        <v>4.7780269999999998E-3</v>
      </c>
      <c r="S1218" s="43">
        <f t="shared" si="260"/>
        <v>0.92234914400000001</v>
      </c>
      <c r="T1218" s="43">
        <f t="shared" si="261"/>
        <v>3.8355263160000002</v>
      </c>
      <c r="U1218" s="43">
        <f t="shared" si="262"/>
        <v>9.9344808830000009</v>
      </c>
      <c r="V1218" s="43">
        <f t="shared" si="263"/>
        <v>2.2964750000000001E-3</v>
      </c>
      <c r="W1218" s="230">
        <f t="shared" si="264"/>
        <v>7.9802503157653006E-3</v>
      </c>
      <c r="X1218" s="43">
        <f t="shared" si="265"/>
        <v>0.93546905499999999</v>
      </c>
      <c r="Y1218" s="43">
        <v>80.479202540000003</v>
      </c>
      <c r="Z1218" s="43">
        <f t="shared" si="254"/>
        <v>0</v>
      </c>
      <c r="AA1218" s="43">
        <f t="shared" si="255"/>
        <v>85233</v>
      </c>
      <c r="AB1218" s="43">
        <f t="shared" si="256"/>
        <v>30359</v>
      </c>
      <c r="AC1218" s="43">
        <f t="shared" si="266"/>
        <v>1.7062811181712705E-2</v>
      </c>
      <c r="AD1218" s="43">
        <f t="shared" si="267"/>
        <v>0.87966620448387123</v>
      </c>
      <c r="AF1218" s="43">
        <v>16.134383240684244</v>
      </c>
      <c r="AG1218" s="43">
        <v>8.0055690000000006E-3</v>
      </c>
      <c r="AH1218" s="43">
        <v>4.7780269999999998E-3</v>
      </c>
      <c r="AI1218" s="43">
        <v>0.92234914400000001</v>
      </c>
      <c r="AJ1218" s="43">
        <v>3.8355263160000002</v>
      </c>
      <c r="AK1218" s="43">
        <v>9.9344808830000009</v>
      </c>
      <c r="AL1218" s="43">
        <v>2.2964750000000001E-3</v>
      </c>
      <c r="AM1218" s="230">
        <v>7.9802503157653006E-3</v>
      </c>
      <c r="AN1218" s="43">
        <v>0.93546905499999999</v>
      </c>
    </row>
    <row r="1219" spans="1:40" x14ac:dyDescent="0.25">
      <c r="A1219" s="134">
        <v>1209</v>
      </c>
      <c r="B1219" s="134" t="s">
        <v>204</v>
      </c>
      <c r="C1219" s="134" t="s">
        <v>205</v>
      </c>
      <c r="D1219" s="134" t="s">
        <v>62</v>
      </c>
      <c r="E1219" s="134">
        <v>975</v>
      </c>
      <c r="F1219" s="134">
        <v>2731</v>
      </c>
      <c r="G1219" s="134">
        <v>227</v>
      </c>
      <c r="H1219" s="134">
        <v>100</v>
      </c>
      <c r="I1219" s="200">
        <v>0.34953188916599998</v>
      </c>
      <c r="J1219" s="134">
        <v>2831</v>
      </c>
      <c r="K1219" s="134">
        <v>8099.4040536599996</v>
      </c>
      <c r="L1219" s="42">
        <v>0.87786320321400002</v>
      </c>
      <c r="M1219" s="42">
        <v>9.3023255814000005E-2</v>
      </c>
      <c r="N1219" s="134">
        <v>0</v>
      </c>
      <c r="O1219" s="43" t="s">
        <v>666</v>
      </c>
      <c r="P1219" s="43">
        <f t="shared" si="257"/>
        <v>18.540473588972716</v>
      </c>
      <c r="Q1219" s="43">
        <f t="shared" si="258"/>
        <v>2.2111357000000002E-2</v>
      </c>
      <c r="R1219" s="43">
        <f t="shared" si="259"/>
        <v>1.2572363E-2</v>
      </c>
      <c r="S1219" s="43">
        <f t="shared" si="260"/>
        <v>0.87786320299999998</v>
      </c>
      <c r="T1219" s="43">
        <f t="shared" si="261"/>
        <v>2.5905115699999999</v>
      </c>
      <c r="U1219" s="43">
        <f t="shared" si="262"/>
        <v>12.054099900000001</v>
      </c>
      <c r="V1219" s="43">
        <f t="shared" si="263"/>
        <v>1.8565840000000001E-3</v>
      </c>
      <c r="W1219" s="230">
        <f t="shared" si="264"/>
        <v>4.917318099819603E-2</v>
      </c>
      <c r="X1219" s="43">
        <f t="shared" si="265"/>
        <v>0.92224894800000001</v>
      </c>
      <c r="Y1219" s="43">
        <v>81.121101600000003</v>
      </c>
      <c r="Z1219" s="43">
        <f t="shared" si="254"/>
        <v>0</v>
      </c>
      <c r="AA1219" s="43">
        <f t="shared" si="255"/>
        <v>85233</v>
      </c>
      <c r="AB1219" s="43">
        <f t="shared" si="256"/>
        <v>30359</v>
      </c>
      <c r="AC1219" s="43">
        <f t="shared" si="266"/>
        <v>1.7062811181712705E-2</v>
      </c>
      <c r="AD1219" s="43">
        <f t="shared" si="267"/>
        <v>0.87966620448387123</v>
      </c>
      <c r="AF1219" s="43">
        <v>18.540473588972716</v>
      </c>
      <c r="AG1219" s="43">
        <v>2.2111357000000002E-2</v>
      </c>
      <c r="AH1219" s="43">
        <v>1.2572363E-2</v>
      </c>
      <c r="AI1219" s="43">
        <v>0.87786320299999998</v>
      </c>
      <c r="AJ1219" s="43">
        <v>2.5905115699999999</v>
      </c>
      <c r="AK1219" s="43">
        <v>12.054099900000001</v>
      </c>
      <c r="AL1219" s="43">
        <v>1.8565840000000001E-3</v>
      </c>
      <c r="AM1219" s="230">
        <v>4.917318099819603E-2</v>
      </c>
      <c r="AN1219" s="43">
        <v>0.92224894800000001</v>
      </c>
    </row>
    <row r="1220" spans="1:40" x14ac:dyDescent="0.25">
      <c r="A1220" s="134">
        <v>1210</v>
      </c>
      <c r="B1220" s="134" t="s">
        <v>204</v>
      </c>
      <c r="C1220" s="134" t="s">
        <v>205</v>
      </c>
      <c r="D1220" s="134" t="s">
        <v>62</v>
      </c>
      <c r="E1220" s="134">
        <v>250</v>
      </c>
      <c r="F1220" s="134">
        <v>700</v>
      </c>
      <c r="G1220" s="134">
        <v>98</v>
      </c>
      <c r="H1220" s="134">
        <v>0</v>
      </c>
      <c r="I1220" s="200">
        <v>0.15014449720699999</v>
      </c>
      <c r="J1220" s="134">
        <v>700</v>
      </c>
      <c r="K1220" s="134">
        <v>4662.1755243899997</v>
      </c>
      <c r="L1220" s="42">
        <v>0.90955265733699997</v>
      </c>
      <c r="M1220" s="42">
        <v>0</v>
      </c>
      <c r="N1220" s="134">
        <v>0</v>
      </c>
      <c r="O1220" s="43" t="s">
        <v>666</v>
      </c>
      <c r="P1220" s="43">
        <f t="shared" si="257"/>
        <v>18.840217156090002</v>
      </c>
      <c r="Q1220" s="43">
        <f t="shared" si="258"/>
        <v>2.1736637999999999E-2</v>
      </c>
      <c r="R1220" s="43">
        <f t="shared" si="259"/>
        <v>1.3482888E-2</v>
      </c>
      <c r="S1220" s="43">
        <f t="shared" si="260"/>
        <v>0.90955265699999999</v>
      </c>
      <c r="T1220" s="43">
        <f t="shared" si="261"/>
        <v>3.5851029080000001</v>
      </c>
      <c r="U1220" s="43">
        <f t="shared" si="262"/>
        <v>14.47075892</v>
      </c>
      <c r="V1220" s="43">
        <f t="shared" si="263"/>
        <v>1.3111609999999999E-3</v>
      </c>
      <c r="W1220" s="230">
        <f t="shared" si="264"/>
        <v>4.6050527662296135E-2</v>
      </c>
      <c r="X1220" s="43">
        <f t="shared" si="265"/>
        <v>0.91036136899999998</v>
      </c>
      <c r="Y1220" s="43">
        <v>13.883398740000001</v>
      </c>
      <c r="Z1220" s="43">
        <f t="shared" si="254"/>
        <v>0</v>
      </c>
      <c r="AA1220" s="43">
        <f t="shared" si="255"/>
        <v>85233</v>
      </c>
      <c r="AB1220" s="43">
        <f t="shared" si="256"/>
        <v>30359</v>
      </c>
      <c r="AC1220" s="43">
        <f t="shared" si="266"/>
        <v>1.7062811181712705E-2</v>
      </c>
      <c r="AD1220" s="43">
        <f t="shared" si="267"/>
        <v>0.87966620448387123</v>
      </c>
      <c r="AF1220" s="43">
        <v>18.840217156090002</v>
      </c>
      <c r="AG1220" s="43">
        <v>2.1736637999999999E-2</v>
      </c>
      <c r="AH1220" s="43">
        <v>1.3482888E-2</v>
      </c>
      <c r="AI1220" s="43">
        <v>0.90955265699999999</v>
      </c>
      <c r="AJ1220" s="43">
        <v>3.5851029080000001</v>
      </c>
      <c r="AK1220" s="43">
        <v>14.47075892</v>
      </c>
      <c r="AL1220" s="43">
        <v>1.3111609999999999E-3</v>
      </c>
      <c r="AM1220" s="230">
        <v>4.6050527662296135E-2</v>
      </c>
      <c r="AN1220" s="43">
        <v>0.91036136899999998</v>
      </c>
    </row>
    <row r="1221" spans="1:40" x14ac:dyDescent="0.25">
      <c r="A1221" s="134">
        <v>1211</v>
      </c>
      <c r="B1221" s="134" t="s">
        <v>204</v>
      </c>
      <c r="C1221" s="134" t="s">
        <v>205</v>
      </c>
      <c r="D1221" s="134" t="s">
        <v>62</v>
      </c>
      <c r="E1221" s="134">
        <v>0</v>
      </c>
      <c r="F1221" s="134">
        <v>0</v>
      </c>
      <c r="G1221" s="134">
        <v>68</v>
      </c>
      <c r="H1221" s="134">
        <v>580</v>
      </c>
      <c r="I1221" s="200">
        <v>0.10421926852500001</v>
      </c>
      <c r="J1221" s="134">
        <v>580</v>
      </c>
      <c r="K1221" s="134">
        <v>5565.1897025199996</v>
      </c>
      <c r="L1221" s="42">
        <v>0.94580982218300003</v>
      </c>
      <c r="M1221" s="42">
        <v>1</v>
      </c>
      <c r="N1221" s="134">
        <v>0</v>
      </c>
      <c r="O1221" s="43" t="s">
        <v>666</v>
      </c>
      <c r="P1221" s="43">
        <f t="shared" si="257"/>
        <v>16.918479919056114</v>
      </c>
      <c r="Q1221" s="43">
        <f t="shared" si="258"/>
        <v>8.7414529999999997E-3</v>
      </c>
      <c r="R1221" s="43">
        <f t="shared" si="259"/>
        <v>6.1719440000000004E-3</v>
      </c>
      <c r="S1221" s="43">
        <f t="shared" si="260"/>
        <v>0.94580982199999997</v>
      </c>
      <c r="T1221" s="43">
        <f t="shared" si="261"/>
        <v>4.3123249299999999</v>
      </c>
      <c r="U1221" s="43">
        <f t="shared" si="262"/>
        <v>9.9490730599999999</v>
      </c>
      <c r="V1221" s="43">
        <f t="shared" si="263"/>
        <v>1.9288549999999999E-3</v>
      </c>
      <c r="W1221" s="230">
        <f t="shared" si="264"/>
        <v>5.3414444155940512E-3</v>
      </c>
      <c r="X1221" s="43">
        <f t="shared" si="265"/>
        <v>0.96550317100000005</v>
      </c>
      <c r="Y1221" s="43">
        <v>13.33656045</v>
      </c>
      <c r="Z1221" s="43">
        <f t="shared" si="254"/>
        <v>0</v>
      </c>
      <c r="AA1221" s="43">
        <f t="shared" si="255"/>
        <v>85233</v>
      </c>
      <c r="AB1221" s="43">
        <f t="shared" si="256"/>
        <v>30359</v>
      </c>
      <c r="AC1221" s="43">
        <f t="shared" si="266"/>
        <v>1.7062811181712705E-2</v>
      </c>
      <c r="AD1221" s="43">
        <f t="shared" si="267"/>
        <v>0.87966620448387123</v>
      </c>
      <c r="AF1221" s="43">
        <v>16.918479919056114</v>
      </c>
      <c r="AG1221" s="43">
        <v>8.7414529999999997E-3</v>
      </c>
      <c r="AH1221" s="43">
        <v>6.1719440000000004E-3</v>
      </c>
      <c r="AI1221" s="43">
        <v>0.94580982199999997</v>
      </c>
      <c r="AJ1221" s="43">
        <v>4.3123249299999999</v>
      </c>
      <c r="AK1221" s="43">
        <v>9.9490730599999999</v>
      </c>
      <c r="AL1221" s="43">
        <v>1.9288549999999999E-3</v>
      </c>
      <c r="AM1221" s="230">
        <v>5.3414444155940512E-3</v>
      </c>
      <c r="AN1221" s="43">
        <v>0.96550317100000005</v>
      </c>
    </row>
    <row r="1222" spans="1:40" x14ac:dyDescent="0.25">
      <c r="A1222" s="134">
        <v>1212</v>
      </c>
      <c r="B1222" s="134" t="s">
        <v>204</v>
      </c>
      <c r="C1222" s="134" t="s">
        <v>205</v>
      </c>
      <c r="D1222" s="134" t="s">
        <v>62</v>
      </c>
      <c r="E1222" s="134">
        <v>0</v>
      </c>
      <c r="F1222" s="134">
        <v>0</v>
      </c>
      <c r="G1222" s="134">
        <v>40</v>
      </c>
      <c r="H1222" s="134">
        <v>0</v>
      </c>
      <c r="I1222" s="200">
        <v>6.1660589538299997E-2</v>
      </c>
      <c r="J1222" s="134">
        <v>0</v>
      </c>
      <c r="K1222" s="134">
        <v>0</v>
      </c>
      <c r="L1222" s="42">
        <v>0.89125295508299995</v>
      </c>
      <c r="M1222" s="42">
        <v>0</v>
      </c>
      <c r="N1222" s="134">
        <v>0</v>
      </c>
      <c r="O1222" s="43" t="s">
        <v>666</v>
      </c>
      <c r="P1222" s="43">
        <f t="shared" si="257"/>
        <v>17.970864213525694</v>
      </c>
      <c r="Q1222" s="43">
        <f t="shared" si="258"/>
        <v>2.4822694999999999E-2</v>
      </c>
      <c r="R1222" s="43">
        <f t="shared" si="259"/>
        <v>4.7281320000000003E-3</v>
      </c>
      <c r="S1222" s="43">
        <f t="shared" si="260"/>
        <v>0.89125295500000001</v>
      </c>
      <c r="T1222" s="43">
        <f t="shared" si="261"/>
        <v>2.125</v>
      </c>
      <c r="U1222" s="43">
        <f t="shared" si="262"/>
        <v>7.1847457629999996</v>
      </c>
      <c r="V1222" s="43">
        <f t="shared" si="263"/>
        <v>2.2188896352201251E-3</v>
      </c>
      <c r="W1222" s="230">
        <f t="shared" si="264"/>
        <v>3.7712999565398898E-2</v>
      </c>
      <c r="X1222" s="43">
        <f t="shared" si="265"/>
        <v>0.8985543829482765</v>
      </c>
      <c r="Y1222" s="43">
        <v>13.64172992</v>
      </c>
      <c r="Z1222" s="43">
        <f t="shared" si="254"/>
        <v>0</v>
      </c>
      <c r="AA1222" s="43">
        <f t="shared" si="255"/>
        <v>85233</v>
      </c>
      <c r="AB1222" s="43">
        <f t="shared" si="256"/>
        <v>30359</v>
      </c>
      <c r="AC1222" s="43">
        <f t="shared" si="266"/>
        <v>1.7062811181712705E-2</v>
      </c>
      <c r="AD1222" s="43">
        <f t="shared" si="267"/>
        <v>0.87966620448387123</v>
      </c>
      <c r="AF1222" s="43" t="e">
        <v>#DIV/0!</v>
      </c>
      <c r="AG1222" s="43">
        <v>2.4822694999999999E-2</v>
      </c>
      <c r="AH1222" s="43">
        <v>4.7281320000000003E-3</v>
      </c>
      <c r="AI1222" s="43">
        <v>0.89125295500000001</v>
      </c>
      <c r="AJ1222" s="43">
        <v>2.125</v>
      </c>
      <c r="AK1222" s="43">
        <v>7.1847457629999996</v>
      </c>
      <c r="AL1222" s="43" t="e">
        <v>#DIV/0!</v>
      </c>
      <c r="AM1222" s="230" t="e">
        <v>#DIV/0!</v>
      </c>
      <c r="AN1222" s="43" t="e">
        <v>#DIV/0!</v>
      </c>
    </row>
    <row r="1223" spans="1:40" x14ac:dyDescent="0.25">
      <c r="A1223" s="134">
        <v>1213</v>
      </c>
      <c r="B1223" s="134" t="s">
        <v>204</v>
      </c>
      <c r="C1223" s="134" t="s">
        <v>205</v>
      </c>
      <c r="D1223" s="134" t="s">
        <v>62</v>
      </c>
      <c r="E1223" s="134">
        <v>0</v>
      </c>
      <c r="F1223" s="134">
        <v>0</v>
      </c>
      <c r="G1223" s="134">
        <v>147</v>
      </c>
      <c r="H1223" s="134">
        <v>0</v>
      </c>
      <c r="I1223" s="200">
        <v>0.22534775491799999</v>
      </c>
      <c r="J1223" s="134">
        <v>0</v>
      </c>
      <c r="K1223" s="134">
        <v>0</v>
      </c>
      <c r="L1223" s="42">
        <v>0.90307328605199999</v>
      </c>
      <c r="M1223" s="42">
        <v>0</v>
      </c>
      <c r="N1223" s="134">
        <v>0</v>
      </c>
      <c r="O1223" s="43" t="s">
        <v>666</v>
      </c>
      <c r="P1223" s="43">
        <f t="shared" si="257"/>
        <v>17.970864213525694</v>
      </c>
      <c r="Q1223" s="43">
        <f t="shared" si="258"/>
        <v>2.3640662E-2</v>
      </c>
      <c r="R1223" s="43">
        <f t="shared" si="259"/>
        <v>4.7281320000000003E-3</v>
      </c>
      <c r="S1223" s="43">
        <f t="shared" si="260"/>
        <v>0.90307328600000003</v>
      </c>
      <c r="T1223" s="43">
        <f t="shared" si="261"/>
        <v>2.2857142860000002</v>
      </c>
      <c r="U1223" s="43">
        <f t="shared" si="262"/>
        <v>10.79564489</v>
      </c>
      <c r="V1223" s="43">
        <f t="shared" si="263"/>
        <v>2.2188896352201251E-3</v>
      </c>
      <c r="W1223" s="230">
        <f t="shared" si="264"/>
        <v>3.7712999565398898E-2</v>
      </c>
      <c r="X1223" s="43">
        <f t="shared" si="265"/>
        <v>0.8985543829482765</v>
      </c>
      <c r="Y1223" s="43">
        <v>13.19919462</v>
      </c>
      <c r="Z1223" s="43">
        <f t="shared" si="254"/>
        <v>0</v>
      </c>
      <c r="AA1223" s="43">
        <f t="shared" si="255"/>
        <v>85233</v>
      </c>
      <c r="AB1223" s="43">
        <f t="shared" si="256"/>
        <v>30359</v>
      </c>
      <c r="AC1223" s="43">
        <f t="shared" si="266"/>
        <v>1.7062811181712705E-2</v>
      </c>
      <c r="AD1223" s="43">
        <f t="shared" si="267"/>
        <v>0.87966620448387123</v>
      </c>
      <c r="AF1223" s="43" t="e">
        <v>#DIV/0!</v>
      </c>
      <c r="AG1223" s="43">
        <v>2.3640662E-2</v>
      </c>
      <c r="AH1223" s="43">
        <v>4.7281320000000003E-3</v>
      </c>
      <c r="AI1223" s="43">
        <v>0.90307328600000003</v>
      </c>
      <c r="AJ1223" s="43">
        <v>2.2857142860000002</v>
      </c>
      <c r="AK1223" s="43">
        <v>10.79564489</v>
      </c>
      <c r="AL1223" s="43" t="e">
        <v>#DIV/0!</v>
      </c>
      <c r="AM1223" s="230" t="e">
        <v>#DIV/0!</v>
      </c>
      <c r="AN1223" s="43" t="e">
        <v>#DIV/0!</v>
      </c>
    </row>
    <row r="1224" spans="1:40" x14ac:dyDescent="0.25">
      <c r="A1224" s="134">
        <v>1214</v>
      </c>
      <c r="B1224" s="134" t="s">
        <v>204</v>
      </c>
      <c r="C1224" s="134" t="s">
        <v>205</v>
      </c>
      <c r="D1224" s="134" t="s">
        <v>62</v>
      </c>
      <c r="E1224" s="134">
        <v>0</v>
      </c>
      <c r="F1224" s="134">
        <v>0</v>
      </c>
      <c r="G1224" s="134">
        <v>332</v>
      </c>
      <c r="H1224" s="134">
        <v>100</v>
      </c>
      <c r="I1224" s="200">
        <v>0.51134370513600003</v>
      </c>
      <c r="J1224" s="134">
        <v>100</v>
      </c>
      <c r="K1224" s="134">
        <v>195.563177948</v>
      </c>
      <c r="L1224" s="42">
        <v>0.93375164161699997</v>
      </c>
      <c r="M1224" s="42">
        <v>1</v>
      </c>
      <c r="N1224" s="134">
        <v>0</v>
      </c>
      <c r="O1224" s="43" t="s">
        <v>666</v>
      </c>
      <c r="P1224" s="43">
        <f t="shared" si="257"/>
        <v>16.259188527918571</v>
      </c>
      <c r="Q1224" s="43">
        <f t="shared" si="258"/>
        <v>6.0557420000000002E-3</v>
      </c>
      <c r="R1224" s="43">
        <f t="shared" si="259"/>
        <v>3.5750769999999999E-3</v>
      </c>
      <c r="S1224" s="43">
        <f t="shared" si="260"/>
        <v>0.93375164200000005</v>
      </c>
      <c r="T1224" s="43">
        <f t="shared" si="261"/>
        <v>6.0891089110000003</v>
      </c>
      <c r="U1224" s="43">
        <f t="shared" si="262"/>
        <v>9.9901912250000002</v>
      </c>
      <c r="V1224" s="43">
        <f t="shared" si="263"/>
        <v>3.7679E-4</v>
      </c>
      <c r="W1224" s="230">
        <f t="shared" si="264"/>
        <v>3.7712999565398898E-2</v>
      </c>
      <c r="X1224" s="43">
        <f t="shared" si="265"/>
        <v>0.946495855</v>
      </c>
      <c r="Y1224" s="43">
        <v>13.24115752</v>
      </c>
      <c r="Z1224" s="43">
        <f t="shared" si="254"/>
        <v>0</v>
      </c>
      <c r="AA1224" s="43">
        <f t="shared" si="255"/>
        <v>85233</v>
      </c>
      <c r="AB1224" s="43">
        <f t="shared" si="256"/>
        <v>30359</v>
      </c>
      <c r="AC1224" s="43">
        <f t="shared" si="266"/>
        <v>1.7062811181712705E-2</v>
      </c>
      <c r="AD1224" s="43">
        <f t="shared" si="267"/>
        <v>0.87966620448387123</v>
      </c>
      <c r="AF1224" s="43">
        <v>16.259188527918571</v>
      </c>
      <c r="AG1224" s="43">
        <v>6.0557420000000002E-3</v>
      </c>
      <c r="AH1224" s="43">
        <v>3.5750769999999999E-3</v>
      </c>
      <c r="AI1224" s="43">
        <v>0.93375164200000005</v>
      </c>
      <c r="AJ1224" s="43">
        <v>6.0891089110000003</v>
      </c>
      <c r="AK1224" s="43">
        <v>9.9901912250000002</v>
      </c>
      <c r="AL1224" s="43">
        <v>3.7679E-4</v>
      </c>
      <c r="AM1224" s="230">
        <v>0</v>
      </c>
      <c r="AN1224" s="43">
        <v>0.946495855</v>
      </c>
    </row>
    <row r="1225" spans="1:40" x14ac:dyDescent="0.25">
      <c r="A1225" s="134">
        <v>1215</v>
      </c>
      <c r="B1225" s="134" t="s">
        <v>204</v>
      </c>
      <c r="C1225" s="134" t="s">
        <v>205</v>
      </c>
      <c r="D1225" s="134" t="s">
        <v>62</v>
      </c>
      <c r="E1225" s="134">
        <v>0</v>
      </c>
      <c r="F1225" s="134">
        <v>0</v>
      </c>
      <c r="G1225" s="134">
        <v>122</v>
      </c>
      <c r="H1225" s="134">
        <v>0</v>
      </c>
      <c r="I1225" s="200">
        <v>0.18706774289100001</v>
      </c>
      <c r="J1225" s="134">
        <v>0</v>
      </c>
      <c r="K1225" s="134">
        <v>0</v>
      </c>
      <c r="L1225" s="42">
        <v>0.95759717314500004</v>
      </c>
      <c r="M1225" s="42">
        <v>0</v>
      </c>
      <c r="N1225" s="134">
        <v>0</v>
      </c>
      <c r="O1225" s="43" t="s">
        <v>666</v>
      </c>
      <c r="P1225" s="43">
        <f t="shared" si="257"/>
        <v>17.970864213525694</v>
      </c>
      <c r="Q1225" s="43">
        <f t="shared" si="258"/>
        <v>2.4734981999999999E-2</v>
      </c>
      <c r="R1225" s="43">
        <f t="shared" si="259"/>
        <v>1.1778559999999999E-3</v>
      </c>
      <c r="S1225" s="43">
        <f t="shared" si="260"/>
        <v>0.95759717300000002</v>
      </c>
      <c r="T1225" s="43">
        <f t="shared" si="261"/>
        <v>5</v>
      </c>
      <c r="U1225" s="43">
        <f t="shared" si="262"/>
        <v>22.224056600000001</v>
      </c>
      <c r="V1225" s="43">
        <f t="shared" si="263"/>
        <v>2.2188896352201251E-3</v>
      </c>
      <c r="W1225" s="230">
        <f t="shared" si="264"/>
        <v>3.7712999565398898E-2</v>
      </c>
      <c r="X1225" s="43">
        <f t="shared" si="265"/>
        <v>0.8985543829482765</v>
      </c>
      <c r="Y1225" s="43">
        <v>13.22149978</v>
      </c>
      <c r="Z1225" s="43">
        <f t="shared" si="254"/>
        <v>0</v>
      </c>
      <c r="AA1225" s="43">
        <f t="shared" si="255"/>
        <v>85233</v>
      </c>
      <c r="AB1225" s="43">
        <f t="shared" si="256"/>
        <v>30359</v>
      </c>
      <c r="AC1225" s="43">
        <f t="shared" si="266"/>
        <v>1.7062811181712705E-2</v>
      </c>
      <c r="AD1225" s="43">
        <f t="shared" si="267"/>
        <v>0.87966620448387123</v>
      </c>
      <c r="AF1225" s="43" t="e">
        <v>#DIV/0!</v>
      </c>
      <c r="AG1225" s="43">
        <v>2.4734981999999999E-2</v>
      </c>
      <c r="AH1225" s="43">
        <v>1.1778559999999999E-3</v>
      </c>
      <c r="AI1225" s="43">
        <v>0.95759717300000002</v>
      </c>
      <c r="AJ1225" s="43">
        <v>5</v>
      </c>
      <c r="AK1225" s="43">
        <v>22.224056600000001</v>
      </c>
      <c r="AL1225" s="43" t="e">
        <v>#DIV/0!</v>
      </c>
      <c r="AM1225" s="230" t="e">
        <v>#DIV/0!</v>
      </c>
      <c r="AN1225" s="43" t="e">
        <v>#DIV/0!</v>
      </c>
    </row>
    <row r="1226" spans="1:40" x14ac:dyDescent="0.25">
      <c r="A1226" s="134">
        <v>1216</v>
      </c>
      <c r="B1226" s="134" t="s">
        <v>204</v>
      </c>
      <c r="C1226" s="134" t="s">
        <v>205</v>
      </c>
      <c r="D1226" s="134" t="s">
        <v>62</v>
      </c>
      <c r="E1226" s="134">
        <v>0</v>
      </c>
      <c r="F1226" s="134">
        <v>0</v>
      </c>
      <c r="G1226" s="134">
        <v>150</v>
      </c>
      <c r="H1226" s="134">
        <v>2800</v>
      </c>
      <c r="I1226" s="200">
        <v>0.23110249971300001</v>
      </c>
      <c r="J1226" s="134">
        <v>2800</v>
      </c>
      <c r="K1226" s="134">
        <v>12115.836061800001</v>
      </c>
      <c r="L1226" s="42">
        <v>0.87988017664700002</v>
      </c>
      <c r="M1226" s="42">
        <v>1</v>
      </c>
      <c r="N1226" s="134">
        <v>0</v>
      </c>
      <c r="O1226" s="43" t="s">
        <v>664</v>
      </c>
      <c r="P1226" s="43">
        <f t="shared" si="257"/>
        <v>16.038248258271292</v>
      </c>
      <c r="Q1226" s="43">
        <f t="shared" si="258"/>
        <v>1.2126453000000001E-2</v>
      </c>
      <c r="R1226" s="43">
        <f t="shared" si="259"/>
        <v>7.7380770000000003E-3</v>
      </c>
      <c r="S1226" s="43">
        <f t="shared" si="260"/>
        <v>0.87988017699999999</v>
      </c>
      <c r="T1226" s="43">
        <f t="shared" si="261"/>
        <v>3.7378466449999999</v>
      </c>
      <c r="U1226" s="43">
        <f t="shared" si="262"/>
        <v>8.1866361859999994</v>
      </c>
      <c r="V1226" s="43">
        <f t="shared" si="263"/>
        <v>4.2124679999999996E-3</v>
      </c>
      <c r="W1226" s="230">
        <f t="shared" si="264"/>
        <v>1.5437407047367417E-2</v>
      </c>
      <c r="X1226" s="43">
        <f t="shared" si="265"/>
        <v>0.96035959699999995</v>
      </c>
      <c r="Y1226" s="43">
        <v>13.299586379999999</v>
      </c>
      <c r="Z1226" s="43">
        <f t="shared" si="254"/>
        <v>0</v>
      </c>
      <c r="AA1226" s="43">
        <f t="shared" si="255"/>
        <v>85233</v>
      </c>
      <c r="AB1226" s="43">
        <f t="shared" si="256"/>
        <v>30359</v>
      </c>
      <c r="AC1226" s="43">
        <f t="shared" si="266"/>
        <v>1.7062811181712705E-2</v>
      </c>
      <c r="AD1226" s="43">
        <f t="shared" si="267"/>
        <v>0.87966620448387123</v>
      </c>
      <c r="AF1226" s="43">
        <v>16.038248258271292</v>
      </c>
      <c r="AG1226" s="43">
        <v>1.2126453000000001E-2</v>
      </c>
      <c r="AH1226" s="43">
        <v>7.7380770000000003E-3</v>
      </c>
      <c r="AI1226" s="43">
        <v>0.87988017699999999</v>
      </c>
      <c r="AJ1226" s="43">
        <v>3.7378466449999999</v>
      </c>
      <c r="AK1226" s="43">
        <v>8.1866361859999994</v>
      </c>
      <c r="AL1226" s="43">
        <v>4.2124679999999996E-3</v>
      </c>
      <c r="AM1226" s="230">
        <v>1.5437407047367417E-2</v>
      </c>
      <c r="AN1226" s="43">
        <v>0.96035959699999995</v>
      </c>
    </row>
    <row r="1227" spans="1:40" x14ac:dyDescent="0.25">
      <c r="A1227" s="134">
        <v>1217</v>
      </c>
      <c r="B1227" s="134" t="s">
        <v>204</v>
      </c>
      <c r="C1227" s="134" t="s">
        <v>205</v>
      </c>
      <c r="D1227" s="134" t="s">
        <v>62</v>
      </c>
      <c r="E1227" s="134">
        <v>1</v>
      </c>
      <c r="F1227" s="134">
        <v>3</v>
      </c>
      <c r="G1227" s="134">
        <v>109</v>
      </c>
      <c r="H1227" s="134">
        <v>800</v>
      </c>
      <c r="I1227" s="200">
        <v>0.16743616016400001</v>
      </c>
      <c r="J1227" s="134">
        <v>803</v>
      </c>
      <c r="K1227" s="134">
        <v>4795.8577120600003</v>
      </c>
      <c r="L1227" s="42">
        <v>0.86143164077099998</v>
      </c>
      <c r="M1227" s="42">
        <v>0.99875156054900005</v>
      </c>
      <c r="N1227" s="134">
        <v>0</v>
      </c>
      <c r="O1227" s="43" t="s">
        <v>666</v>
      </c>
      <c r="P1227" s="43">
        <f t="shared" si="257"/>
        <v>16.648356943121406</v>
      </c>
      <c r="Q1227" s="43">
        <f t="shared" si="258"/>
        <v>1.0170307E-2</v>
      </c>
      <c r="R1227" s="43">
        <f t="shared" si="259"/>
        <v>9.4817789999999992E-3</v>
      </c>
      <c r="S1227" s="43">
        <f t="shared" si="260"/>
        <v>0.86143164100000003</v>
      </c>
      <c r="T1227" s="43">
        <f t="shared" si="261"/>
        <v>3.9949649740000002</v>
      </c>
      <c r="U1227" s="43">
        <f t="shared" si="262"/>
        <v>9.5299482009999998</v>
      </c>
      <c r="V1227" s="43">
        <f t="shared" si="263"/>
        <v>8.5162390000000001E-3</v>
      </c>
      <c r="W1227" s="230">
        <f t="shared" si="264"/>
        <v>1.3916308597530291E-2</v>
      </c>
      <c r="X1227" s="43">
        <f t="shared" si="265"/>
        <v>0.95724461000000005</v>
      </c>
      <c r="Y1227" s="43">
        <v>13.24114846</v>
      </c>
      <c r="Z1227" s="43">
        <f t="shared" ref="Z1227:Z1290" si="268">IF(B1227="Berkeley",1,0)</f>
        <v>0</v>
      </c>
      <c r="AA1227" s="43">
        <f t="shared" ref="AA1227:AA1290" si="269">SUMIFS(F:F,B:B,B1227)</f>
        <v>85233</v>
      </c>
      <c r="AB1227" s="43">
        <f t="shared" ref="AB1227:AB1290" si="270">SUMIFS(E:E,B:B,B1227)</f>
        <v>30359</v>
      </c>
      <c r="AC1227" s="43">
        <f t="shared" si="266"/>
        <v>1.7062811181712705E-2</v>
      </c>
      <c r="AD1227" s="43">
        <f t="shared" si="267"/>
        <v>0.87966620448387123</v>
      </c>
      <c r="AF1227" s="43">
        <v>16.648356943121406</v>
      </c>
      <c r="AG1227" s="43">
        <v>1.0170307E-2</v>
      </c>
      <c r="AH1227" s="43">
        <v>9.4817789999999992E-3</v>
      </c>
      <c r="AI1227" s="43">
        <v>0.86143164100000003</v>
      </c>
      <c r="AJ1227" s="43">
        <v>3.9949649740000002</v>
      </c>
      <c r="AK1227" s="43">
        <v>9.5299482009999998</v>
      </c>
      <c r="AL1227" s="43">
        <v>8.5162390000000001E-3</v>
      </c>
      <c r="AM1227" s="230">
        <v>1.3916308597530291E-2</v>
      </c>
      <c r="AN1227" s="43">
        <v>0.95724461000000005</v>
      </c>
    </row>
    <row r="1228" spans="1:40" x14ac:dyDescent="0.25">
      <c r="A1228" s="134">
        <v>1218</v>
      </c>
      <c r="B1228" s="134" t="s">
        <v>204</v>
      </c>
      <c r="C1228" s="134" t="s">
        <v>205</v>
      </c>
      <c r="D1228" s="134" t="s">
        <v>62</v>
      </c>
      <c r="E1228" s="134">
        <v>0</v>
      </c>
      <c r="F1228" s="134">
        <v>0</v>
      </c>
      <c r="G1228" s="134">
        <v>47</v>
      </c>
      <c r="H1228" s="134">
        <v>339</v>
      </c>
      <c r="I1228" s="200">
        <v>7.1600797548100004E-2</v>
      </c>
      <c r="J1228" s="134">
        <v>339</v>
      </c>
      <c r="K1228" s="134">
        <v>4734.5841332600003</v>
      </c>
      <c r="L1228" s="42">
        <v>0.94793754444900002</v>
      </c>
      <c r="M1228" s="42">
        <v>1</v>
      </c>
      <c r="N1228" s="134">
        <v>0</v>
      </c>
      <c r="O1228" s="43" t="s">
        <v>666</v>
      </c>
      <c r="P1228" s="43">
        <f t="shared" ref="P1228:P1291" si="271">IF(OR(IFERROR(AF1228=0,TRUE),ISERROR(AF1228)),AVERAGEIFS(AF:AF,$B:$B,$B1228,AF:AF,"&gt;0"),AF1228)</f>
        <v>16.564802964642986</v>
      </c>
      <c r="Q1228" s="43">
        <f t="shared" ref="Q1228:Q1291" si="272">IF(OR(IFERROR(AG1228=0,TRUE),ISERROR(AG1228)),AVERAGEIFS(AG:AG,$B:$B,$B1228,AG:AG,"&gt;0"),AG1228)</f>
        <v>1.7062811181712708E-2</v>
      </c>
      <c r="R1228" s="43">
        <f t="shared" ref="R1228:R1291" si="273">IF(OR(IFERROR(AH1228=0,TRUE),ISERROR(AH1228)),AVERAGEIFS(AH:AH,$B:$B,$B1228,AH:AH,"&gt;0"),AH1228)</f>
        <v>6.4815410000000004E-3</v>
      </c>
      <c r="S1228" s="43">
        <f t="shared" ref="S1228:S1291" si="274">IF(OR(IFERROR(AI1228=0,TRUE),ISERROR(AI1228)),AVERAGEIFS(AI:AI,$B:$B,$B1228,AI:AI,"&gt;0"),AI1228)</f>
        <v>0.94793754399999997</v>
      </c>
      <c r="T1228" s="43">
        <f t="shared" ref="T1228:T1291" si="275">IF(OR(IFERROR(AJ1228=0,TRUE),ISERROR(AJ1228)),AVERAGEIFS(AJ:AJ,$B:$B,$B1228,AJ:AJ,"&gt;0"),AJ1228)</f>
        <v>4.0803011290000004</v>
      </c>
      <c r="U1228" s="43">
        <f t="shared" ref="U1228:U1291" si="276">IF(OR(IFERROR(AK1228=0,TRUE),ISERROR(AK1228)),AVERAGEIFS(AK:AK,$B:$B,$B1228,AK:AK,"&gt;0"),AK1228)</f>
        <v>9.8682344079999993</v>
      </c>
      <c r="V1228" s="43">
        <f t="shared" ref="V1228:V1291" si="277">IF(OR(IFERROR(AL1228=0,TRUE),ISERROR(AL1228)),AVERAGEIFS(AL:AL,$B:$B,$B1228,AL:AL,"&gt;0"),AL1228)</f>
        <v>2.0156359999999999E-3</v>
      </c>
      <c r="W1228" s="230">
        <f t="shared" ref="W1228:W1291" si="278">IF(OR(IFERROR(AM1228=0,TRUE),ISERROR(AM1228)),AVERAGEIFS(AM:AM,$B:$B,$B1228,AM:AM,"&gt;0"),AM1228)</f>
        <v>3.7712999565398898E-2</v>
      </c>
      <c r="X1228" s="43">
        <f t="shared" ref="X1228:X1291" si="279">IF(OR(IFERROR(AN1228=0,TRUE),ISERROR(AN1228)),AVERAGEIFS(AN:AN,$B:$B,$B1228,AN:AN,"&gt;0"),AN1228)</f>
        <v>0.96139750800000001</v>
      </c>
      <c r="Y1228" s="43">
        <v>13.45086193</v>
      </c>
      <c r="Z1228" s="43">
        <f t="shared" si="268"/>
        <v>0</v>
      </c>
      <c r="AA1228" s="43">
        <f t="shared" si="269"/>
        <v>85233</v>
      </c>
      <c r="AB1228" s="43">
        <f t="shared" si="270"/>
        <v>30359</v>
      </c>
      <c r="AC1228" s="43">
        <f t="shared" ref="AC1228:AC1291" si="280">AVERAGEIFS(Q:Q,B:B,B1228,N:N,0,Q:Q,"&gt;0")</f>
        <v>1.7062811181712705E-2</v>
      </c>
      <c r="AD1228" s="43">
        <f t="shared" ref="AD1228:AD1291" si="281">AVERAGEIFS(S:S,B:B,B1228,N:N,0,S:S,"&gt;0")</f>
        <v>0.87966620448387123</v>
      </c>
      <c r="AF1228" s="43">
        <v>16.564802964642986</v>
      </c>
      <c r="AG1228" s="43">
        <v>0</v>
      </c>
      <c r="AH1228" s="43">
        <v>6.4815410000000004E-3</v>
      </c>
      <c r="AI1228" s="43">
        <v>0.94793754399999997</v>
      </c>
      <c r="AJ1228" s="43">
        <v>4.0803011290000004</v>
      </c>
      <c r="AK1228" s="43">
        <v>9.8682344079999993</v>
      </c>
      <c r="AL1228" s="43">
        <v>2.0156359999999999E-3</v>
      </c>
      <c r="AM1228" s="230">
        <v>0</v>
      </c>
      <c r="AN1228" s="43">
        <v>0.96139750800000001</v>
      </c>
    </row>
    <row r="1229" spans="1:40" x14ac:dyDescent="0.25">
      <c r="A1229" s="134">
        <v>1219</v>
      </c>
      <c r="B1229" s="134" t="s">
        <v>204</v>
      </c>
      <c r="C1229" s="134" t="s">
        <v>205</v>
      </c>
      <c r="D1229" s="134" t="s">
        <v>62</v>
      </c>
      <c r="E1229" s="134">
        <v>0</v>
      </c>
      <c r="F1229" s="134">
        <v>0</v>
      </c>
      <c r="G1229" s="134">
        <v>28</v>
      </c>
      <c r="H1229" s="134">
        <v>402</v>
      </c>
      <c r="I1229" s="200">
        <v>4.2968762741500001E-2</v>
      </c>
      <c r="J1229" s="134">
        <v>402</v>
      </c>
      <c r="K1229" s="134">
        <v>9355.6335894099993</v>
      </c>
      <c r="L1229" s="42">
        <v>0.94384684741400005</v>
      </c>
      <c r="M1229" s="42">
        <v>1</v>
      </c>
      <c r="N1229" s="134">
        <v>0</v>
      </c>
      <c r="O1229" s="43" t="s">
        <v>666</v>
      </c>
      <c r="P1229" s="43">
        <f t="shared" si="271"/>
        <v>16.529416380114505</v>
      </c>
      <c r="Q1229" s="43">
        <f t="shared" si="272"/>
        <v>8.7333040000000008E-3</v>
      </c>
      <c r="R1229" s="43">
        <f t="shared" si="273"/>
        <v>6.5001779999999997E-3</v>
      </c>
      <c r="S1229" s="43">
        <f t="shared" si="274"/>
        <v>0.94384684699999999</v>
      </c>
      <c r="T1229" s="43">
        <f t="shared" si="275"/>
        <v>4.2046014789999999</v>
      </c>
      <c r="U1229" s="43">
        <f t="shared" si="276"/>
        <v>9.4200276990000003</v>
      </c>
      <c r="V1229" s="43">
        <f t="shared" si="277"/>
        <v>1.5651199999999999E-3</v>
      </c>
      <c r="W1229" s="230">
        <f t="shared" si="278"/>
        <v>6.3163778647288976E-3</v>
      </c>
      <c r="X1229" s="43">
        <f t="shared" si="279"/>
        <v>0.95371715999999995</v>
      </c>
      <c r="Y1229" s="43">
        <v>13.199807529999999</v>
      </c>
      <c r="Z1229" s="43">
        <f t="shared" si="268"/>
        <v>0</v>
      </c>
      <c r="AA1229" s="43">
        <f t="shared" si="269"/>
        <v>85233</v>
      </c>
      <c r="AB1229" s="43">
        <f t="shared" si="270"/>
        <v>30359</v>
      </c>
      <c r="AC1229" s="43">
        <f t="shared" si="280"/>
        <v>1.7062811181712705E-2</v>
      </c>
      <c r="AD1229" s="43">
        <f t="shared" si="281"/>
        <v>0.87966620448387123</v>
      </c>
      <c r="AF1229" s="43">
        <v>16.529416380114505</v>
      </c>
      <c r="AG1229" s="43">
        <v>8.7333040000000008E-3</v>
      </c>
      <c r="AH1229" s="43">
        <v>6.5001779999999997E-3</v>
      </c>
      <c r="AI1229" s="43">
        <v>0.94384684699999999</v>
      </c>
      <c r="AJ1229" s="43">
        <v>4.2046014789999999</v>
      </c>
      <c r="AK1229" s="43">
        <v>9.4200276990000003</v>
      </c>
      <c r="AL1229" s="43">
        <v>1.5651199999999999E-3</v>
      </c>
      <c r="AM1229" s="230">
        <v>6.3163778647288976E-3</v>
      </c>
      <c r="AN1229" s="43">
        <v>0.95371715999999995</v>
      </c>
    </row>
    <row r="1230" spans="1:40" x14ac:dyDescent="0.25">
      <c r="A1230" s="134">
        <v>1220</v>
      </c>
      <c r="B1230" s="134" t="s">
        <v>204</v>
      </c>
      <c r="C1230" s="134" t="s">
        <v>205</v>
      </c>
      <c r="D1230" s="134" t="s">
        <v>62</v>
      </c>
      <c r="E1230" s="134">
        <v>1</v>
      </c>
      <c r="F1230" s="134">
        <v>3</v>
      </c>
      <c r="G1230" s="134">
        <v>48</v>
      </c>
      <c r="H1230" s="134">
        <v>172</v>
      </c>
      <c r="I1230" s="200">
        <v>7.7261244375899998E-2</v>
      </c>
      <c r="J1230" s="134">
        <v>175</v>
      </c>
      <c r="K1230" s="134">
        <v>2265.0424726299998</v>
      </c>
      <c r="L1230" s="42">
        <v>0.52475514588899996</v>
      </c>
      <c r="M1230" s="42">
        <v>0.99421965317899996</v>
      </c>
      <c r="N1230" s="134">
        <v>0</v>
      </c>
      <c r="O1230" s="43" t="s">
        <v>664</v>
      </c>
      <c r="P1230" s="43">
        <f t="shared" si="271"/>
        <v>16.269548180063158</v>
      </c>
      <c r="Q1230" s="43">
        <f t="shared" si="272"/>
        <v>1.4956331E-2</v>
      </c>
      <c r="R1230" s="43">
        <f t="shared" si="273"/>
        <v>0.31494796000000003</v>
      </c>
      <c r="S1230" s="43">
        <f t="shared" si="274"/>
        <v>0.52475514599999995</v>
      </c>
      <c r="T1230" s="43">
        <f t="shared" si="275"/>
        <v>2.842578644</v>
      </c>
      <c r="U1230" s="43">
        <f t="shared" si="276"/>
        <v>7.5944522709999998</v>
      </c>
      <c r="V1230" s="43">
        <f t="shared" si="277"/>
        <v>1.2501420000000001E-3</v>
      </c>
      <c r="W1230" s="230">
        <f t="shared" si="278"/>
        <v>4.7732696897374713E-3</v>
      </c>
      <c r="X1230" s="43">
        <f t="shared" si="279"/>
        <v>0.92544607300000004</v>
      </c>
      <c r="Y1230" s="43">
        <v>75.417801549999993</v>
      </c>
      <c r="Z1230" s="43">
        <f t="shared" si="268"/>
        <v>0</v>
      </c>
      <c r="AA1230" s="43">
        <f t="shared" si="269"/>
        <v>85233</v>
      </c>
      <c r="AB1230" s="43">
        <f t="shared" si="270"/>
        <v>30359</v>
      </c>
      <c r="AC1230" s="43">
        <f t="shared" si="280"/>
        <v>1.7062811181712705E-2</v>
      </c>
      <c r="AD1230" s="43">
        <f t="shared" si="281"/>
        <v>0.87966620448387123</v>
      </c>
      <c r="AF1230" s="43">
        <v>16.269548180063158</v>
      </c>
      <c r="AG1230" s="43">
        <v>1.4956331E-2</v>
      </c>
      <c r="AH1230" s="43">
        <v>0.31494796000000003</v>
      </c>
      <c r="AI1230" s="43">
        <v>0.52475514599999995</v>
      </c>
      <c r="AJ1230" s="43">
        <v>2.842578644</v>
      </c>
      <c r="AK1230" s="43">
        <v>7.5944522709999998</v>
      </c>
      <c r="AL1230" s="43">
        <v>1.2501420000000001E-3</v>
      </c>
      <c r="AM1230" s="230">
        <v>4.7732696897374713E-3</v>
      </c>
      <c r="AN1230" s="43">
        <v>0.92544607300000004</v>
      </c>
    </row>
    <row r="1231" spans="1:40" x14ac:dyDescent="0.25">
      <c r="A1231" s="134">
        <v>1221</v>
      </c>
      <c r="B1231" s="134" t="s">
        <v>204</v>
      </c>
      <c r="C1231" s="134" t="s">
        <v>205</v>
      </c>
      <c r="D1231" s="134" t="s">
        <v>62</v>
      </c>
      <c r="E1231" s="134">
        <v>300</v>
      </c>
      <c r="F1231" s="134">
        <v>916</v>
      </c>
      <c r="G1231" s="134">
        <v>77</v>
      </c>
      <c r="H1231" s="134">
        <v>172</v>
      </c>
      <c r="I1231" s="200">
        <v>0.12355065220100001</v>
      </c>
      <c r="J1231" s="134">
        <v>1088</v>
      </c>
      <c r="K1231" s="134">
        <v>8806.1048697000006</v>
      </c>
      <c r="L1231" s="42">
        <v>0.87753744925099997</v>
      </c>
      <c r="M1231" s="42">
        <v>0.36440677966099999</v>
      </c>
      <c r="N1231" s="134">
        <v>0</v>
      </c>
      <c r="O1231" s="43" t="s">
        <v>666</v>
      </c>
      <c r="P1231" s="43">
        <f t="shared" si="271"/>
        <v>18.154014513757783</v>
      </c>
      <c r="Q1231" s="43">
        <f t="shared" si="272"/>
        <v>2.3286200999999999E-2</v>
      </c>
      <c r="R1231" s="43">
        <f t="shared" si="273"/>
        <v>1.2267254999999999E-2</v>
      </c>
      <c r="S1231" s="43">
        <f t="shared" si="274"/>
        <v>0.87753744899999997</v>
      </c>
      <c r="T1231" s="43">
        <f t="shared" si="275"/>
        <v>2.5908226339999998</v>
      </c>
      <c r="U1231" s="43">
        <f t="shared" si="276"/>
        <v>11.539225719999999</v>
      </c>
      <c r="V1231" s="43">
        <f t="shared" si="277"/>
        <v>2.4373509999999999E-3</v>
      </c>
      <c r="W1231" s="230">
        <f t="shared" si="278"/>
        <v>4.7847795735819591E-2</v>
      </c>
      <c r="X1231" s="43">
        <f t="shared" si="279"/>
        <v>0.90345251900000001</v>
      </c>
      <c r="Y1231" s="43">
        <v>81.800029699999996</v>
      </c>
      <c r="Z1231" s="43">
        <f t="shared" si="268"/>
        <v>0</v>
      </c>
      <c r="AA1231" s="43">
        <f t="shared" si="269"/>
        <v>85233</v>
      </c>
      <c r="AB1231" s="43">
        <f t="shared" si="270"/>
        <v>30359</v>
      </c>
      <c r="AC1231" s="43">
        <f t="shared" si="280"/>
        <v>1.7062811181712705E-2</v>
      </c>
      <c r="AD1231" s="43">
        <f t="shared" si="281"/>
        <v>0.87966620448387123</v>
      </c>
      <c r="AF1231" s="43">
        <v>18.154014513757783</v>
      </c>
      <c r="AG1231" s="43">
        <v>2.3286200999999999E-2</v>
      </c>
      <c r="AH1231" s="43">
        <v>1.2267254999999999E-2</v>
      </c>
      <c r="AI1231" s="43">
        <v>0.87753744899999997</v>
      </c>
      <c r="AJ1231" s="43">
        <v>2.5908226339999998</v>
      </c>
      <c r="AK1231" s="43">
        <v>11.539225719999999</v>
      </c>
      <c r="AL1231" s="43">
        <v>2.4373509999999999E-3</v>
      </c>
      <c r="AM1231" s="230">
        <v>4.7847795735819591E-2</v>
      </c>
      <c r="AN1231" s="43">
        <v>0.90345251900000001</v>
      </c>
    </row>
    <row r="1232" spans="1:40" x14ac:dyDescent="0.25">
      <c r="A1232" s="134">
        <v>1222</v>
      </c>
      <c r="B1232" s="134" t="s">
        <v>204</v>
      </c>
      <c r="C1232" s="134" t="s">
        <v>205</v>
      </c>
      <c r="D1232" s="134" t="s">
        <v>62</v>
      </c>
      <c r="E1232" s="134">
        <v>385</v>
      </c>
      <c r="F1232" s="134">
        <v>1175</v>
      </c>
      <c r="G1232" s="134">
        <v>81</v>
      </c>
      <c r="H1232" s="134">
        <v>0</v>
      </c>
      <c r="I1232" s="200">
        <v>0.129641155354</v>
      </c>
      <c r="J1232" s="134">
        <v>1175</v>
      </c>
      <c r="K1232" s="134">
        <v>9063.4798555699999</v>
      </c>
      <c r="L1232" s="42">
        <v>0.86966188438600001</v>
      </c>
      <c r="M1232" s="42">
        <v>0</v>
      </c>
      <c r="N1232" s="134">
        <v>0</v>
      </c>
      <c r="O1232" s="43" t="s">
        <v>666</v>
      </c>
      <c r="P1232" s="43">
        <f t="shared" si="271"/>
        <v>19.168387215154652</v>
      </c>
      <c r="Q1232" s="43">
        <f t="shared" si="272"/>
        <v>2.4762383999999998E-2</v>
      </c>
      <c r="R1232" s="43">
        <f t="shared" si="273"/>
        <v>1.3040404E-2</v>
      </c>
      <c r="S1232" s="43">
        <f t="shared" si="274"/>
        <v>0.869661884</v>
      </c>
      <c r="T1232" s="43">
        <f t="shared" si="275"/>
        <v>2.5575910240000002</v>
      </c>
      <c r="U1232" s="43">
        <f t="shared" si="276"/>
        <v>12.49750721</v>
      </c>
      <c r="V1232" s="43">
        <f t="shared" si="277"/>
        <v>1.690801E-3</v>
      </c>
      <c r="W1232" s="230">
        <f t="shared" si="278"/>
        <v>6.7932040688319831E-2</v>
      </c>
      <c r="X1232" s="43">
        <f t="shared" si="279"/>
        <v>0.88630723499999997</v>
      </c>
      <c r="Y1232" s="43">
        <v>94.561493850000005</v>
      </c>
      <c r="Z1232" s="43">
        <f t="shared" si="268"/>
        <v>0</v>
      </c>
      <c r="AA1232" s="43">
        <f t="shared" si="269"/>
        <v>85233</v>
      </c>
      <c r="AB1232" s="43">
        <f t="shared" si="270"/>
        <v>30359</v>
      </c>
      <c r="AC1232" s="43">
        <f t="shared" si="280"/>
        <v>1.7062811181712705E-2</v>
      </c>
      <c r="AD1232" s="43">
        <f t="shared" si="281"/>
        <v>0.87966620448387123</v>
      </c>
      <c r="AF1232" s="43">
        <v>19.168387215154652</v>
      </c>
      <c r="AG1232" s="43">
        <v>2.4762383999999998E-2</v>
      </c>
      <c r="AH1232" s="43">
        <v>1.3040404E-2</v>
      </c>
      <c r="AI1232" s="43">
        <v>0.869661884</v>
      </c>
      <c r="AJ1232" s="43">
        <v>2.5575910240000002</v>
      </c>
      <c r="AK1232" s="43">
        <v>12.49750721</v>
      </c>
      <c r="AL1232" s="43">
        <v>1.690801E-3</v>
      </c>
      <c r="AM1232" s="230">
        <v>6.7932040688319831E-2</v>
      </c>
      <c r="AN1232" s="43">
        <v>0.88630723499999997</v>
      </c>
    </row>
    <row r="1233" spans="1:40" x14ac:dyDescent="0.25">
      <c r="A1233" s="134">
        <v>1223</v>
      </c>
      <c r="B1233" s="134" t="s">
        <v>204</v>
      </c>
      <c r="C1233" s="134" t="s">
        <v>205</v>
      </c>
      <c r="D1233" s="134" t="s">
        <v>62</v>
      </c>
      <c r="E1233" s="134">
        <v>339</v>
      </c>
      <c r="F1233" s="134">
        <v>1034</v>
      </c>
      <c r="G1233" s="134">
        <v>89</v>
      </c>
      <c r="H1233" s="134">
        <v>172</v>
      </c>
      <c r="I1233" s="200">
        <v>0.14276641253899999</v>
      </c>
      <c r="J1233" s="134">
        <v>1206</v>
      </c>
      <c r="K1233" s="134">
        <v>8447.3650247900005</v>
      </c>
      <c r="L1233" s="42">
        <v>0.86596250882400005</v>
      </c>
      <c r="M1233" s="42">
        <v>0.33659491193699997</v>
      </c>
      <c r="N1233" s="134">
        <v>0</v>
      </c>
      <c r="O1233" s="43" t="s">
        <v>666</v>
      </c>
      <c r="P1233" s="43">
        <f t="shared" si="271"/>
        <v>18.208285640524185</v>
      </c>
      <c r="Q1233" s="43">
        <f t="shared" si="272"/>
        <v>1.8342963E-2</v>
      </c>
      <c r="R1233" s="43">
        <f t="shared" si="273"/>
        <v>1.3406886E-2</v>
      </c>
      <c r="S1233" s="43">
        <f t="shared" si="274"/>
        <v>0.86596250900000005</v>
      </c>
      <c r="T1233" s="43">
        <f t="shared" si="275"/>
        <v>2.403005464</v>
      </c>
      <c r="U1233" s="43">
        <f t="shared" si="276"/>
        <v>11.21591838</v>
      </c>
      <c r="V1233" s="43">
        <f t="shared" si="277"/>
        <v>2.478662E-3</v>
      </c>
      <c r="W1233" s="230">
        <f t="shared" si="278"/>
        <v>4.6685059056815248E-2</v>
      </c>
      <c r="X1233" s="43">
        <f t="shared" si="279"/>
        <v>0.90443141699999996</v>
      </c>
      <c r="Y1233" s="43">
        <v>73.310980720000003</v>
      </c>
      <c r="Z1233" s="43">
        <f t="shared" si="268"/>
        <v>0</v>
      </c>
      <c r="AA1233" s="43">
        <f t="shared" si="269"/>
        <v>85233</v>
      </c>
      <c r="AB1233" s="43">
        <f t="shared" si="270"/>
        <v>30359</v>
      </c>
      <c r="AC1233" s="43">
        <f t="shared" si="280"/>
        <v>1.7062811181712705E-2</v>
      </c>
      <c r="AD1233" s="43">
        <f t="shared" si="281"/>
        <v>0.87966620448387123</v>
      </c>
      <c r="AF1233" s="43">
        <v>18.208285640524185</v>
      </c>
      <c r="AG1233" s="43">
        <v>1.8342963E-2</v>
      </c>
      <c r="AH1233" s="43">
        <v>1.3406886E-2</v>
      </c>
      <c r="AI1233" s="43">
        <v>0.86596250900000005</v>
      </c>
      <c r="AJ1233" s="43">
        <v>2.403005464</v>
      </c>
      <c r="AK1233" s="43">
        <v>11.21591838</v>
      </c>
      <c r="AL1233" s="43">
        <v>2.478662E-3</v>
      </c>
      <c r="AM1233" s="230">
        <v>4.6685059056815248E-2</v>
      </c>
      <c r="AN1233" s="43">
        <v>0.90443141699999996</v>
      </c>
    </row>
    <row r="1234" spans="1:40" x14ac:dyDescent="0.25">
      <c r="A1234" s="134">
        <v>1224</v>
      </c>
      <c r="B1234" s="134" t="s">
        <v>204</v>
      </c>
      <c r="C1234" s="134" t="s">
        <v>205</v>
      </c>
      <c r="D1234" s="134" t="s">
        <v>62</v>
      </c>
      <c r="E1234" s="134">
        <v>514</v>
      </c>
      <c r="F1234" s="134">
        <v>1480</v>
      </c>
      <c r="G1234" s="134">
        <v>178</v>
      </c>
      <c r="H1234" s="134">
        <v>0</v>
      </c>
      <c r="I1234" s="200">
        <v>0.28265074371900001</v>
      </c>
      <c r="J1234" s="134">
        <v>1480</v>
      </c>
      <c r="K1234" s="134">
        <v>5236.1440147800004</v>
      </c>
      <c r="L1234" s="42">
        <v>0.90416409530499997</v>
      </c>
      <c r="M1234" s="42">
        <v>0</v>
      </c>
      <c r="N1234" s="134">
        <v>0</v>
      </c>
      <c r="O1234" s="43" t="s">
        <v>665</v>
      </c>
      <c r="P1234" s="43">
        <f t="shared" si="271"/>
        <v>19.550987427088245</v>
      </c>
      <c r="Q1234" s="43">
        <f t="shared" si="272"/>
        <v>3.1810079999999998E-2</v>
      </c>
      <c r="R1234" s="43">
        <f t="shared" si="273"/>
        <v>1.2985556000000001E-2</v>
      </c>
      <c r="S1234" s="43">
        <f t="shared" si="274"/>
        <v>0.90416409499999995</v>
      </c>
      <c r="T1234" s="43">
        <f t="shared" si="275"/>
        <v>3.3255156349999999</v>
      </c>
      <c r="U1234" s="43">
        <f t="shared" si="276"/>
        <v>14.93417399</v>
      </c>
      <c r="V1234" s="43">
        <f t="shared" si="277"/>
        <v>1.43304E-3</v>
      </c>
      <c r="W1234" s="230">
        <f t="shared" si="278"/>
        <v>7.2281155519826626E-2</v>
      </c>
      <c r="X1234" s="43">
        <f t="shared" si="279"/>
        <v>0.90498243700000003</v>
      </c>
      <c r="Y1234" s="43">
        <v>109.4532937</v>
      </c>
      <c r="Z1234" s="43">
        <f t="shared" si="268"/>
        <v>0</v>
      </c>
      <c r="AA1234" s="43">
        <f t="shared" si="269"/>
        <v>85233</v>
      </c>
      <c r="AB1234" s="43">
        <f t="shared" si="270"/>
        <v>30359</v>
      </c>
      <c r="AC1234" s="43">
        <f t="shared" si="280"/>
        <v>1.7062811181712705E-2</v>
      </c>
      <c r="AD1234" s="43">
        <f t="shared" si="281"/>
        <v>0.87966620448387123</v>
      </c>
      <c r="AF1234" s="43">
        <v>19.550987427088245</v>
      </c>
      <c r="AG1234" s="43">
        <v>3.1810079999999998E-2</v>
      </c>
      <c r="AH1234" s="43">
        <v>1.2985556000000001E-2</v>
      </c>
      <c r="AI1234" s="43">
        <v>0.90416409499999995</v>
      </c>
      <c r="AJ1234" s="43">
        <v>3.3255156349999999</v>
      </c>
      <c r="AK1234" s="43">
        <v>14.93417399</v>
      </c>
      <c r="AL1234" s="43">
        <v>1.43304E-3</v>
      </c>
      <c r="AM1234" s="230">
        <v>7.2281155519826626E-2</v>
      </c>
      <c r="AN1234" s="43">
        <v>0.90498243700000003</v>
      </c>
    </row>
    <row r="1235" spans="1:40" x14ac:dyDescent="0.25">
      <c r="A1235" s="134">
        <v>1225</v>
      </c>
      <c r="B1235" s="134" t="s">
        <v>204</v>
      </c>
      <c r="C1235" s="134" t="s">
        <v>205</v>
      </c>
      <c r="D1235" s="134" t="s">
        <v>62</v>
      </c>
      <c r="E1235" s="134">
        <v>339</v>
      </c>
      <c r="F1235" s="134">
        <v>975</v>
      </c>
      <c r="G1235" s="134">
        <v>94</v>
      </c>
      <c r="H1235" s="134">
        <v>0</v>
      </c>
      <c r="I1235" s="200">
        <v>0.14936191236900001</v>
      </c>
      <c r="J1235" s="134">
        <v>975</v>
      </c>
      <c r="K1235" s="134">
        <v>6527.7685893099997</v>
      </c>
      <c r="L1235" s="42">
        <v>0.88676733532600005</v>
      </c>
      <c r="M1235" s="42">
        <v>0</v>
      </c>
      <c r="N1235" s="134">
        <v>0</v>
      </c>
      <c r="O1235" s="43" t="s">
        <v>665</v>
      </c>
      <c r="P1235" s="43">
        <f t="shared" si="271"/>
        <v>19.142981483639527</v>
      </c>
      <c r="Q1235" s="43">
        <f t="shared" si="272"/>
        <v>3.0350687000000001E-2</v>
      </c>
      <c r="R1235" s="43">
        <f t="shared" si="273"/>
        <v>1.239869E-2</v>
      </c>
      <c r="S1235" s="43">
        <f t="shared" si="274"/>
        <v>0.88676733500000005</v>
      </c>
      <c r="T1235" s="43">
        <f t="shared" si="275"/>
        <v>2.9011506279999999</v>
      </c>
      <c r="U1235" s="43">
        <f t="shared" si="276"/>
        <v>13.32400073</v>
      </c>
      <c r="V1235" s="43">
        <f t="shared" si="277"/>
        <v>1.287542E-3</v>
      </c>
      <c r="W1235" s="230">
        <f t="shared" si="278"/>
        <v>6.9290800641143555E-2</v>
      </c>
      <c r="X1235" s="43">
        <f t="shared" si="279"/>
        <v>0.896471083</v>
      </c>
      <c r="Y1235" s="43">
        <v>165.60781710000001</v>
      </c>
      <c r="Z1235" s="43">
        <f t="shared" si="268"/>
        <v>0</v>
      </c>
      <c r="AA1235" s="43">
        <f t="shared" si="269"/>
        <v>85233</v>
      </c>
      <c r="AB1235" s="43">
        <f t="shared" si="270"/>
        <v>30359</v>
      </c>
      <c r="AC1235" s="43">
        <f t="shared" si="280"/>
        <v>1.7062811181712705E-2</v>
      </c>
      <c r="AD1235" s="43">
        <f t="shared" si="281"/>
        <v>0.87966620448387123</v>
      </c>
      <c r="AF1235" s="43">
        <v>19.142981483639527</v>
      </c>
      <c r="AG1235" s="43">
        <v>3.0350687000000001E-2</v>
      </c>
      <c r="AH1235" s="43">
        <v>1.239869E-2</v>
      </c>
      <c r="AI1235" s="43">
        <v>0.88676733500000005</v>
      </c>
      <c r="AJ1235" s="43">
        <v>2.9011506279999999</v>
      </c>
      <c r="AK1235" s="43">
        <v>13.32400073</v>
      </c>
      <c r="AL1235" s="43">
        <v>1.287542E-3</v>
      </c>
      <c r="AM1235" s="230">
        <v>6.9290800641143555E-2</v>
      </c>
      <c r="AN1235" s="43">
        <v>0.896471083</v>
      </c>
    </row>
    <row r="1236" spans="1:40" x14ac:dyDescent="0.25">
      <c r="A1236" s="134">
        <v>1226</v>
      </c>
      <c r="B1236" s="134" t="s">
        <v>204</v>
      </c>
      <c r="C1236" s="134" t="s">
        <v>205</v>
      </c>
      <c r="D1236" s="134" t="s">
        <v>62</v>
      </c>
      <c r="E1236" s="134">
        <v>178</v>
      </c>
      <c r="F1236" s="134">
        <v>513</v>
      </c>
      <c r="G1236" s="134">
        <v>59</v>
      </c>
      <c r="H1236" s="134">
        <v>0</v>
      </c>
      <c r="I1236" s="200">
        <v>9.4246378508099998E-2</v>
      </c>
      <c r="J1236" s="134">
        <v>513</v>
      </c>
      <c r="K1236" s="134">
        <v>5443.1799727600001</v>
      </c>
      <c r="L1236" s="42">
        <v>0.90778869748299995</v>
      </c>
      <c r="M1236" s="42">
        <v>0</v>
      </c>
      <c r="N1236" s="134">
        <v>0</v>
      </c>
      <c r="O1236" s="43" t="s">
        <v>665</v>
      </c>
      <c r="P1236" s="43">
        <f t="shared" si="271"/>
        <v>20.365681649357882</v>
      </c>
      <c r="Q1236" s="43">
        <f t="shared" si="272"/>
        <v>1.6815515E-2</v>
      </c>
      <c r="R1236" s="43">
        <f t="shared" si="273"/>
        <v>1.2829615000000001E-2</v>
      </c>
      <c r="S1236" s="43">
        <f t="shared" si="274"/>
        <v>0.90778869699999998</v>
      </c>
      <c r="T1236" s="43">
        <f t="shared" si="275"/>
        <v>3.5737148400000001</v>
      </c>
      <c r="U1236" s="43">
        <f t="shared" si="276"/>
        <v>15.608988480000001</v>
      </c>
      <c r="V1236" s="43">
        <f t="shared" si="277"/>
        <v>7.0098100000000004E-4</v>
      </c>
      <c r="W1236" s="230">
        <f t="shared" si="278"/>
        <v>5.9232926096535153E-2</v>
      </c>
      <c r="X1236" s="43">
        <f t="shared" si="279"/>
        <v>0.89380132199999995</v>
      </c>
      <c r="Y1236" s="43">
        <v>99.801091769999999</v>
      </c>
      <c r="Z1236" s="43">
        <f t="shared" si="268"/>
        <v>0</v>
      </c>
      <c r="AA1236" s="43">
        <f t="shared" si="269"/>
        <v>85233</v>
      </c>
      <c r="AB1236" s="43">
        <f t="shared" si="270"/>
        <v>30359</v>
      </c>
      <c r="AC1236" s="43">
        <f t="shared" si="280"/>
        <v>1.7062811181712705E-2</v>
      </c>
      <c r="AD1236" s="43">
        <f t="shared" si="281"/>
        <v>0.87966620448387123</v>
      </c>
      <c r="AF1236" s="43">
        <v>20.365681649357882</v>
      </c>
      <c r="AG1236" s="43">
        <v>1.6815515E-2</v>
      </c>
      <c r="AH1236" s="43">
        <v>1.2829615000000001E-2</v>
      </c>
      <c r="AI1236" s="43">
        <v>0.90778869699999998</v>
      </c>
      <c r="AJ1236" s="43">
        <v>3.5737148400000001</v>
      </c>
      <c r="AK1236" s="43">
        <v>15.608988480000001</v>
      </c>
      <c r="AL1236" s="43">
        <v>7.0098100000000004E-4</v>
      </c>
      <c r="AM1236" s="230">
        <v>5.9232926096535153E-2</v>
      </c>
      <c r="AN1236" s="43">
        <v>0.89380132199999995</v>
      </c>
    </row>
    <row r="1237" spans="1:40" x14ac:dyDescent="0.25">
      <c r="A1237" s="134">
        <v>1227</v>
      </c>
      <c r="B1237" s="134" t="s">
        <v>204</v>
      </c>
      <c r="C1237" s="134" t="s">
        <v>205</v>
      </c>
      <c r="D1237" s="134" t="s">
        <v>62</v>
      </c>
      <c r="E1237" s="134">
        <v>175</v>
      </c>
      <c r="F1237" s="134">
        <v>504</v>
      </c>
      <c r="G1237" s="134">
        <v>121</v>
      </c>
      <c r="H1237" s="134">
        <v>0</v>
      </c>
      <c r="I1237" s="200">
        <v>0.13104500088599999</v>
      </c>
      <c r="J1237" s="134">
        <v>504</v>
      </c>
      <c r="K1237" s="134">
        <v>3846.0070707899999</v>
      </c>
      <c r="L1237" s="42">
        <v>0.91266865610699999</v>
      </c>
      <c r="M1237" s="42">
        <v>0</v>
      </c>
      <c r="N1237" s="134">
        <v>0</v>
      </c>
      <c r="O1237" s="43" t="s">
        <v>665</v>
      </c>
      <c r="P1237" s="43">
        <f t="shared" si="271"/>
        <v>20.515117770500961</v>
      </c>
      <c r="Q1237" s="43">
        <f t="shared" si="272"/>
        <v>1.6833728999999999E-2</v>
      </c>
      <c r="R1237" s="43">
        <f t="shared" si="273"/>
        <v>1.196215E-2</v>
      </c>
      <c r="S1237" s="43">
        <f t="shared" si="274"/>
        <v>0.91266865600000002</v>
      </c>
      <c r="T1237" s="43">
        <f t="shared" si="275"/>
        <v>3.789112051</v>
      </c>
      <c r="U1237" s="43">
        <f t="shared" si="276"/>
        <v>15.89799938</v>
      </c>
      <c r="V1237" s="43">
        <f t="shared" si="277"/>
        <v>6.1986699999999997E-4</v>
      </c>
      <c r="W1237" s="230">
        <f t="shared" si="278"/>
        <v>6.0901906090190604E-2</v>
      </c>
      <c r="X1237" s="43">
        <f t="shared" si="279"/>
        <v>0.89539749000000002</v>
      </c>
      <c r="Y1237" s="43">
        <v>99.789898600000001</v>
      </c>
      <c r="Z1237" s="43">
        <f t="shared" si="268"/>
        <v>0</v>
      </c>
      <c r="AA1237" s="43">
        <f t="shared" si="269"/>
        <v>85233</v>
      </c>
      <c r="AB1237" s="43">
        <f t="shared" si="270"/>
        <v>30359</v>
      </c>
      <c r="AC1237" s="43">
        <f t="shared" si="280"/>
        <v>1.7062811181712705E-2</v>
      </c>
      <c r="AD1237" s="43">
        <f t="shared" si="281"/>
        <v>0.87966620448387123</v>
      </c>
      <c r="AF1237" s="43">
        <v>20.515117770500961</v>
      </c>
      <c r="AG1237" s="43">
        <v>1.6833728999999999E-2</v>
      </c>
      <c r="AH1237" s="43">
        <v>1.196215E-2</v>
      </c>
      <c r="AI1237" s="43">
        <v>0.91266865600000002</v>
      </c>
      <c r="AJ1237" s="43">
        <v>3.789112051</v>
      </c>
      <c r="AK1237" s="43">
        <v>15.89799938</v>
      </c>
      <c r="AL1237" s="43">
        <v>6.1986699999999997E-4</v>
      </c>
      <c r="AM1237" s="230">
        <v>6.0901906090190604E-2</v>
      </c>
      <c r="AN1237" s="43">
        <v>0.89539749000000002</v>
      </c>
    </row>
    <row r="1238" spans="1:40" x14ac:dyDescent="0.25">
      <c r="A1238" s="134">
        <v>1228</v>
      </c>
      <c r="B1238" s="134" t="s">
        <v>204</v>
      </c>
      <c r="C1238" s="134" t="s">
        <v>205</v>
      </c>
      <c r="D1238" s="134" t="s">
        <v>62</v>
      </c>
      <c r="E1238" s="134">
        <v>420</v>
      </c>
      <c r="F1238" s="134">
        <v>1209</v>
      </c>
      <c r="G1238" s="134">
        <v>149</v>
      </c>
      <c r="H1238" s="134">
        <v>0</v>
      </c>
      <c r="I1238" s="200">
        <v>0.23560771153099999</v>
      </c>
      <c r="J1238" s="134">
        <v>1209</v>
      </c>
      <c r="K1238" s="134">
        <v>5131.4109888100002</v>
      </c>
      <c r="L1238" s="42">
        <v>0.88942231096900004</v>
      </c>
      <c r="M1238" s="42">
        <v>0</v>
      </c>
      <c r="N1238" s="134">
        <v>0</v>
      </c>
      <c r="O1238" s="43" t="s">
        <v>666</v>
      </c>
      <c r="P1238" s="43">
        <f t="shared" si="271"/>
        <v>20.356564568932296</v>
      </c>
      <c r="Q1238" s="43">
        <f t="shared" si="272"/>
        <v>1.8125138999999998E-2</v>
      </c>
      <c r="R1238" s="43">
        <f t="shared" si="273"/>
        <v>1.28039E-2</v>
      </c>
      <c r="S1238" s="43">
        <f t="shared" si="274"/>
        <v>0.88942231100000002</v>
      </c>
      <c r="T1238" s="43">
        <f t="shared" si="275"/>
        <v>2.9686144950000002</v>
      </c>
      <c r="U1238" s="43">
        <f t="shared" si="276"/>
        <v>14.411349019999999</v>
      </c>
      <c r="V1238" s="43">
        <f t="shared" si="277"/>
        <v>1.410407E-3</v>
      </c>
      <c r="W1238" s="230">
        <f t="shared" si="278"/>
        <v>6.7079816219681593E-2</v>
      </c>
      <c r="X1238" s="43">
        <f t="shared" si="279"/>
        <v>0.90330163500000005</v>
      </c>
      <c r="Y1238" s="43">
        <v>82.329492299999998</v>
      </c>
      <c r="Z1238" s="43">
        <f t="shared" si="268"/>
        <v>0</v>
      </c>
      <c r="AA1238" s="43">
        <f t="shared" si="269"/>
        <v>85233</v>
      </c>
      <c r="AB1238" s="43">
        <f t="shared" si="270"/>
        <v>30359</v>
      </c>
      <c r="AC1238" s="43">
        <f t="shared" si="280"/>
        <v>1.7062811181712705E-2</v>
      </c>
      <c r="AD1238" s="43">
        <f t="shared" si="281"/>
        <v>0.87966620448387123</v>
      </c>
      <c r="AF1238" s="43">
        <v>20.356564568932296</v>
      </c>
      <c r="AG1238" s="43">
        <v>1.8125138999999998E-2</v>
      </c>
      <c r="AH1238" s="43">
        <v>1.28039E-2</v>
      </c>
      <c r="AI1238" s="43">
        <v>0.88942231100000002</v>
      </c>
      <c r="AJ1238" s="43">
        <v>2.9686144950000002</v>
      </c>
      <c r="AK1238" s="43">
        <v>14.411349019999999</v>
      </c>
      <c r="AL1238" s="43">
        <v>1.410407E-3</v>
      </c>
      <c r="AM1238" s="230">
        <v>6.7079816219681593E-2</v>
      </c>
      <c r="AN1238" s="43">
        <v>0.90330163500000005</v>
      </c>
    </row>
    <row r="1239" spans="1:40" x14ac:dyDescent="0.25">
      <c r="A1239" s="134">
        <v>1229</v>
      </c>
      <c r="B1239" s="134" t="s">
        <v>204</v>
      </c>
      <c r="C1239" s="134" t="s">
        <v>205</v>
      </c>
      <c r="D1239" s="134" t="s">
        <v>62</v>
      </c>
      <c r="E1239" s="134">
        <v>889</v>
      </c>
      <c r="F1239" s="134">
        <v>2561</v>
      </c>
      <c r="G1239" s="134">
        <v>174</v>
      </c>
      <c r="H1239" s="134">
        <v>625</v>
      </c>
      <c r="I1239" s="200">
        <v>0.27492474723299998</v>
      </c>
      <c r="J1239" s="134">
        <v>3186</v>
      </c>
      <c r="K1239" s="134">
        <v>11588.6257315</v>
      </c>
      <c r="L1239" s="42">
        <v>0.87608729135100005</v>
      </c>
      <c r="M1239" s="42">
        <v>0.412813738441</v>
      </c>
      <c r="N1239" s="134">
        <v>0</v>
      </c>
      <c r="O1239" s="43" t="s">
        <v>666</v>
      </c>
      <c r="P1239" s="43">
        <f t="shared" si="271"/>
        <v>18.953040697573034</v>
      </c>
      <c r="Q1239" s="43">
        <f t="shared" si="272"/>
        <v>7.9982330000000004E-3</v>
      </c>
      <c r="R1239" s="43">
        <f t="shared" si="273"/>
        <v>1.1627853E-2</v>
      </c>
      <c r="S1239" s="43">
        <f t="shared" si="274"/>
        <v>0.87608729100000005</v>
      </c>
      <c r="T1239" s="43">
        <f t="shared" si="275"/>
        <v>2.4793686890000002</v>
      </c>
      <c r="U1239" s="43">
        <f t="shared" si="276"/>
        <v>11.525399950000001</v>
      </c>
      <c r="V1239" s="43">
        <f t="shared" si="277"/>
        <v>3.1161510000000002E-3</v>
      </c>
      <c r="W1239" s="230">
        <f t="shared" si="278"/>
        <v>3.0531506997791596E-2</v>
      </c>
      <c r="X1239" s="43">
        <f t="shared" si="279"/>
        <v>0.91925104000000002</v>
      </c>
      <c r="Y1239" s="43">
        <v>125.7218836</v>
      </c>
      <c r="Z1239" s="43">
        <f t="shared" si="268"/>
        <v>0</v>
      </c>
      <c r="AA1239" s="43">
        <f t="shared" si="269"/>
        <v>85233</v>
      </c>
      <c r="AB1239" s="43">
        <f t="shared" si="270"/>
        <v>30359</v>
      </c>
      <c r="AC1239" s="43">
        <f t="shared" si="280"/>
        <v>1.7062811181712705E-2</v>
      </c>
      <c r="AD1239" s="43">
        <f t="shared" si="281"/>
        <v>0.87966620448387123</v>
      </c>
      <c r="AF1239" s="43">
        <v>18.953040697573034</v>
      </c>
      <c r="AG1239" s="43">
        <v>7.9982330000000004E-3</v>
      </c>
      <c r="AH1239" s="43">
        <v>1.1627853E-2</v>
      </c>
      <c r="AI1239" s="43">
        <v>0.87608729100000005</v>
      </c>
      <c r="AJ1239" s="43">
        <v>2.4793686890000002</v>
      </c>
      <c r="AK1239" s="43">
        <v>11.525399950000001</v>
      </c>
      <c r="AL1239" s="43">
        <v>3.1161510000000002E-3</v>
      </c>
      <c r="AM1239" s="230">
        <v>3.0531506997791596E-2</v>
      </c>
      <c r="AN1239" s="43">
        <v>0.91925104000000002</v>
      </c>
    </row>
    <row r="1240" spans="1:40" x14ac:dyDescent="0.25">
      <c r="A1240" s="134">
        <v>1230</v>
      </c>
      <c r="B1240" s="134" t="s">
        <v>204</v>
      </c>
      <c r="C1240" s="134" t="s">
        <v>205</v>
      </c>
      <c r="D1240" s="134" t="s">
        <v>62</v>
      </c>
      <c r="E1240" s="134">
        <v>275</v>
      </c>
      <c r="F1240" s="134">
        <v>792</v>
      </c>
      <c r="G1240" s="134">
        <v>128</v>
      </c>
      <c r="H1240" s="134">
        <v>334</v>
      </c>
      <c r="I1240" s="200">
        <v>0.201932712269</v>
      </c>
      <c r="J1240" s="134">
        <v>1126</v>
      </c>
      <c r="K1240" s="134">
        <v>5576.1148718599998</v>
      </c>
      <c r="L1240" s="42">
        <v>0.88357828954999995</v>
      </c>
      <c r="M1240" s="42">
        <v>0.54844006568100001</v>
      </c>
      <c r="N1240" s="134">
        <v>0</v>
      </c>
      <c r="O1240" s="43" t="s">
        <v>666</v>
      </c>
      <c r="P1240" s="43">
        <f t="shared" si="271"/>
        <v>18.211572558051053</v>
      </c>
      <c r="Q1240" s="43">
        <f t="shared" si="272"/>
        <v>1.0984035E-2</v>
      </c>
      <c r="R1240" s="43">
        <f t="shared" si="273"/>
        <v>1.1180268E-2</v>
      </c>
      <c r="S1240" s="43">
        <f t="shared" si="274"/>
        <v>0.88357828999999999</v>
      </c>
      <c r="T1240" s="43">
        <f t="shared" si="275"/>
        <v>2.5664713840000002</v>
      </c>
      <c r="U1240" s="43">
        <f t="shared" si="276"/>
        <v>11.751295170000001</v>
      </c>
      <c r="V1240" s="43">
        <f t="shared" si="277"/>
        <v>2.4095459999999998E-3</v>
      </c>
      <c r="W1240" s="230">
        <f t="shared" si="278"/>
        <v>3.7864300466610573E-2</v>
      </c>
      <c r="X1240" s="43">
        <f t="shared" si="279"/>
        <v>0.912682628</v>
      </c>
      <c r="Y1240" s="43">
        <v>119.953776</v>
      </c>
      <c r="Z1240" s="43">
        <f t="shared" si="268"/>
        <v>0</v>
      </c>
      <c r="AA1240" s="43">
        <f t="shared" si="269"/>
        <v>85233</v>
      </c>
      <c r="AB1240" s="43">
        <f t="shared" si="270"/>
        <v>30359</v>
      </c>
      <c r="AC1240" s="43">
        <f t="shared" si="280"/>
        <v>1.7062811181712705E-2</v>
      </c>
      <c r="AD1240" s="43">
        <f t="shared" si="281"/>
        <v>0.87966620448387123</v>
      </c>
      <c r="AF1240" s="43">
        <v>18.211572558051053</v>
      </c>
      <c r="AG1240" s="43">
        <v>1.0984035E-2</v>
      </c>
      <c r="AH1240" s="43">
        <v>1.1180268E-2</v>
      </c>
      <c r="AI1240" s="43">
        <v>0.88357828999999999</v>
      </c>
      <c r="AJ1240" s="43">
        <v>2.5664713840000002</v>
      </c>
      <c r="AK1240" s="43">
        <v>11.751295170000001</v>
      </c>
      <c r="AL1240" s="43">
        <v>2.4095459999999998E-3</v>
      </c>
      <c r="AM1240" s="230">
        <v>3.7864300466610573E-2</v>
      </c>
      <c r="AN1240" s="43">
        <v>0.912682628</v>
      </c>
    </row>
    <row r="1241" spans="1:40" x14ac:dyDescent="0.25">
      <c r="A1241" s="134">
        <v>1231</v>
      </c>
      <c r="B1241" s="134" t="s">
        <v>204</v>
      </c>
      <c r="C1241" s="134" t="s">
        <v>205</v>
      </c>
      <c r="D1241" s="134" t="s">
        <v>62</v>
      </c>
      <c r="E1241" s="134">
        <v>7</v>
      </c>
      <c r="F1241" s="134">
        <v>21</v>
      </c>
      <c r="G1241" s="134">
        <v>233</v>
      </c>
      <c r="H1241" s="134">
        <v>254</v>
      </c>
      <c r="I1241" s="200">
        <v>0.356608500371</v>
      </c>
      <c r="J1241" s="134">
        <v>275</v>
      </c>
      <c r="K1241" s="134">
        <v>771.15379951399996</v>
      </c>
      <c r="L1241" s="42">
        <v>0.95760368663600004</v>
      </c>
      <c r="M1241" s="42">
        <v>0.97318007662799999</v>
      </c>
      <c r="N1241" s="134">
        <v>0</v>
      </c>
      <c r="O1241" s="43" t="s">
        <v>665</v>
      </c>
      <c r="P1241" s="43">
        <f t="shared" si="271"/>
        <v>19.011064081605209</v>
      </c>
      <c r="Q1241" s="43">
        <f t="shared" si="272"/>
        <v>7.88085E-4</v>
      </c>
      <c r="R1241" s="43">
        <f t="shared" si="273"/>
        <v>6.5584720000000001E-3</v>
      </c>
      <c r="S1241" s="43">
        <f t="shared" si="274"/>
        <v>0.95760368699999998</v>
      </c>
      <c r="T1241" s="43">
        <f t="shared" si="275"/>
        <v>4.1121304790000002</v>
      </c>
      <c r="U1241" s="43">
        <f t="shared" si="276"/>
        <v>11.77732035</v>
      </c>
      <c r="V1241" s="43">
        <f t="shared" si="277"/>
        <v>1.481319E-3</v>
      </c>
      <c r="W1241" s="230">
        <f t="shared" si="278"/>
        <v>2.5237285345915401E-3</v>
      </c>
      <c r="X1241" s="43">
        <f t="shared" si="279"/>
        <v>0.96214407199999996</v>
      </c>
      <c r="Y1241" s="43">
        <v>59.936286369999998</v>
      </c>
      <c r="Z1241" s="43">
        <f t="shared" si="268"/>
        <v>0</v>
      </c>
      <c r="AA1241" s="43">
        <f t="shared" si="269"/>
        <v>85233</v>
      </c>
      <c r="AB1241" s="43">
        <f t="shared" si="270"/>
        <v>30359</v>
      </c>
      <c r="AC1241" s="43">
        <f t="shared" si="280"/>
        <v>1.7062811181712705E-2</v>
      </c>
      <c r="AD1241" s="43">
        <f t="shared" si="281"/>
        <v>0.87966620448387123</v>
      </c>
      <c r="AF1241" s="43">
        <v>19.011064081605209</v>
      </c>
      <c r="AG1241" s="43">
        <v>7.88085E-4</v>
      </c>
      <c r="AH1241" s="43">
        <v>6.5584720000000001E-3</v>
      </c>
      <c r="AI1241" s="43">
        <v>0.95760368699999998</v>
      </c>
      <c r="AJ1241" s="43">
        <v>4.1121304790000002</v>
      </c>
      <c r="AK1241" s="43">
        <v>11.77732035</v>
      </c>
      <c r="AL1241" s="43">
        <v>1.481319E-3</v>
      </c>
      <c r="AM1241" s="230">
        <v>2.5237285345915401E-3</v>
      </c>
      <c r="AN1241" s="43">
        <v>0.96214407199999996</v>
      </c>
    </row>
    <row r="1242" spans="1:40" x14ac:dyDescent="0.25">
      <c r="A1242" s="134">
        <v>1232</v>
      </c>
      <c r="B1242" s="134" t="s">
        <v>204</v>
      </c>
      <c r="C1242" s="134" t="s">
        <v>205</v>
      </c>
      <c r="D1242" s="134" t="s">
        <v>62</v>
      </c>
      <c r="E1242" s="134">
        <v>542</v>
      </c>
      <c r="F1242" s="134">
        <v>1656</v>
      </c>
      <c r="G1242" s="134">
        <v>220</v>
      </c>
      <c r="H1242" s="134">
        <v>0</v>
      </c>
      <c r="I1242" s="200">
        <v>0.33664342747199999</v>
      </c>
      <c r="J1242" s="134">
        <v>1656</v>
      </c>
      <c r="K1242" s="134">
        <v>4919.1514369899996</v>
      </c>
      <c r="L1242" s="42">
        <v>0.923442402173</v>
      </c>
      <c r="M1242" s="42">
        <v>0</v>
      </c>
      <c r="N1242" s="134">
        <v>0</v>
      </c>
      <c r="O1242" s="43" t="s">
        <v>665</v>
      </c>
      <c r="P1242" s="43">
        <f t="shared" si="271"/>
        <v>20.55635598982996</v>
      </c>
      <c r="Q1242" s="43">
        <f t="shared" si="272"/>
        <v>9.7356920000000007E-3</v>
      </c>
      <c r="R1242" s="43">
        <f t="shared" si="273"/>
        <v>1.2015378E-2</v>
      </c>
      <c r="S1242" s="43">
        <f t="shared" si="274"/>
        <v>0.92344240200000005</v>
      </c>
      <c r="T1242" s="43">
        <f t="shared" si="275"/>
        <v>3.452328853</v>
      </c>
      <c r="U1242" s="43">
        <f t="shared" si="276"/>
        <v>15.89633059</v>
      </c>
      <c r="V1242" s="43">
        <f t="shared" si="277"/>
        <v>1.039103E-3</v>
      </c>
      <c r="W1242" s="230">
        <f t="shared" si="278"/>
        <v>3.0407437790538693E-2</v>
      </c>
      <c r="X1242" s="43">
        <f t="shared" si="279"/>
        <v>0.95401968800000003</v>
      </c>
      <c r="Y1242" s="43">
        <v>94.392007129999996</v>
      </c>
      <c r="Z1242" s="43">
        <f t="shared" si="268"/>
        <v>0</v>
      </c>
      <c r="AA1242" s="43">
        <f t="shared" si="269"/>
        <v>85233</v>
      </c>
      <c r="AB1242" s="43">
        <f t="shared" si="270"/>
        <v>30359</v>
      </c>
      <c r="AC1242" s="43">
        <f t="shared" si="280"/>
        <v>1.7062811181712705E-2</v>
      </c>
      <c r="AD1242" s="43">
        <f t="shared" si="281"/>
        <v>0.87966620448387123</v>
      </c>
      <c r="AF1242" s="43">
        <v>20.55635598982996</v>
      </c>
      <c r="AG1242" s="43">
        <v>9.7356920000000007E-3</v>
      </c>
      <c r="AH1242" s="43">
        <v>1.2015378E-2</v>
      </c>
      <c r="AI1242" s="43">
        <v>0.92344240200000005</v>
      </c>
      <c r="AJ1242" s="43">
        <v>3.452328853</v>
      </c>
      <c r="AK1242" s="43">
        <v>15.89633059</v>
      </c>
      <c r="AL1242" s="43">
        <v>1.039103E-3</v>
      </c>
      <c r="AM1242" s="230">
        <v>3.0407437790538693E-2</v>
      </c>
      <c r="AN1242" s="43">
        <v>0.95401968800000003</v>
      </c>
    </row>
    <row r="1243" spans="1:40" x14ac:dyDescent="0.25">
      <c r="A1243" s="134">
        <v>1233</v>
      </c>
      <c r="B1243" s="134" t="s">
        <v>204</v>
      </c>
      <c r="C1243" s="134" t="s">
        <v>205</v>
      </c>
      <c r="D1243" s="134" t="s">
        <v>62</v>
      </c>
      <c r="E1243" s="134">
        <v>375</v>
      </c>
      <c r="F1243" s="134">
        <v>1145</v>
      </c>
      <c r="G1243" s="134">
        <v>295</v>
      </c>
      <c r="H1243" s="134">
        <v>20</v>
      </c>
      <c r="I1243" s="200">
        <v>0.45191642219900002</v>
      </c>
      <c r="J1243" s="134">
        <v>1165</v>
      </c>
      <c r="K1243" s="134">
        <v>2577.9103010499998</v>
      </c>
      <c r="L1243" s="42">
        <v>0.93388042703100005</v>
      </c>
      <c r="M1243" s="42">
        <v>5.0632911392399997E-2</v>
      </c>
      <c r="N1243" s="134">
        <v>0</v>
      </c>
      <c r="O1243" s="43" t="s">
        <v>665</v>
      </c>
      <c r="P1243" s="43">
        <f t="shared" si="271"/>
        <v>20.247786027650115</v>
      </c>
      <c r="Q1243" s="43">
        <f t="shared" si="272"/>
        <v>8.9088989999999996E-3</v>
      </c>
      <c r="R1243" s="43">
        <f t="shared" si="273"/>
        <v>1.1293121E-2</v>
      </c>
      <c r="S1243" s="43">
        <f t="shared" si="274"/>
        <v>0.93388042699999996</v>
      </c>
      <c r="T1243" s="43">
        <f t="shared" si="275"/>
        <v>3.8934117650000002</v>
      </c>
      <c r="U1243" s="43">
        <f t="shared" si="276"/>
        <v>16.61124598</v>
      </c>
      <c r="V1243" s="43">
        <f t="shared" si="277"/>
        <v>1.7045799999999999E-4</v>
      </c>
      <c r="W1243" s="230">
        <f t="shared" si="278"/>
        <v>2.6250497168506977E-2</v>
      </c>
      <c r="X1243" s="43">
        <f t="shared" si="279"/>
        <v>0.95266955799999997</v>
      </c>
      <c r="Y1243" s="43">
        <v>60.442772840000003</v>
      </c>
      <c r="Z1243" s="43">
        <f t="shared" si="268"/>
        <v>0</v>
      </c>
      <c r="AA1243" s="43">
        <f t="shared" si="269"/>
        <v>85233</v>
      </c>
      <c r="AB1243" s="43">
        <f t="shared" si="270"/>
        <v>30359</v>
      </c>
      <c r="AC1243" s="43">
        <f t="shared" si="280"/>
        <v>1.7062811181712705E-2</v>
      </c>
      <c r="AD1243" s="43">
        <f t="shared" si="281"/>
        <v>0.87966620448387123</v>
      </c>
      <c r="AF1243" s="43">
        <v>20.247786027650115</v>
      </c>
      <c r="AG1243" s="43">
        <v>8.9088989999999996E-3</v>
      </c>
      <c r="AH1243" s="43">
        <v>1.1293121E-2</v>
      </c>
      <c r="AI1243" s="43">
        <v>0.93388042699999996</v>
      </c>
      <c r="AJ1243" s="43">
        <v>3.8934117650000002</v>
      </c>
      <c r="AK1243" s="43">
        <v>16.61124598</v>
      </c>
      <c r="AL1243" s="43">
        <v>1.7045799999999999E-4</v>
      </c>
      <c r="AM1243" s="230">
        <v>2.6250497168506977E-2</v>
      </c>
      <c r="AN1243" s="43">
        <v>0.95266955799999997</v>
      </c>
    </row>
    <row r="1244" spans="1:40" x14ac:dyDescent="0.25">
      <c r="A1244" s="134">
        <v>1234</v>
      </c>
      <c r="B1244" s="134" t="s">
        <v>204</v>
      </c>
      <c r="C1244" s="134" t="s">
        <v>205</v>
      </c>
      <c r="D1244" s="134" t="s">
        <v>62</v>
      </c>
      <c r="E1244" s="134">
        <v>400</v>
      </c>
      <c r="F1244" s="134">
        <v>1222</v>
      </c>
      <c r="G1244" s="134">
        <v>226</v>
      </c>
      <c r="H1244" s="134">
        <v>106</v>
      </c>
      <c r="I1244" s="200">
        <v>0.346097570711</v>
      </c>
      <c r="J1244" s="134">
        <v>1328</v>
      </c>
      <c r="K1244" s="134">
        <v>3837.0682500600001</v>
      </c>
      <c r="L1244" s="42">
        <v>0.90133521943100003</v>
      </c>
      <c r="M1244" s="42">
        <v>0.20948616600799999</v>
      </c>
      <c r="N1244" s="134">
        <v>0</v>
      </c>
      <c r="O1244" s="43" t="s">
        <v>665</v>
      </c>
      <c r="P1244" s="43">
        <f t="shared" si="271"/>
        <v>20.42150792012395</v>
      </c>
      <c r="Q1244" s="43">
        <f t="shared" si="272"/>
        <v>1.5415402E-2</v>
      </c>
      <c r="R1244" s="43">
        <f t="shared" si="273"/>
        <v>1.0471295E-2</v>
      </c>
      <c r="S1244" s="43">
        <f t="shared" si="274"/>
        <v>0.90133521900000002</v>
      </c>
      <c r="T1244" s="43">
        <f t="shared" si="275"/>
        <v>3.1737413619999999</v>
      </c>
      <c r="U1244" s="43">
        <f t="shared" si="276"/>
        <v>13.20915055</v>
      </c>
      <c r="V1244" s="43">
        <f t="shared" si="277"/>
        <v>8.4078600000000005E-4</v>
      </c>
      <c r="W1244" s="230">
        <f t="shared" si="278"/>
        <v>6.4083161354429416E-2</v>
      </c>
      <c r="X1244" s="43">
        <f t="shared" si="279"/>
        <v>0.91095314500000002</v>
      </c>
      <c r="Y1244" s="43">
        <v>60.383205599999997</v>
      </c>
      <c r="Z1244" s="43">
        <f t="shared" si="268"/>
        <v>0</v>
      </c>
      <c r="AA1244" s="43">
        <f t="shared" si="269"/>
        <v>85233</v>
      </c>
      <c r="AB1244" s="43">
        <f t="shared" si="270"/>
        <v>30359</v>
      </c>
      <c r="AC1244" s="43">
        <f t="shared" si="280"/>
        <v>1.7062811181712705E-2</v>
      </c>
      <c r="AD1244" s="43">
        <f t="shared" si="281"/>
        <v>0.87966620448387123</v>
      </c>
      <c r="AF1244" s="43">
        <v>20.42150792012395</v>
      </c>
      <c r="AG1244" s="43">
        <v>1.5415402E-2</v>
      </c>
      <c r="AH1244" s="43">
        <v>1.0471295E-2</v>
      </c>
      <c r="AI1244" s="43">
        <v>0.90133521900000002</v>
      </c>
      <c r="AJ1244" s="43">
        <v>3.1737413619999999</v>
      </c>
      <c r="AK1244" s="43">
        <v>13.20915055</v>
      </c>
      <c r="AL1244" s="43">
        <v>8.4078600000000005E-4</v>
      </c>
      <c r="AM1244" s="230">
        <v>6.4083161354429416E-2</v>
      </c>
      <c r="AN1244" s="43">
        <v>0.91095314500000002</v>
      </c>
    </row>
    <row r="1245" spans="1:40" x14ac:dyDescent="0.25">
      <c r="A1245" s="134">
        <v>1235</v>
      </c>
      <c r="B1245" s="134" t="s">
        <v>204</v>
      </c>
      <c r="C1245" s="134" t="s">
        <v>205</v>
      </c>
      <c r="D1245" s="134" t="s">
        <v>62</v>
      </c>
      <c r="E1245" s="134">
        <v>0</v>
      </c>
      <c r="F1245" s="134">
        <v>0</v>
      </c>
      <c r="G1245" s="134">
        <v>220</v>
      </c>
      <c r="H1245" s="134">
        <v>0</v>
      </c>
      <c r="I1245" s="200">
        <v>0.33684841354700001</v>
      </c>
      <c r="J1245" s="134">
        <v>0</v>
      </c>
      <c r="K1245" s="134">
        <v>0</v>
      </c>
      <c r="L1245" s="42">
        <v>0.97995991983999997</v>
      </c>
      <c r="M1245" s="42">
        <v>0</v>
      </c>
      <c r="N1245" s="134">
        <v>0</v>
      </c>
      <c r="O1245" s="43" t="s">
        <v>665</v>
      </c>
      <c r="P1245" s="43">
        <f t="shared" si="271"/>
        <v>17.970864213525694</v>
      </c>
      <c r="Q1245" s="43">
        <f t="shared" si="272"/>
        <v>1.0020039999999999E-2</v>
      </c>
      <c r="R1245" s="43">
        <f t="shared" si="273"/>
        <v>1.0020039999999999E-3</v>
      </c>
      <c r="S1245" s="43">
        <f t="shared" si="274"/>
        <v>0.97995991999999998</v>
      </c>
      <c r="T1245" s="43">
        <f t="shared" si="275"/>
        <v>6</v>
      </c>
      <c r="U1245" s="43">
        <f t="shared" si="276"/>
        <v>22.81585845</v>
      </c>
      <c r="V1245" s="43">
        <f t="shared" si="277"/>
        <v>2.2188896352201251E-3</v>
      </c>
      <c r="W1245" s="230">
        <f t="shared" si="278"/>
        <v>3.7712999565398898E-2</v>
      </c>
      <c r="X1245" s="43">
        <f t="shared" si="279"/>
        <v>0.8985543829482765</v>
      </c>
      <c r="Y1245" s="43">
        <v>60.351433460000003</v>
      </c>
      <c r="Z1245" s="43">
        <f t="shared" si="268"/>
        <v>0</v>
      </c>
      <c r="AA1245" s="43">
        <f t="shared" si="269"/>
        <v>85233</v>
      </c>
      <c r="AB1245" s="43">
        <f t="shared" si="270"/>
        <v>30359</v>
      </c>
      <c r="AC1245" s="43">
        <f t="shared" si="280"/>
        <v>1.7062811181712705E-2</v>
      </c>
      <c r="AD1245" s="43">
        <f t="shared" si="281"/>
        <v>0.87966620448387123</v>
      </c>
      <c r="AF1245" s="43" t="e">
        <v>#DIV/0!</v>
      </c>
      <c r="AG1245" s="43">
        <v>1.0020039999999999E-2</v>
      </c>
      <c r="AH1245" s="43">
        <v>1.0020039999999999E-3</v>
      </c>
      <c r="AI1245" s="43">
        <v>0.97995991999999998</v>
      </c>
      <c r="AJ1245" s="43">
        <v>6</v>
      </c>
      <c r="AK1245" s="43">
        <v>22.81585845</v>
      </c>
      <c r="AL1245" s="43" t="e">
        <v>#DIV/0!</v>
      </c>
      <c r="AM1245" s="230" t="e">
        <v>#DIV/0!</v>
      </c>
      <c r="AN1245" s="43" t="e">
        <v>#DIV/0!</v>
      </c>
    </row>
    <row r="1246" spans="1:40" x14ac:dyDescent="0.25">
      <c r="A1246" s="134">
        <v>1236</v>
      </c>
      <c r="B1246" s="134" t="s">
        <v>204</v>
      </c>
      <c r="C1246" s="134" t="s">
        <v>205</v>
      </c>
      <c r="D1246" s="134" t="s">
        <v>62</v>
      </c>
      <c r="E1246" s="134">
        <v>100</v>
      </c>
      <c r="F1246" s="134">
        <v>230</v>
      </c>
      <c r="G1246" s="134">
        <v>13</v>
      </c>
      <c r="H1246" s="134">
        <v>141</v>
      </c>
      <c r="I1246" s="200">
        <v>2.0911330884899999E-2</v>
      </c>
      <c r="J1246" s="134">
        <v>371</v>
      </c>
      <c r="K1246" s="134">
        <v>17741.577618399999</v>
      </c>
      <c r="L1246" s="42">
        <v>0.82167891225400003</v>
      </c>
      <c r="M1246" s="42">
        <v>0.58506224066400003</v>
      </c>
      <c r="N1246" s="134">
        <v>0</v>
      </c>
      <c r="O1246" s="43" t="s">
        <v>664</v>
      </c>
      <c r="P1246" s="43">
        <f t="shared" si="271"/>
        <v>16.445875446949806</v>
      </c>
      <c r="Q1246" s="43">
        <f t="shared" si="272"/>
        <v>2.4054837999999999E-2</v>
      </c>
      <c r="R1246" s="43">
        <f t="shared" si="273"/>
        <v>1.1569968999999999E-2</v>
      </c>
      <c r="S1246" s="43">
        <f t="shared" si="274"/>
        <v>0.82167891199999998</v>
      </c>
      <c r="T1246" s="43">
        <f t="shared" si="275"/>
        <v>2.0212636700000002</v>
      </c>
      <c r="U1246" s="43">
        <f t="shared" si="276"/>
        <v>8.2849917390000005</v>
      </c>
      <c r="V1246" s="43">
        <f t="shared" si="277"/>
        <v>4.3745499999999996E-3</v>
      </c>
      <c r="W1246" s="230">
        <f t="shared" si="278"/>
        <v>4.9836646547427872E-2</v>
      </c>
      <c r="X1246" s="43">
        <f t="shared" si="279"/>
        <v>0.83659117299999997</v>
      </c>
      <c r="Y1246" s="43">
        <v>111.395196</v>
      </c>
      <c r="Z1246" s="43">
        <f t="shared" si="268"/>
        <v>0</v>
      </c>
      <c r="AA1246" s="43">
        <f t="shared" si="269"/>
        <v>85233</v>
      </c>
      <c r="AB1246" s="43">
        <f t="shared" si="270"/>
        <v>30359</v>
      </c>
      <c r="AC1246" s="43">
        <f t="shared" si="280"/>
        <v>1.7062811181712705E-2</v>
      </c>
      <c r="AD1246" s="43">
        <f t="shared" si="281"/>
        <v>0.87966620448387123</v>
      </c>
      <c r="AF1246" s="43">
        <v>16.445875446949806</v>
      </c>
      <c r="AG1246" s="43">
        <v>2.4054837999999999E-2</v>
      </c>
      <c r="AH1246" s="43">
        <v>1.1569968999999999E-2</v>
      </c>
      <c r="AI1246" s="43">
        <v>0.82167891199999998</v>
      </c>
      <c r="AJ1246" s="43">
        <v>2.0212636700000002</v>
      </c>
      <c r="AK1246" s="43">
        <v>8.2849917390000005</v>
      </c>
      <c r="AL1246" s="43">
        <v>4.3745499999999996E-3</v>
      </c>
      <c r="AM1246" s="230">
        <v>4.9836646547427872E-2</v>
      </c>
      <c r="AN1246" s="43">
        <v>0.83659117299999997</v>
      </c>
    </row>
    <row r="1247" spans="1:40" x14ac:dyDescent="0.25">
      <c r="A1247" s="134">
        <v>1237</v>
      </c>
      <c r="B1247" s="134" t="s">
        <v>204</v>
      </c>
      <c r="C1247" s="134" t="s">
        <v>205</v>
      </c>
      <c r="D1247" s="134" t="s">
        <v>62</v>
      </c>
      <c r="E1247" s="134">
        <v>0</v>
      </c>
      <c r="F1247" s="134">
        <v>0</v>
      </c>
      <c r="G1247" s="134">
        <v>36</v>
      </c>
      <c r="H1247" s="134">
        <v>506</v>
      </c>
      <c r="I1247" s="200">
        <v>5.5996598693199999E-2</v>
      </c>
      <c r="J1247" s="134">
        <v>506</v>
      </c>
      <c r="K1247" s="134">
        <v>9036.2631268500008</v>
      </c>
      <c r="L1247" s="42">
        <v>0.86264327485400005</v>
      </c>
      <c r="M1247" s="42">
        <v>1</v>
      </c>
      <c r="N1247" s="134">
        <v>0</v>
      </c>
      <c r="O1247" s="43" t="s">
        <v>664</v>
      </c>
      <c r="P1247" s="43">
        <f t="shared" si="271"/>
        <v>15.503812189154676</v>
      </c>
      <c r="Q1247" s="43">
        <f t="shared" si="272"/>
        <v>1.3196581000000001E-2</v>
      </c>
      <c r="R1247" s="43">
        <f t="shared" si="273"/>
        <v>8.8133150000000004E-3</v>
      </c>
      <c r="S1247" s="43">
        <f t="shared" si="274"/>
        <v>0.86264327500000004</v>
      </c>
      <c r="T1247" s="43">
        <f t="shared" si="275"/>
        <v>1.9715157679999999</v>
      </c>
      <c r="U1247" s="43">
        <f t="shared" si="276"/>
        <v>6.0182477810000004</v>
      </c>
      <c r="V1247" s="43">
        <f t="shared" si="277"/>
        <v>3.3986580000000001E-3</v>
      </c>
      <c r="W1247" s="230">
        <f t="shared" si="278"/>
        <v>2.0568502824858757E-2</v>
      </c>
      <c r="X1247" s="43">
        <f t="shared" si="279"/>
        <v>0.90682379899999999</v>
      </c>
      <c r="Y1247" s="43">
        <v>110.5756336</v>
      </c>
      <c r="Z1247" s="43">
        <f t="shared" si="268"/>
        <v>0</v>
      </c>
      <c r="AA1247" s="43">
        <f t="shared" si="269"/>
        <v>85233</v>
      </c>
      <c r="AB1247" s="43">
        <f t="shared" si="270"/>
        <v>30359</v>
      </c>
      <c r="AC1247" s="43">
        <f t="shared" si="280"/>
        <v>1.7062811181712705E-2</v>
      </c>
      <c r="AD1247" s="43">
        <f t="shared" si="281"/>
        <v>0.87966620448387123</v>
      </c>
      <c r="AF1247" s="43">
        <v>15.503812189154676</v>
      </c>
      <c r="AG1247" s="43">
        <v>1.3196581000000001E-2</v>
      </c>
      <c r="AH1247" s="43">
        <v>8.8133150000000004E-3</v>
      </c>
      <c r="AI1247" s="43">
        <v>0.86264327500000004</v>
      </c>
      <c r="AJ1247" s="43">
        <v>1.9715157679999999</v>
      </c>
      <c r="AK1247" s="43">
        <v>6.0182477810000004</v>
      </c>
      <c r="AL1247" s="43">
        <v>3.3986580000000001E-3</v>
      </c>
      <c r="AM1247" s="230">
        <v>2.0568502824858757E-2</v>
      </c>
      <c r="AN1247" s="43">
        <v>0.90682379899999999</v>
      </c>
    </row>
    <row r="1248" spans="1:40" x14ac:dyDescent="0.25">
      <c r="A1248" s="134">
        <v>1238</v>
      </c>
      <c r="B1248" s="134" t="s">
        <v>204</v>
      </c>
      <c r="C1248" s="134" t="s">
        <v>205</v>
      </c>
      <c r="D1248" s="134" t="s">
        <v>62</v>
      </c>
      <c r="E1248" s="134">
        <v>200</v>
      </c>
      <c r="F1248" s="134">
        <v>460</v>
      </c>
      <c r="G1248" s="134">
        <v>23</v>
      </c>
      <c r="H1248" s="134">
        <v>468</v>
      </c>
      <c r="I1248" s="200">
        <v>3.64491809556E-2</v>
      </c>
      <c r="J1248" s="134">
        <v>928</v>
      </c>
      <c r="K1248" s="134">
        <v>25460.1057053</v>
      </c>
      <c r="L1248" s="42">
        <v>0.84025924355399995</v>
      </c>
      <c r="M1248" s="42">
        <v>0.70059880239500005</v>
      </c>
      <c r="N1248" s="134">
        <v>0</v>
      </c>
      <c r="O1248" s="43" t="s">
        <v>664</v>
      </c>
      <c r="P1248" s="43">
        <f t="shared" si="271"/>
        <v>16.775917095897736</v>
      </c>
      <c r="Q1248" s="43">
        <f t="shared" si="272"/>
        <v>1.9996175000000001E-2</v>
      </c>
      <c r="R1248" s="43">
        <f t="shared" si="273"/>
        <v>1.0235049E-2</v>
      </c>
      <c r="S1248" s="43">
        <f t="shared" si="274"/>
        <v>0.84025924399999996</v>
      </c>
      <c r="T1248" s="43">
        <f t="shared" si="275"/>
        <v>2.0214792300000002</v>
      </c>
      <c r="U1248" s="43">
        <f t="shared" si="276"/>
        <v>7.5294926479999997</v>
      </c>
      <c r="V1248" s="43">
        <f t="shared" si="277"/>
        <v>5.575071E-3</v>
      </c>
      <c r="W1248" s="230">
        <f t="shared" si="278"/>
        <v>5.0900849858356939E-2</v>
      </c>
      <c r="X1248" s="43">
        <f t="shared" si="279"/>
        <v>0.85065155800000003</v>
      </c>
      <c r="Y1248" s="43">
        <v>111.390007</v>
      </c>
      <c r="Z1248" s="43">
        <f t="shared" si="268"/>
        <v>0</v>
      </c>
      <c r="AA1248" s="43">
        <f t="shared" si="269"/>
        <v>85233</v>
      </c>
      <c r="AB1248" s="43">
        <f t="shared" si="270"/>
        <v>30359</v>
      </c>
      <c r="AC1248" s="43">
        <f t="shared" si="280"/>
        <v>1.7062811181712705E-2</v>
      </c>
      <c r="AD1248" s="43">
        <f t="shared" si="281"/>
        <v>0.87966620448387123</v>
      </c>
      <c r="AF1248" s="43">
        <v>16.775917095897736</v>
      </c>
      <c r="AG1248" s="43">
        <v>1.9996175000000001E-2</v>
      </c>
      <c r="AH1248" s="43">
        <v>1.0235049E-2</v>
      </c>
      <c r="AI1248" s="43">
        <v>0.84025924399999996</v>
      </c>
      <c r="AJ1248" s="43">
        <v>2.0214792300000002</v>
      </c>
      <c r="AK1248" s="43">
        <v>7.5294926479999997</v>
      </c>
      <c r="AL1248" s="43">
        <v>5.575071E-3</v>
      </c>
      <c r="AM1248" s="230">
        <v>5.0900849858356939E-2</v>
      </c>
      <c r="AN1248" s="43">
        <v>0.85065155800000003</v>
      </c>
    </row>
    <row r="1249" spans="1:40" x14ac:dyDescent="0.25">
      <c r="A1249" s="134">
        <v>1239</v>
      </c>
      <c r="B1249" s="134" t="s">
        <v>204</v>
      </c>
      <c r="C1249" s="134" t="s">
        <v>205</v>
      </c>
      <c r="D1249" s="134" t="s">
        <v>62</v>
      </c>
      <c r="E1249" s="134">
        <v>85</v>
      </c>
      <c r="F1249" s="134">
        <v>196</v>
      </c>
      <c r="G1249" s="134">
        <v>30</v>
      </c>
      <c r="H1249" s="134">
        <v>249</v>
      </c>
      <c r="I1249" s="200">
        <v>4.6614099692999997E-2</v>
      </c>
      <c r="J1249" s="134">
        <v>445</v>
      </c>
      <c r="K1249" s="134">
        <v>9546.4677625599998</v>
      </c>
      <c r="L1249" s="42">
        <v>0.84830137010700002</v>
      </c>
      <c r="M1249" s="42">
        <v>0.74550898203600002</v>
      </c>
      <c r="N1249" s="134">
        <v>0</v>
      </c>
      <c r="O1249" s="43" t="s">
        <v>664</v>
      </c>
      <c r="P1249" s="43">
        <f t="shared" si="271"/>
        <v>16.34033815699264</v>
      </c>
      <c r="Q1249" s="43">
        <f t="shared" si="272"/>
        <v>1.5488162E-2</v>
      </c>
      <c r="R1249" s="43">
        <f t="shared" si="273"/>
        <v>9.5845229999999993E-3</v>
      </c>
      <c r="S1249" s="43">
        <f t="shared" si="274"/>
        <v>0.84830137000000005</v>
      </c>
      <c r="T1249" s="43">
        <f t="shared" si="275"/>
        <v>2.0004623210000001</v>
      </c>
      <c r="U1249" s="43">
        <f t="shared" si="276"/>
        <v>7.4642751409999999</v>
      </c>
      <c r="V1249" s="43">
        <f t="shared" si="277"/>
        <v>3.3236199999999998E-3</v>
      </c>
      <c r="W1249" s="230">
        <f t="shared" si="278"/>
        <v>3.4784192314696781E-2</v>
      </c>
      <c r="X1249" s="43">
        <f t="shared" si="279"/>
        <v>0.86732835500000005</v>
      </c>
      <c r="Y1249" s="43">
        <v>111.4010617</v>
      </c>
      <c r="Z1249" s="43">
        <f t="shared" si="268"/>
        <v>0</v>
      </c>
      <c r="AA1249" s="43">
        <f t="shared" si="269"/>
        <v>85233</v>
      </c>
      <c r="AB1249" s="43">
        <f t="shared" si="270"/>
        <v>30359</v>
      </c>
      <c r="AC1249" s="43">
        <f t="shared" si="280"/>
        <v>1.7062811181712705E-2</v>
      </c>
      <c r="AD1249" s="43">
        <f t="shared" si="281"/>
        <v>0.87966620448387123</v>
      </c>
      <c r="AF1249" s="43">
        <v>16.34033815699264</v>
      </c>
      <c r="AG1249" s="43">
        <v>1.5488162E-2</v>
      </c>
      <c r="AH1249" s="43">
        <v>9.5845229999999993E-3</v>
      </c>
      <c r="AI1249" s="43">
        <v>0.84830137000000005</v>
      </c>
      <c r="AJ1249" s="43">
        <v>2.0004623210000001</v>
      </c>
      <c r="AK1249" s="43">
        <v>7.4642751409999999</v>
      </c>
      <c r="AL1249" s="43">
        <v>3.3236199999999998E-3</v>
      </c>
      <c r="AM1249" s="230">
        <v>3.4784192314696781E-2</v>
      </c>
      <c r="AN1249" s="43">
        <v>0.86732835500000005</v>
      </c>
    </row>
    <row r="1250" spans="1:40" x14ac:dyDescent="0.25">
      <c r="A1250" s="134">
        <v>1240</v>
      </c>
      <c r="B1250" s="134" t="s">
        <v>204</v>
      </c>
      <c r="C1250" s="134" t="s">
        <v>205</v>
      </c>
      <c r="D1250" s="134" t="s">
        <v>62</v>
      </c>
      <c r="E1250" s="134">
        <v>80</v>
      </c>
      <c r="F1250" s="134">
        <v>184</v>
      </c>
      <c r="G1250" s="134">
        <v>23</v>
      </c>
      <c r="H1250" s="134">
        <v>129</v>
      </c>
      <c r="I1250" s="200">
        <v>3.6355832871900001E-2</v>
      </c>
      <c r="J1250" s="134">
        <v>313</v>
      </c>
      <c r="K1250" s="134">
        <v>8609.3475317299999</v>
      </c>
      <c r="L1250" s="42">
        <v>0.84360696884700004</v>
      </c>
      <c r="M1250" s="42">
        <v>0.61722488038300005</v>
      </c>
      <c r="N1250" s="134">
        <v>0</v>
      </c>
      <c r="O1250" s="43" t="s">
        <v>664</v>
      </c>
      <c r="P1250" s="43">
        <f t="shared" si="271"/>
        <v>16.446593819498528</v>
      </c>
      <c r="Q1250" s="43">
        <f t="shared" si="272"/>
        <v>1.6240957E-2</v>
      </c>
      <c r="R1250" s="43">
        <f t="shared" si="273"/>
        <v>1.0015257E-2</v>
      </c>
      <c r="S1250" s="43">
        <f t="shared" si="274"/>
        <v>0.84360696899999998</v>
      </c>
      <c r="T1250" s="43">
        <f t="shared" si="275"/>
        <v>1.968673219</v>
      </c>
      <c r="U1250" s="43">
        <f t="shared" si="276"/>
        <v>7.3390413690000003</v>
      </c>
      <c r="V1250" s="43">
        <f t="shared" si="277"/>
        <v>2.2902759999999999E-3</v>
      </c>
      <c r="W1250" s="230">
        <f t="shared" si="278"/>
        <v>3.9850804868472714E-2</v>
      </c>
      <c r="X1250" s="43">
        <f t="shared" si="279"/>
        <v>0.85283339899999999</v>
      </c>
      <c r="Y1250" s="43">
        <v>111.5611081</v>
      </c>
      <c r="Z1250" s="43">
        <f t="shared" si="268"/>
        <v>0</v>
      </c>
      <c r="AA1250" s="43">
        <f t="shared" si="269"/>
        <v>85233</v>
      </c>
      <c r="AB1250" s="43">
        <f t="shared" si="270"/>
        <v>30359</v>
      </c>
      <c r="AC1250" s="43">
        <f t="shared" si="280"/>
        <v>1.7062811181712705E-2</v>
      </c>
      <c r="AD1250" s="43">
        <f t="shared" si="281"/>
        <v>0.87966620448387123</v>
      </c>
      <c r="AF1250" s="43">
        <v>16.446593819498528</v>
      </c>
      <c r="AG1250" s="43">
        <v>1.6240957E-2</v>
      </c>
      <c r="AH1250" s="43">
        <v>1.0015257E-2</v>
      </c>
      <c r="AI1250" s="43">
        <v>0.84360696899999998</v>
      </c>
      <c r="AJ1250" s="43">
        <v>1.968673219</v>
      </c>
      <c r="AK1250" s="43">
        <v>7.3390413690000003</v>
      </c>
      <c r="AL1250" s="43">
        <v>2.2902759999999999E-3</v>
      </c>
      <c r="AM1250" s="230">
        <v>3.9850804868472714E-2</v>
      </c>
      <c r="AN1250" s="43">
        <v>0.85283339899999999</v>
      </c>
    </row>
    <row r="1251" spans="1:40" x14ac:dyDescent="0.25">
      <c r="A1251" s="134">
        <v>1241</v>
      </c>
      <c r="B1251" s="134" t="s">
        <v>204</v>
      </c>
      <c r="C1251" s="134" t="s">
        <v>205</v>
      </c>
      <c r="D1251" s="134" t="s">
        <v>62</v>
      </c>
      <c r="E1251" s="134">
        <v>0</v>
      </c>
      <c r="F1251" s="134">
        <v>0</v>
      </c>
      <c r="G1251" s="134">
        <v>16</v>
      </c>
      <c r="H1251" s="134">
        <v>480</v>
      </c>
      <c r="I1251" s="200">
        <v>2.5858077716900001E-2</v>
      </c>
      <c r="J1251" s="134">
        <v>480</v>
      </c>
      <c r="K1251" s="134">
        <v>18562.864774999998</v>
      </c>
      <c r="L1251" s="42">
        <v>0.85047290196699998</v>
      </c>
      <c r="M1251" s="42">
        <v>1</v>
      </c>
      <c r="N1251" s="134">
        <v>0</v>
      </c>
      <c r="O1251" s="43" t="s">
        <v>664</v>
      </c>
      <c r="P1251" s="43">
        <f t="shared" si="271"/>
        <v>15.523429787616648</v>
      </c>
      <c r="Q1251" s="43">
        <f t="shared" si="272"/>
        <v>1.1883784999999999E-2</v>
      </c>
      <c r="R1251" s="43">
        <f t="shared" si="273"/>
        <v>8.7587610000000003E-3</v>
      </c>
      <c r="S1251" s="43">
        <f t="shared" si="274"/>
        <v>0.85047290200000003</v>
      </c>
      <c r="T1251" s="43">
        <f t="shared" si="275"/>
        <v>1.8388401889999999</v>
      </c>
      <c r="U1251" s="43">
        <f t="shared" si="276"/>
        <v>5.757798846</v>
      </c>
      <c r="V1251" s="43">
        <f t="shared" si="277"/>
        <v>3.1081220000000001E-3</v>
      </c>
      <c r="W1251" s="230">
        <f t="shared" si="278"/>
        <v>2.6597370834607153E-2</v>
      </c>
      <c r="X1251" s="43">
        <f t="shared" si="279"/>
        <v>0.87878324699999999</v>
      </c>
      <c r="Y1251" s="43">
        <v>111.390007</v>
      </c>
      <c r="Z1251" s="43">
        <f t="shared" si="268"/>
        <v>0</v>
      </c>
      <c r="AA1251" s="43">
        <f t="shared" si="269"/>
        <v>85233</v>
      </c>
      <c r="AB1251" s="43">
        <f t="shared" si="270"/>
        <v>30359</v>
      </c>
      <c r="AC1251" s="43">
        <f t="shared" si="280"/>
        <v>1.7062811181712705E-2</v>
      </c>
      <c r="AD1251" s="43">
        <f t="shared" si="281"/>
        <v>0.87966620448387123</v>
      </c>
      <c r="AF1251" s="43">
        <v>15.523429787616648</v>
      </c>
      <c r="AG1251" s="43">
        <v>1.1883784999999999E-2</v>
      </c>
      <c r="AH1251" s="43">
        <v>8.7587610000000003E-3</v>
      </c>
      <c r="AI1251" s="43">
        <v>0.85047290200000003</v>
      </c>
      <c r="AJ1251" s="43">
        <v>1.8388401889999999</v>
      </c>
      <c r="AK1251" s="43">
        <v>5.757798846</v>
      </c>
      <c r="AL1251" s="43">
        <v>3.1081220000000001E-3</v>
      </c>
      <c r="AM1251" s="230">
        <v>2.6597370834607153E-2</v>
      </c>
      <c r="AN1251" s="43">
        <v>0.87878324699999999</v>
      </c>
    </row>
    <row r="1252" spans="1:40" x14ac:dyDescent="0.25">
      <c r="A1252" s="134">
        <v>1242</v>
      </c>
      <c r="B1252" s="134" t="s">
        <v>204</v>
      </c>
      <c r="C1252" s="134" t="s">
        <v>205</v>
      </c>
      <c r="D1252" s="134" t="s">
        <v>62</v>
      </c>
      <c r="E1252" s="134">
        <v>205</v>
      </c>
      <c r="F1252" s="134">
        <v>472</v>
      </c>
      <c r="G1252" s="134">
        <v>47</v>
      </c>
      <c r="H1252" s="134">
        <v>58</v>
      </c>
      <c r="I1252" s="200">
        <v>7.44304640893E-2</v>
      </c>
      <c r="J1252" s="134">
        <v>530</v>
      </c>
      <c r="K1252" s="134">
        <v>7120.74023029</v>
      </c>
      <c r="L1252" s="42">
        <v>0.84739248492599994</v>
      </c>
      <c r="M1252" s="42">
        <v>0.22053231939199999</v>
      </c>
      <c r="N1252" s="134">
        <v>0</v>
      </c>
      <c r="O1252" s="43" t="s">
        <v>664</v>
      </c>
      <c r="P1252" s="43">
        <f t="shared" si="271"/>
        <v>17.846393903266776</v>
      </c>
      <c r="Q1252" s="43">
        <f t="shared" si="272"/>
        <v>2.2840714000000002E-2</v>
      </c>
      <c r="R1252" s="43">
        <f t="shared" si="273"/>
        <v>1.1400390999999999E-2</v>
      </c>
      <c r="S1252" s="43">
        <f t="shared" si="274"/>
        <v>0.84739248499999997</v>
      </c>
      <c r="T1252" s="43">
        <f t="shared" si="275"/>
        <v>2.1787122210000001</v>
      </c>
      <c r="U1252" s="43">
        <f t="shared" si="276"/>
        <v>9.9637154809999995</v>
      </c>
      <c r="V1252" s="43">
        <f t="shared" si="277"/>
        <v>2.072141E-3</v>
      </c>
      <c r="W1252" s="230">
        <f t="shared" si="278"/>
        <v>5.4758250191864921E-2</v>
      </c>
      <c r="X1252" s="43">
        <f t="shared" si="279"/>
        <v>0.87079815800000004</v>
      </c>
      <c r="Y1252" s="43">
        <v>148.70243809999999</v>
      </c>
      <c r="Z1252" s="43">
        <f t="shared" si="268"/>
        <v>0</v>
      </c>
      <c r="AA1252" s="43">
        <f t="shared" si="269"/>
        <v>85233</v>
      </c>
      <c r="AB1252" s="43">
        <f t="shared" si="270"/>
        <v>30359</v>
      </c>
      <c r="AC1252" s="43">
        <f t="shared" si="280"/>
        <v>1.7062811181712705E-2</v>
      </c>
      <c r="AD1252" s="43">
        <f t="shared" si="281"/>
        <v>0.87966620448387123</v>
      </c>
      <c r="AF1252" s="43">
        <v>17.846393903266776</v>
      </c>
      <c r="AG1252" s="43">
        <v>2.2840714000000002E-2</v>
      </c>
      <c r="AH1252" s="43">
        <v>1.1400390999999999E-2</v>
      </c>
      <c r="AI1252" s="43">
        <v>0.84739248499999997</v>
      </c>
      <c r="AJ1252" s="43">
        <v>2.1787122210000001</v>
      </c>
      <c r="AK1252" s="43">
        <v>9.9637154809999995</v>
      </c>
      <c r="AL1252" s="43">
        <v>2.072141E-3</v>
      </c>
      <c r="AM1252" s="230">
        <v>5.4758250191864921E-2</v>
      </c>
      <c r="AN1252" s="43">
        <v>0.87079815800000004</v>
      </c>
    </row>
    <row r="1253" spans="1:40" x14ac:dyDescent="0.25">
      <c r="A1253" s="134">
        <v>1243</v>
      </c>
      <c r="B1253" s="134" t="s">
        <v>204</v>
      </c>
      <c r="C1253" s="134" t="s">
        <v>205</v>
      </c>
      <c r="D1253" s="134" t="s">
        <v>62</v>
      </c>
      <c r="E1253" s="134">
        <v>70</v>
      </c>
      <c r="F1253" s="134">
        <v>162</v>
      </c>
      <c r="G1253" s="134">
        <v>14</v>
      </c>
      <c r="H1253" s="134">
        <v>0</v>
      </c>
      <c r="I1253" s="200">
        <v>2.1801346546300001E-2</v>
      </c>
      <c r="J1253" s="134">
        <v>162</v>
      </c>
      <c r="K1253" s="134">
        <v>7430.7336776700004</v>
      </c>
      <c r="L1253" s="42">
        <v>0.82473611577299999</v>
      </c>
      <c r="M1253" s="42">
        <v>0</v>
      </c>
      <c r="N1253" s="134">
        <v>0</v>
      </c>
      <c r="O1253" s="43" t="s">
        <v>664</v>
      </c>
      <c r="P1253" s="43">
        <f t="shared" si="271"/>
        <v>17.702460418362584</v>
      </c>
      <c r="Q1253" s="43">
        <f t="shared" si="272"/>
        <v>2.5474619E-2</v>
      </c>
      <c r="R1253" s="43">
        <f t="shared" si="273"/>
        <v>1.1823505E-2</v>
      </c>
      <c r="S1253" s="43">
        <f t="shared" si="274"/>
        <v>0.82473611599999996</v>
      </c>
      <c r="T1253" s="43">
        <f t="shared" si="275"/>
        <v>2.2071097370000001</v>
      </c>
      <c r="U1253" s="43">
        <f t="shared" si="276"/>
        <v>9.5539535870000005</v>
      </c>
      <c r="V1253" s="43">
        <f t="shared" si="277"/>
        <v>5.8462399999999995E-4</v>
      </c>
      <c r="W1253" s="230">
        <f t="shared" si="278"/>
        <v>6.7962584039754456E-2</v>
      </c>
      <c r="X1253" s="43">
        <f t="shared" si="279"/>
        <v>0.81014323300000002</v>
      </c>
      <c r="Y1253" s="43">
        <v>148.70016319999999</v>
      </c>
      <c r="Z1253" s="43">
        <f t="shared" si="268"/>
        <v>0</v>
      </c>
      <c r="AA1253" s="43">
        <f t="shared" si="269"/>
        <v>85233</v>
      </c>
      <c r="AB1253" s="43">
        <f t="shared" si="270"/>
        <v>30359</v>
      </c>
      <c r="AC1253" s="43">
        <f t="shared" si="280"/>
        <v>1.7062811181712705E-2</v>
      </c>
      <c r="AD1253" s="43">
        <f t="shared" si="281"/>
        <v>0.87966620448387123</v>
      </c>
      <c r="AF1253" s="43">
        <v>17.702460418362584</v>
      </c>
      <c r="AG1253" s="43">
        <v>2.5474619E-2</v>
      </c>
      <c r="AH1253" s="43">
        <v>1.1823505E-2</v>
      </c>
      <c r="AI1253" s="43">
        <v>0.82473611599999996</v>
      </c>
      <c r="AJ1253" s="43">
        <v>2.2071097370000001</v>
      </c>
      <c r="AK1253" s="43">
        <v>9.5539535870000005</v>
      </c>
      <c r="AL1253" s="43">
        <v>5.8462399999999995E-4</v>
      </c>
      <c r="AM1253" s="230">
        <v>6.7962584039754456E-2</v>
      </c>
      <c r="AN1253" s="43">
        <v>0.81014323300000002</v>
      </c>
    </row>
    <row r="1254" spans="1:40" x14ac:dyDescent="0.25">
      <c r="A1254" s="134">
        <v>1244</v>
      </c>
      <c r="B1254" s="134" t="s">
        <v>204</v>
      </c>
      <c r="C1254" s="134" t="s">
        <v>205</v>
      </c>
      <c r="D1254" s="134" t="s">
        <v>62</v>
      </c>
      <c r="E1254" s="134">
        <v>830</v>
      </c>
      <c r="F1254" s="134">
        <v>1909</v>
      </c>
      <c r="G1254" s="134">
        <v>186</v>
      </c>
      <c r="H1254" s="134">
        <v>0</v>
      </c>
      <c r="I1254" s="200">
        <v>0.29141656588499998</v>
      </c>
      <c r="J1254" s="134">
        <v>1909</v>
      </c>
      <c r="K1254" s="134">
        <v>6550.7600578700003</v>
      </c>
      <c r="L1254" s="42">
        <v>0.88004704875999995</v>
      </c>
      <c r="M1254" s="42">
        <v>0</v>
      </c>
      <c r="N1254" s="134">
        <v>0</v>
      </c>
      <c r="O1254" s="43" t="s">
        <v>666</v>
      </c>
      <c r="P1254" s="43">
        <f t="shared" si="271"/>
        <v>19.608568940432505</v>
      </c>
      <c r="Q1254" s="43">
        <f t="shared" si="272"/>
        <v>2.1584381999999999E-2</v>
      </c>
      <c r="R1254" s="43">
        <f t="shared" si="273"/>
        <v>1.2092142E-2</v>
      </c>
      <c r="S1254" s="43">
        <f t="shared" si="274"/>
        <v>0.88004704899999997</v>
      </c>
      <c r="T1254" s="43">
        <f t="shared" si="275"/>
        <v>2.7264103209999999</v>
      </c>
      <c r="U1254" s="43">
        <f t="shared" si="276"/>
        <v>12.65398036</v>
      </c>
      <c r="V1254" s="43">
        <f t="shared" si="277"/>
        <v>1.952353E-3</v>
      </c>
      <c r="W1254" s="230">
        <f t="shared" si="278"/>
        <v>6.7386122722753891E-2</v>
      </c>
      <c r="X1254" s="43">
        <f t="shared" si="279"/>
        <v>0.90778425900000004</v>
      </c>
      <c r="Y1254" s="43">
        <v>104.6588484</v>
      </c>
      <c r="Z1254" s="43">
        <f t="shared" si="268"/>
        <v>0</v>
      </c>
      <c r="AA1254" s="43">
        <f t="shared" si="269"/>
        <v>85233</v>
      </c>
      <c r="AB1254" s="43">
        <f t="shared" si="270"/>
        <v>30359</v>
      </c>
      <c r="AC1254" s="43">
        <f t="shared" si="280"/>
        <v>1.7062811181712705E-2</v>
      </c>
      <c r="AD1254" s="43">
        <f t="shared" si="281"/>
        <v>0.87966620448387123</v>
      </c>
      <c r="AF1254" s="43">
        <v>19.608568940432505</v>
      </c>
      <c r="AG1254" s="43">
        <v>2.1584381999999999E-2</v>
      </c>
      <c r="AH1254" s="43">
        <v>1.2092142E-2</v>
      </c>
      <c r="AI1254" s="43">
        <v>0.88004704899999997</v>
      </c>
      <c r="AJ1254" s="43">
        <v>2.7264103209999999</v>
      </c>
      <c r="AK1254" s="43">
        <v>12.65398036</v>
      </c>
      <c r="AL1254" s="43">
        <v>1.952353E-3</v>
      </c>
      <c r="AM1254" s="230">
        <v>6.7386122722753891E-2</v>
      </c>
      <c r="AN1254" s="43">
        <v>0.90778425900000004</v>
      </c>
    </row>
    <row r="1255" spans="1:40" x14ac:dyDescent="0.25">
      <c r="A1255" s="134">
        <v>1245</v>
      </c>
      <c r="B1255" s="134" t="s">
        <v>204</v>
      </c>
      <c r="C1255" s="134" t="s">
        <v>205</v>
      </c>
      <c r="D1255" s="134" t="s">
        <v>62</v>
      </c>
      <c r="E1255" s="134">
        <v>170</v>
      </c>
      <c r="F1255" s="134">
        <v>391</v>
      </c>
      <c r="G1255" s="134">
        <v>68</v>
      </c>
      <c r="H1255" s="134">
        <v>0</v>
      </c>
      <c r="I1255" s="200">
        <v>0.107116780673</v>
      </c>
      <c r="J1255" s="134">
        <v>391</v>
      </c>
      <c r="K1255" s="134">
        <v>3650.2217256899999</v>
      </c>
      <c r="L1255" s="42">
        <v>0.84596555121000006</v>
      </c>
      <c r="M1255" s="42">
        <v>0</v>
      </c>
      <c r="N1255" s="134">
        <v>0</v>
      </c>
      <c r="O1255" s="43" t="s">
        <v>666</v>
      </c>
      <c r="P1255" s="43">
        <f t="shared" si="271"/>
        <v>18.482070223891458</v>
      </c>
      <c r="Q1255" s="43">
        <f t="shared" si="272"/>
        <v>2.5508223999999999E-2</v>
      </c>
      <c r="R1255" s="43">
        <f t="shared" si="273"/>
        <v>1.1895876999999999E-2</v>
      </c>
      <c r="S1255" s="43">
        <f t="shared" si="274"/>
        <v>0.84596555100000004</v>
      </c>
      <c r="T1255" s="43">
        <f t="shared" si="275"/>
        <v>2.3727100440000002</v>
      </c>
      <c r="U1255" s="43">
        <f t="shared" si="276"/>
        <v>10.65821339</v>
      </c>
      <c r="V1255" s="43">
        <f t="shared" si="277"/>
        <v>1.2816780000000001E-3</v>
      </c>
      <c r="W1255" s="230">
        <f t="shared" si="278"/>
        <v>6.8336731721526364E-2</v>
      </c>
      <c r="X1255" s="43">
        <f t="shared" si="279"/>
        <v>0.85703466399999995</v>
      </c>
      <c r="Y1255" s="43">
        <v>147.6675664</v>
      </c>
      <c r="Z1255" s="43">
        <f t="shared" si="268"/>
        <v>0</v>
      </c>
      <c r="AA1255" s="43">
        <f t="shared" si="269"/>
        <v>85233</v>
      </c>
      <c r="AB1255" s="43">
        <f t="shared" si="270"/>
        <v>30359</v>
      </c>
      <c r="AC1255" s="43">
        <f t="shared" si="280"/>
        <v>1.7062811181712705E-2</v>
      </c>
      <c r="AD1255" s="43">
        <f t="shared" si="281"/>
        <v>0.87966620448387123</v>
      </c>
      <c r="AF1255" s="43">
        <v>18.482070223891458</v>
      </c>
      <c r="AG1255" s="43">
        <v>2.5508223999999999E-2</v>
      </c>
      <c r="AH1255" s="43">
        <v>1.1895876999999999E-2</v>
      </c>
      <c r="AI1255" s="43">
        <v>0.84596555100000004</v>
      </c>
      <c r="AJ1255" s="43">
        <v>2.3727100440000002</v>
      </c>
      <c r="AK1255" s="43">
        <v>10.65821339</v>
      </c>
      <c r="AL1255" s="43">
        <v>1.2816780000000001E-3</v>
      </c>
      <c r="AM1255" s="230">
        <v>6.8336731721526364E-2</v>
      </c>
      <c r="AN1255" s="43">
        <v>0.85703466399999995</v>
      </c>
    </row>
    <row r="1256" spans="1:40" x14ac:dyDescent="0.25">
      <c r="A1256" s="134">
        <v>1246</v>
      </c>
      <c r="B1256" s="134" t="s">
        <v>204</v>
      </c>
      <c r="C1256" s="134" t="s">
        <v>205</v>
      </c>
      <c r="D1256" s="134" t="s">
        <v>62</v>
      </c>
      <c r="E1256" s="134">
        <v>279</v>
      </c>
      <c r="F1256" s="134">
        <v>642</v>
      </c>
      <c r="G1256" s="134">
        <v>19</v>
      </c>
      <c r="H1256" s="134">
        <v>47</v>
      </c>
      <c r="I1256" s="200">
        <v>3.01899811099E-2</v>
      </c>
      <c r="J1256" s="134">
        <v>689</v>
      </c>
      <c r="K1256" s="134">
        <v>22822.140812000001</v>
      </c>
      <c r="L1256" s="42">
        <v>0.83339708511300004</v>
      </c>
      <c r="M1256" s="42">
        <v>0.14417177914099999</v>
      </c>
      <c r="N1256" s="134">
        <v>0</v>
      </c>
      <c r="O1256" s="43" t="s">
        <v>664</v>
      </c>
      <c r="P1256" s="43">
        <f t="shared" si="271"/>
        <v>17.636332962857139</v>
      </c>
      <c r="Q1256" s="43">
        <f t="shared" si="272"/>
        <v>3.0124667000000001E-2</v>
      </c>
      <c r="R1256" s="43">
        <f t="shared" si="273"/>
        <v>1.2170085000000001E-2</v>
      </c>
      <c r="S1256" s="43">
        <f t="shared" si="274"/>
        <v>0.83339708499999998</v>
      </c>
      <c r="T1256" s="43">
        <f t="shared" si="275"/>
        <v>2.2970044610000002</v>
      </c>
      <c r="U1256" s="43">
        <f t="shared" si="276"/>
        <v>9.7596823639999997</v>
      </c>
      <c r="V1256" s="43">
        <f t="shared" si="277"/>
        <v>4.6395209999999997E-3</v>
      </c>
      <c r="W1256" s="230">
        <f t="shared" si="278"/>
        <v>7.6491056712044453E-2</v>
      </c>
      <c r="X1256" s="43">
        <f t="shared" si="279"/>
        <v>0.83084060800000004</v>
      </c>
      <c r="Y1256" s="43">
        <v>109.4755318</v>
      </c>
      <c r="Z1256" s="43">
        <f t="shared" si="268"/>
        <v>0</v>
      </c>
      <c r="AA1256" s="43">
        <f t="shared" si="269"/>
        <v>85233</v>
      </c>
      <c r="AB1256" s="43">
        <f t="shared" si="270"/>
        <v>30359</v>
      </c>
      <c r="AC1256" s="43">
        <f t="shared" si="280"/>
        <v>1.7062811181712705E-2</v>
      </c>
      <c r="AD1256" s="43">
        <f t="shared" si="281"/>
        <v>0.87966620448387123</v>
      </c>
      <c r="AF1256" s="43">
        <v>17.636332962857139</v>
      </c>
      <c r="AG1256" s="43">
        <v>3.0124667000000001E-2</v>
      </c>
      <c r="AH1256" s="43">
        <v>1.2170085000000001E-2</v>
      </c>
      <c r="AI1256" s="43">
        <v>0.83339708499999998</v>
      </c>
      <c r="AJ1256" s="43">
        <v>2.2970044610000002</v>
      </c>
      <c r="AK1256" s="43">
        <v>9.7596823639999997</v>
      </c>
      <c r="AL1256" s="43">
        <v>4.6395209999999997E-3</v>
      </c>
      <c r="AM1256" s="230">
        <v>7.6491056712044453E-2</v>
      </c>
      <c r="AN1256" s="43">
        <v>0.83084060800000004</v>
      </c>
    </row>
    <row r="1257" spans="1:40" x14ac:dyDescent="0.25">
      <c r="A1257" s="134">
        <v>1247</v>
      </c>
      <c r="B1257" s="134" t="s">
        <v>204</v>
      </c>
      <c r="C1257" s="134" t="s">
        <v>205</v>
      </c>
      <c r="D1257" s="134" t="s">
        <v>62</v>
      </c>
      <c r="E1257" s="134">
        <v>50</v>
      </c>
      <c r="F1257" s="134">
        <v>115</v>
      </c>
      <c r="G1257" s="134">
        <v>10</v>
      </c>
      <c r="H1257" s="134">
        <v>50</v>
      </c>
      <c r="I1257" s="200">
        <v>1.5788430954199999E-2</v>
      </c>
      <c r="J1257" s="134">
        <v>165</v>
      </c>
      <c r="K1257" s="134">
        <v>10450.690159100001</v>
      </c>
      <c r="L1257" s="42">
        <v>0.86138977694499996</v>
      </c>
      <c r="M1257" s="42">
        <v>0.5</v>
      </c>
      <c r="N1257" s="134">
        <v>0</v>
      </c>
      <c r="O1257" s="43" t="s">
        <v>666</v>
      </c>
      <c r="P1257" s="43">
        <f t="shared" si="271"/>
        <v>17.44289460362701</v>
      </c>
      <c r="Q1257" s="43">
        <f t="shared" si="272"/>
        <v>7.6801530000000003E-3</v>
      </c>
      <c r="R1257" s="43">
        <f t="shared" si="273"/>
        <v>1.080366E-2</v>
      </c>
      <c r="S1257" s="43">
        <f t="shared" si="274"/>
        <v>0.86138977699999997</v>
      </c>
      <c r="T1257" s="43">
        <f t="shared" si="275"/>
        <v>2.6338259439999998</v>
      </c>
      <c r="U1257" s="43">
        <f t="shared" si="276"/>
        <v>10.195933370000001</v>
      </c>
      <c r="V1257" s="43">
        <f t="shared" si="277"/>
        <v>1.495581E-3</v>
      </c>
      <c r="W1257" s="230">
        <f t="shared" si="278"/>
        <v>2.6784500339904826E-2</v>
      </c>
      <c r="X1257" s="43">
        <f t="shared" si="279"/>
        <v>0.86267844999999999</v>
      </c>
      <c r="Y1257" s="43">
        <v>142.26788830000001</v>
      </c>
      <c r="Z1257" s="43">
        <f t="shared" si="268"/>
        <v>0</v>
      </c>
      <c r="AA1257" s="43">
        <f t="shared" si="269"/>
        <v>85233</v>
      </c>
      <c r="AB1257" s="43">
        <f t="shared" si="270"/>
        <v>30359</v>
      </c>
      <c r="AC1257" s="43">
        <f t="shared" si="280"/>
        <v>1.7062811181712705E-2</v>
      </c>
      <c r="AD1257" s="43">
        <f t="shared" si="281"/>
        <v>0.87966620448387123</v>
      </c>
      <c r="AF1257" s="43">
        <v>17.44289460362701</v>
      </c>
      <c r="AG1257" s="43">
        <v>7.6801530000000003E-3</v>
      </c>
      <c r="AH1257" s="43">
        <v>1.080366E-2</v>
      </c>
      <c r="AI1257" s="43">
        <v>0.86138977699999997</v>
      </c>
      <c r="AJ1257" s="43">
        <v>2.6338259439999998</v>
      </c>
      <c r="AK1257" s="43">
        <v>10.195933370000001</v>
      </c>
      <c r="AL1257" s="43">
        <v>1.495581E-3</v>
      </c>
      <c r="AM1257" s="230">
        <v>2.6784500339904826E-2</v>
      </c>
      <c r="AN1257" s="43">
        <v>0.86267844999999999</v>
      </c>
    </row>
    <row r="1258" spans="1:40" x14ac:dyDescent="0.25">
      <c r="A1258" s="134">
        <v>1248</v>
      </c>
      <c r="B1258" s="134" t="s">
        <v>204</v>
      </c>
      <c r="C1258" s="134" t="s">
        <v>205</v>
      </c>
      <c r="D1258" s="134" t="s">
        <v>62</v>
      </c>
      <c r="E1258" s="134">
        <v>560</v>
      </c>
      <c r="F1258" s="134">
        <v>1288</v>
      </c>
      <c r="G1258" s="134">
        <v>146</v>
      </c>
      <c r="H1258" s="134">
        <v>98</v>
      </c>
      <c r="I1258" s="200">
        <v>0.22954736526899999</v>
      </c>
      <c r="J1258" s="134">
        <v>1386</v>
      </c>
      <c r="K1258" s="134">
        <v>6037.9695422699997</v>
      </c>
      <c r="L1258" s="42">
        <v>0.89041238725799998</v>
      </c>
      <c r="M1258" s="42">
        <v>0.14893617021300001</v>
      </c>
      <c r="N1258" s="134">
        <v>0</v>
      </c>
      <c r="O1258" s="43" t="s">
        <v>666</v>
      </c>
      <c r="P1258" s="43">
        <f t="shared" si="271"/>
        <v>20.053642296087876</v>
      </c>
      <c r="Q1258" s="43">
        <f t="shared" si="272"/>
        <v>1.098185E-2</v>
      </c>
      <c r="R1258" s="43">
        <f t="shared" si="273"/>
        <v>1.1249972E-2</v>
      </c>
      <c r="S1258" s="43">
        <f t="shared" si="274"/>
        <v>0.89041238700000003</v>
      </c>
      <c r="T1258" s="43">
        <f t="shared" si="275"/>
        <v>2.812603374</v>
      </c>
      <c r="U1258" s="43">
        <f t="shared" si="276"/>
        <v>13.16614175</v>
      </c>
      <c r="V1258" s="43">
        <f t="shared" si="277"/>
        <v>1.5644509999999999E-3</v>
      </c>
      <c r="W1258" s="230">
        <f t="shared" si="278"/>
        <v>3.8223746558960242E-2</v>
      </c>
      <c r="X1258" s="43">
        <f t="shared" si="279"/>
        <v>0.92723799200000001</v>
      </c>
      <c r="Y1258" s="43">
        <v>142.26711030000001</v>
      </c>
      <c r="Z1258" s="43">
        <f t="shared" si="268"/>
        <v>0</v>
      </c>
      <c r="AA1258" s="43">
        <f t="shared" si="269"/>
        <v>85233</v>
      </c>
      <c r="AB1258" s="43">
        <f t="shared" si="270"/>
        <v>30359</v>
      </c>
      <c r="AC1258" s="43">
        <f t="shared" si="280"/>
        <v>1.7062811181712705E-2</v>
      </c>
      <c r="AD1258" s="43">
        <f t="shared" si="281"/>
        <v>0.87966620448387123</v>
      </c>
      <c r="AF1258" s="43">
        <v>20.053642296087876</v>
      </c>
      <c r="AG1258" s="43">
        <v>1.098185E-2</v>
      </c>
      <c r="AH1258" s="43">
        <v>1.1249972E-2</v>
      </c>
      <c r="AI1258" s="43">
        <v>0.89041238700000003</v>
      </c>
      <c r="AJ1258" s="43">
        <v>2.812603374</v>
      </c>
      <c r="AK1258" s="43">
        <v>13.16614175</v>
      </c>
      <c r="AL1258" s="43">
        <v>1.5644509999999999E-3</v>
      </c>
      <c r="AM1258" s="230">
        <v>3.8223746558960242E-2</v>
      </c>
      <c r="AN1258" s="43">
        <v>0.92723799200000001</v>
      </c>
    </row>
    <row r="1259" spans="1:40" x14ac:dyDescent="0.25">
      <c r="A1259" s="134">
        <v>1249</v>
      </c>
      <c r="B1259" s="134" t="s">
        <v>204</v>
      </c>
      <c r="C1259" s="134" t="s">
        <v>205</v>
      </c>
      <c r="D1259" s="134" t="s">
        <v>62</v>
      </c>
      <c r="E1259" s="134">
        <v>80</v>
      </c>
      <c r="F1259" s="134">
        <v>184</v>
      </c>
      <c r="G1259" s="134">
        <v>51</v>
      </c>
      <c r="H1259" s="134">
        <v>0</v>
      </c>
      <c r="I1259" s="200">
        <v>8.0375460159599996E-2</v>
      </c>
      <c r="J1259" s="134">
        <v>184</v>
      </c>
      <c r="K1259" s="134">
        <v>2289.2559449700002</v>
      </c>
      <c r="L1259" s="42">
        <v>0.88774197803599997</v>
      </c>
      <c r="M1259" s="42">
        <v>0</v>
      </c>
      <c r="N1259" s="134">
        <v>0</v>
      </c>
      <c r="O1259" s="43" t="s">
        <v>666</v>
      </c>
      <c r="P1259" s="43">
        <f t="shared" si="271"/>
        <v>19.989819904140553</v>
      </c>
      <c r="Q1259" s="43">
        <f t="shared" si="272"/>
        <v>8.1126540000000004E-3</v>
      </c>
      <c r="R1259" s="43">
        <f t="shared" si="273"/>
        <v>1.1278567E-2</v>
      </c>
      <c r="S1259" s="43">
        <f t="shared" si="274"/>
        <v>0.88774197799999999</v>
      </c>
      <c r="T1259" s="43">
        <f t="shared" si="275"/>
        <v>3.236417034</v>
      </c>
      <c r="U1259" s="43">
        <f t="shared" si="276"/>
        <v>13.808001239999999</v>
      </c>
      <c r="V1259" s="43">
        <f t="shared" si="277"/>
        <v>3.9914799999999999E-4</v>
      </c>
      <c r="W1259" s="230">
        <f t="shared" si="278"/>
        <v>2.9004789781798834E-2</v>
      </c>
      <c r="X1259" s="43">
        <f t="shared" si="279"/>
        <v>0.87852581200000002</v>
      </c>
      <c r="Y1259" s="43">
        <v>141.88590809999999</v>
      </c>
      <c r="Z1259" s="43">
        <f t="shared" si="268"/>
        <v>0</v>
      </c>
      <c r="AA1259" s="43">
        <f t="shared" si="269"/>
        <v>85233</v>
      </c>
      <c r="AB1259" s="43">
        <f t="shared" si="270"/>
        <v>30359</v>
      </c>
      <c r="AC1259" s="43">
        <f t="shared" si="280"/>
        <v>1.7062811181712705E-2</v>
      </c>
      <c r="AD1259" s="43">
        <f t="shared" si="281"/>
        <v>0.87966620448387123</v>
      </c>
      <c r="AF1259" s="43">
        <v>19.989819904140553</v>
      </c>
      <c r="AG1259" s="43">
        <v>8.1126540000000004E-3</v>
      </c>
      <c r="AH1259" s="43">
        <v>1.1278567E-2</v>
      </c>
      <c r="AI1259" s="43">
        <v>0.88774197799999999</v>
      </c>
      <c r="AJ1259" s="43">
        <v>3.236417034</v>
      </c>
      <c r="AK1259" s="43">
        <v>13.808001239999999</v>
      </c>
      <c r="AL1259" s="43">
        <v>3.9914799999999999E-4</v>
      </c>
      <c r="AM1259" s="230">
        <v>2.9004789781798834E-2</v>
      </c>
      <c r="AN1259" s="43">
        <v>0.87852581200000002</v>
      </c>
    </row>
    <row r="1260" spans="1:40" x14ac:dyDescent="0.25">
      <c r="A1260" s="134">
        <v>1250</v>
      </c>
      <c r="B1260" s="134" t="s">
        <v>204</v>
      </c>
      <c r="C1260" s="134" t="s">
        <v>205</v>
      </c>
      <c r="D1260" s="134" t="s">
        <v>62</v>
      </c>
      <c r="E1260" s="134">
        <v>0</v>
      </c>
      <c r="F1260" s="134">
        <v>0</v>
      </c>
      <c r="G1260" s="134">
        <v>29</v>
      </c>
      <c r="H1260" s="134">
        <v>1247</v>
      </c>
      <c r="I1260" s="200">
        <v>4.6008443081299998E-2</v>
      </c>
      <c r="J1260" s="134">
        <v>1247</v>
      </c>
      <c r="K1260" s="134">
        <v>27103.720893099999</v>
      </c>
      <c r="L1260" s="42">
        <v>0.86790682434199995</v>
      </c>
      <c r="M1260" s="42">
        <v>1</v>
      </c>
      <c r="N1260" s="134">
        <v>0</v>
      </c>
      <c r="O1260" s="43" t="s">
        <v>664</v>
      </c>
      <c r="P1260" s="43">
        <f t="shared" si="271"/>
        <v>15.7375285615508</v>
      </c>
      <c r="Q1260" s="43">
        <f t="shared" si="272"/>
        <v>2.3137529E-2</v>
      </c>
      <c r="R1260" s="43">
        <f t="shared" si="273"/>
        <v>5.6894340000000002E-3</v>
      </c>
      <c r="S1260" s="43">
        <f t="shared" si="274"/>
        <v>0.86790682399999997</v>
      </c>
      <c r="T1260" s="43">
        <f t="shared" si="275"/>
        <v>2.5710526319999998</v>
      </c>
      <c r="U1260" s="43">
        <f t="shared" si="276"/>
        <v>9.3078480559999992</v>
      </c>
      <c r="V1260" s="43">
        <f t="shared" si="277"/>
        <v>3.6217070000000001E-3</v>
      </c>
      <c r="W1260" s="230">
        <f t="shared" si="278"/>
        <v>3.3121093521817857E-2</v>
      </c>
      <c r="X1260" s="43">
        <f t="shared" si="279"/>
        <v>0.89623615099999998</v>
      </c>
      <c r="Y1260" s="43">
        <v>111.390007</v>
      </c>
      <c r="Z1260" s="43">
        <f t="shared" si="268"/>
        <v>0</v>
      </c>
      <c r="AA1260" s="43">
        <f t="shared" si="269"/>
        <v>85233</v>
      </c>
      <c r="AB1260" s="43">
        <f t="shared" si="270"/>
        <v>30359</v>
      </c>
      <c r="AC1260" s="43">
        <f t="shared" si="280"/>
        <v>1.7062811181712705E-2</v>
      </c>
      <c r="AD1260" s="43">
        <f t="shared" si="281"/>
        <v>0.87966620448387123</v>
      </c>
      <c r="AF1260" s="43">
        <v>15.7375285615508</v>
      </c>
      <c r="AG1260" s="43">
        <v>2.3137529E-2</v>
      </c>
      <c r="AH1260" s="43">
        <v>5.6894340000000002E-3</v>
      </c>
      <c r="AI1260" s="43">
        <v>0.86790682399999997</v>
      </c>
      <c r="AJ1260" s="43">
        <v>2.5710526319999998</v>
      </c>
      <c r="AK1260" s="43">
        <v>9.3078480559999992</v>
      </c>
      <c r="AL1260" s="43">
        <v>3.6217070000000001E-3</v>
      </c>
      <c r="AM1260" s="230">
        <v>3.3121093521817857E-2</v>
      </c>
      <c r="AN1260" s="43">
        <v>0.89623615099999998</v>
      </c>
    </row>
    <row r="1261" spans="1:40" x14ac:dyDescent="0.25">
      <c r="A1261" s="134">
        <v>1251</v>
      </c>
      <c r="B1261" s="134" t="s">
        <v>204</v>
      </c>
      <c r="C1261" s="134" t="s">
        <v>205</v>
      </c>
      <c r="D1261" s="134" t="s">
        <v>62</v>
      </c>
      <c r="E1261" s="134">
        <v>0</v>
      </c>
      <c r="F1261" s="134">
        <v>0</v>
      </c>
      <c r="G1261" s="134">
        <v>26</v>
      </c>
      <c r="H1261" s="134">
        <v>804</v>
      </c>
      <c r="I1261" s="200">
        <v>4.1077144623200001E-2</v>
      </c>
      <c r="J1261" s="134">
        <v>804</v>
      </c>
      <c r="K1261" s="134">
        <v>19572.928142299999</v>
      </c>
      <c r="L1261" s="42">
        <v>0.86514003053900002</v>
      </c>
      <c r="M1261" s="42">
        <v>1</v>
      </c>
      <c r="N1261" s="134">
        <v>0</v>
      </c>
      <c r="O1261" s="43" t="s">
        <v>664</v>
      </c>
      <c r="P1261" s="43">
        <f t="shared" si="271"/>
        <v>15.46278073457305</v>
      </c>
      <c r="Q1261" s="43">
        <f t="shared" si="272"/>
        <v>1.4821384E-2</v>
      </c>
      <c r="R1261" s="43">
        <f t="shared" si="273"/>
        <v>8.1193029999999996E-3</v>
      </c>
      <c r="S1261" s="43">
        <f t="shared" si="274"/>
        <v>0.86514003100000003</v>
      </c>
      <c r="T1261" s="43">
        <f t="shared" si="275"/>
        <v>2.0953579420000001</v>
      </c>
      <c r="U1261" s="43">
        <f t="shared" si="276"/>
        <v>7.1029146179999998</v>
      </c>
      <c r="V1261" s="43">
        <f t="shared" si="277"/>
        <v>3.4852709999999999E-3</v>
      </c>
      <c r="W1261" s="230">
        <f t="shared" si="278"/>
        <v>2.5821311674142321E-2</v>
      </c>
      <c r="X1261" s="43">
        <f t="shared" si="279"/>
        <v>0.90120014500000001</v>
      </c>
      <c r="Y1261" s="43">
        <v>110.15378750000001</v>
      </c>
      <c r="Z1261" s="43">
        <f t="shared" si="268"/>
        <v>0</v>
      </c>
      <c r="AA1261" s="43">
        <f t="shared" si="269"/>
        <v>85233</v>
      </c>
      <c r="AB1261" s="43">
        <f t="shared" si="270"/>
        <v>30359</v>
      </c>
      <c r="AC1261" s="43">
        <f t="shared" si="280"/>
        <v>1.7062811181712705E-2</v>
      </c>
      <c r="AD1261" s="43">
        <f t="shared" si="281"/>
        <v>0.87966620448387123</v>
      </c>
      <c r="AF1261" s="43">
        <v>15.46278073457305</v>
      </c>
      <c r="AG1261" s="43">
        <v>1.4821384E-2</v>
      </c>
      <c r="AH1261" s="43">
        <v>8.1193029999999996E-3</v>
      </c>
      <c r="AI1261" s="43">
        <v>0.86514003100000003</v>
      </c>
      <c r="AJ1261" s="43">
        <v>2.0953579420000001</v>
      </c>
      <c r="AK1261" s="43">
        <v>7.1029146179999998</v>
      </c>
      <c r="AL1261" s="43">
        <v>3.4852709999999999E-3</v>
      </c>
      <c r="AM1261" s="230">
        <v>2.5821311674142321E-2</v>
      </c>
      <c r="AN1261" s="43">
        <v>0.90120014500000001</v>
      </c>
    </row>
    <row r="1262" spans="1:40" x14ac:dyDescent="0.25">
      <c r="A1262" s="134">
        <v>1252</v>
      </c>
      <c r="B1262" s="134" t="s">
        <v>204</v>
      </c>
      <c r="C1262" s="134" t="s">
        <v>205</v>
      </c>
      <c r="D1262" s="134" t="s">
        <v>62</v>
      </c>
      <c r="E1262" s="134">
        <v>175</v>
      </c>
      <c r="F1262" s="134">
        <v>463</v>
      </c>
      <c r="G1262" s="134">
        <v>233</v>
      </c>
      <c r="H1262" s="134">
        <v>225</v>
      </c>
      <c r="I1262" s="200">
        <v>0.36466909891600002</v>
      </c>
      <c r="J1262" s="134">
        <v>688</v>
      </c>
      <c r="K1262" s="134">
        <v>1886.6418954799999</v>
      </c>
      <c r="L1262" s="42">
        <v>0.91618332946699998</v>
      </c>
      <c r="M1262" s="42">
        <v>0.5625</v>
      </c>
      <c r="N1262" s="134">
        <v>0</v>
      </c>
      <c r="O1262" s="43" t="s">
        <v>665</v>
      </c>
      <c r="P1262" s="43">
        <f t="shared" si="271"/>
        <v>19.538258253733279</v>
      </c>
      <c r="Q1262" s="43">
        <f t="shared" si="272"/>
        <v>6.4400519999999999E-3</v>
      </c>
      <c r="R1262" s="43">
        <f t="shared" si="273"/>
        <v>1.0632084999999999E-2</v>
      </c>
      <c r="S1262" s="43">
        <f t="shared" si="274"/>
        <v>0.91618332899999999</v>
      </c>
      <c r="T1262" s="43">
        <f t="shared" si="275"/>
        <v>3.2054949189999999</v>
      </c>
      <c r="U1262" s="43">
        <f t="shared" si="276"/>
        <v>13.44780398</v>
      </c>
      <c r="V1262" s="43">
        <f t="shared" si="277"/>
        <v>1.6389530000000001E-3</v>
      </c>
      <c r="W1262" s="230">
        <f t="shared" si="278"/>
        <v>2.0412420287263842E-2</v>
      </c>
      <c r="X1262" s="43">
        <f t="shared" si="279"/>
        <v>0.93763037100000002</v>
      </c>
      <c r="Y1262" s="43">
        <v>55.225753019999999</v>
      </c>
      <c r="Z1262" s="43">
        <f t="shared" si="268"/>
        <v>0</v>
      </c>
      <c r="AA1262" s="43">
        <f t="shared" si="269"/>
        <v>85233</v>
      </c>
      <c r="AB1262" s="43">
        <f t="shared" si="270"/>
        <v>30359</v>
      </c>
      <c r="AC1262" s="43">
        <f t="shared" si="280"/>
        <v>1.7062811181712705E-2</v>
      </c>
      <c r="AD1262" s="43">
        <f t="shared" si="281"/>
        <v>0.87966620448387123</v>
      </c>
      <c r="AF1262" s="43">
        <v>19.538258253733279</v>
      </c>
      <c r="AG1262" s="43">
        <v>6.4400519999999999E-3</v>
      </c>
      <c r="AH1262" s="43">
        <v>1.0632084999999999E-2</v>
      </c>
      <c r="AI1262" s="43">
        <v>0.91618332899999999</v>
      </c>
      <c r="AJ1262" s="43">
        <v>3.2054949189999999</v>
      </c>
      <c r="AK1262" s="43">
        <v>13.44780398</v>
      </c>
      <c r="AL1262" s="43">
        <v>1.6389530000000001E-3</v>
      </c>
      <c r="AM1262" s="230">
        <v>2.0412420287263842E-2</v>
      </c>
      <c r="AN1262" s="43">
        <v>0.93763037100000002</v>
      </c>
    </row>
    <row r="1263" spans="1:40" x14ac:dyDescent="0.25">
      <c r="A1263" s="134">
        <v>1253</v>
      </c>
      <c r="B1263" s="134" t="s">
        <v>204</v>
      </c>
      <c r="C1263" s="134" t="s">
        <v>205</v>
      </c>
      <c r="D1263" s="134" t="s">
        <v>62</v>
      </c>
      <c r="E1263" s="134">
        <v>520</v>
      </c>
      <c r="F1263" s="134">
        <v>1376</v>
      </c>
      <c r="G1263" s="134">
        <v>119</v>
      </c>
      <c r="H1263" s="134">
        <v>0</v>
      </c>
      <c r="I1263" s="200">
        <v>0.18643399689599999</v>
      </c>
      <c r="J1263" s="134">
        <v>1376</v>
      </c>
      <c r="K1263" s="134">
        <v>7380.62811994</v>
      </c>
      <c r="L1263" s="42">
        <v>0.88863218950699996</v>
      </c>
      <c r="M1263" s="42">
        <v>0</v>
      </c>
      <c r="N1263" s="134">
        <v>0</v>
      </c>
      <c r="O1263" s="43" t="s">
        <v>666</v>
      </c>
      <c r="P1263" s="43">
        <f t="shared" si="271"/>
        <v>20.133219343372176</v>
      </c>
      <c r="Q1263" s="43">
        <f t="shared" si="272"/>
        <v>2.8206148E-2</v>
      </c>
      <c r="R1263" s="43">
        <f t="shared" si="273"/>
        <v>1.2945692E-2</v>
      </c>
      <c r="S1263" s="43">
        <f t="shared" si="274"/>
        <v>0.88863219000000004</v>
      </c>
      <c r="T1263" s="43">
        <f t="shared" si="275"/>
        <v>2.8021996910000002</v>
      </c>
      <c r="U1263" s="43">
        <f t="shared" si="276"/>
        <v>13.64714058</v>
      </c>
      <c r="V1263" s="43">
        <f t="shared" si="277"/>
        <v>1.4853049999999999E-3</v>
      </c>
      <c r="W1263" s="230">
        <f t="shared" si="278"/>
        <v>8.0596349863537628E-2</v>
      </c>
      <c r="X1263" s="43">
        <f t="shared" si="279"/>
        <v>0.89465475900000002</v>
      </c>
      <c r="Y1263" s="43">
        <v>56.462755749999999</v>
      </c>
      <c r="Z1263" s="43">
        <f t="shared" si="268"/>
        <v>0</v>
      </c>
      <c r="AA1263" s="43">
        <f t="shared" si="269"/>
        <v>85233</v>
      </c>
      <c r="AB1263" s="43">
        <f t="shared" si="270"/>
        <v>30359</v>
      </c>
      <c r="AC1263" s="43">
        <f t="shared" si="280"/>
        <v>1.7062811181712705E-2</v>
      </c>
      <c r="AD1263" s="43">
        <f t="shared" si="281"/>
        <v>0.87966620448387123</v>
      </c>
      <c r="AF1263" s="43">
        <v>20.133219343372176</v>
      </c>
      <c r="AG1263" s="43">
        <v>2.8206148E-2</v>
      </c>
      <c r="AH1263" s="43">
        <v>1.2945692E-2</v>
      </c>
      <c r="AI1263" s="43">
        <v>0.88863219000000004</v>
      </c>
      <c r="AJ1263" s="43">
        <v>2.8021996910000002</v>
      </c>
      <c r="AK1263" s="43">
        <v>13.64714058</v>
      </c>
      <c r="AL1263" s="43">
        <v>1.4853049999999999E-3</v>
      </c>
      <c r="AM1263" s="230">
        <v>8.0596349863537628E-2</v>
      </c>
      <c r="AN1263" s="43">
        <v>0.89465475900000002</v>
      </c>
    </row>
    <row r="1264" spans="1:40" x14ac:dyDescent="0.25">
      <c r="A1264" s="134">
        <v>1254</v>
      </c>
      <c r="B1264" s="134" t="s">
        <v>204</v>
      </c>
      <c r="C1264" s="134" t="s">
        <v>205</v>
      </c>
      <c r="D1264" s="134" t="s">
        <v>62</v>
      </c>
      <c r="E1264" s="134">
        <v>67</v>
      </c>
      <c r="F1264" s="134">
        <v>177</v>
      </c>
      <c r="G1264" s="134">
        <v>162</v>
      </c>
      <c r="H1264" s="134">
        <v>0</v>
      </c>
      <c r="I1264" s="200">
        <v>0.25375721143199997</v>
      </c>
      <c r="J1264" s="134">
        <v>177</v>
      </c>
      <c r="K1264" s="134">
        <v>697.51712276800004</v>
      </c>
      <c r="L1264" s="42">
        <v>0.910810244958</v>
      </c>
      <c r="M1264" s="42">
        <v>0</v>
      </c>
      <c r="N1264" s="134">
        <v>0</v>
      </c>
      <c r="O1264" s="43" t="s">
        <v>665</v>
      </c>
      <c r="P1264" s="43">
        <f t="shared" si="271"/>
        <v>20.587324335918851</v>
      </c>
      <c r="Q1264" s="43">
        <f t="shared" si="272"/>
        <v>1.5353479E-2</v>
      </c>
      <c r="R1264" s="43">
        <f t="shared" si="273"/>
        <v>1.266662E-2</v>
      </c>
      <c r="S1264" s="43">
        <f t="shared" si="274"/>
        <v>0.91081024499999996</v>
      </c>
      <c r="T1264" s="43">
        <f t="shared" si="275"/>
        <v>3.5486968449999998</v>
      </c>
      <c r="U1264" s="43">
        <f t="shared" si="276"/>
        <v>15.51751952</v>
      </c>
      <c r="V1264" s="43">
        <f t="shared" si="277"/>
        <v>1.47016E-4</v>
      </c>
      <c r="W1264" s="230">
        <f t="shared" si="278"/>
        <v>6.0864451631872978E-2</v>
      </c>
      <c r="X1264" s="43">
        <f t="shared" si="279"/>
        <v>0.85254337000000002</v>
      </c>
      <c r="Y1264" s="43">
        <v>55.650037009999998</v>
      </c>
      <c r="Z1264" s="43">
        <f t="shared" si="268"/>
        <v>0</v>
      </c>
      <c r="AA1264" s="43">
        <f t="shared" si="269"/>
        <v>85233</v>
      </c>
      <c r="AB1264" s="43">
        <f t="shared" si="270"/>
        <v>30359</v>
      </c>
      <c r="AC1264" s="43">
        <f t="shared" si="280"/>
        <v>1.7062811181712705E-2</v>
      </c>
      <c r="AD1264" s="43">
        <f t="shared" si="281"/>
        <v>0.87966620448387123</v>
      </c>
      <c r="AF1264" s="43">
        <v>20.587324335918851</v>
      </c>
      <c r="AG1264" s="43">
        <v>1.5353479E-2</v>
      </c>
      <c r="AH1264" s="43">
        <v>1.266662E-2</v>
      </c>
      <c r="AI1264" s="43">
        <v>0.91081024499999996</v>
      </c>
      <c r="AJ1264" s="43">
        <v>3.5486968449999998</v>
      </c>
      <c r="AK1264" s="43">
        <v>15.51751952</v>
      </c>
      <c r="AL1264" s="43">
        <v>1.47016E-4</v>
      </c>
      <c r="AM1264" s="230">
        <v>6.0864451631872978E-2</v>
      </c>
      <c r="AN1264" s="43">
        <v>0.85254337000000002</v>
      </c>
    </row>
    <row r="1265" spans="1:40" x14ac:dyDescent="0.25">
      <c r="A1265" s="134">
        <v>1255</v>
      </c>
      <c r="B1265" s="134" t="s">
        <v>204</v>
      </c>
      <c r="C1265" s="134" t="s">
        <v>205</v>
      </c>
      <c r="D1265" s="134" t="s">
        <v>62</v>
      </c>
      <c r="E1265" s="134">
        <v>358</v>
      </c>
      <c r="F1265" s="134">
        <v>946</v>
      </c>
      <c r="G1265" s="134">
        <v>249</v>
      </c>
      <c r="H1265" s="134">
        <v>0</v>
      </c>
      <c r="I1265" s="200">
        <v>0.38959509277799997</v>
      </c>
      <c r="J1265" s="134">
        <v>946</v>
      </c>
      <c r="K1265" s="134">
        <v>2428.1620008499999</v>
      </c>
      <c r="L1265" s="42">
        <v>0.90622245385099998</v>
      </c>
      <c r="M1265" s="42">
        <v>0</v>
      </c>
      <c r="N1265" s="134">
        <v>0</v>
      </c>
      <c r="O1265" s="43" t="s">
        <v>665</v>
      </c>
      <c r="P1265" s="43">
        <f t="shared" si="271"/>
        <v>21.003790562684546</v>
      </c>
      <c r="Q1265" s="43">
        <f t="shared" si="272"/>
        <v>1.6407049E-2</v>
      </c>
      <c r="R1265" s="43">
        <f t="shared" si="273"/>
        <v>1.2771762000000001E-2</v>
      </c>
      <c r="S1265" s="43">
        <f t="shared" si="274"/>
        <v>0.90622245400000001</v>
      </c>
      <c r="T1265" s="43">
        <f t="shared" si="275"/>
        <v>3.2541436460000002</v>
      </c>
      <c r="U1265" s="43">
        <f t="shared" si="276"/>
        <v>15.25040793</v>
      </c>
      <c r="V1265" s="43">
        <f t="shared" si="277"/>
        <v>1.0145239999999999E-3</v>
      </c>
      <c r="W1265" s="230">
        <f t="shared" si="278"/>
        <v>6.1218496369073047E-2</v>
      </c>
      <c r="X1265" s="43">
        <f t="shared" si="279"/>
        <v>0.90706428900000002</v>
      </c>
      <c r="Y1265" s="43">
        <v>55.642862620000002</v>
      </c>
      <c r="Z1265" s="43">
        <f t="shared" si="268"/>
        <v>0</v>
      </c>
      <c r="AA1265" s="43">
        <f t="shared" si="269"/>
        <v>85233</v>
      </c>
      <c r="AB1265" s="43">
        <f t="shared" si="270"/>
        <v>30359</v>
      </c>
      <c r="AC1265" s="43">
        <f t="shared" si="280"/>
        <v>1.7062811181712705E-2</v>
      </c>
      <c r="AD1265" s="43">
        <f t="shared" si="281"/>
        <v>0.87966620448387123</v>
      </c>
      <c r="AF1265" s="43">
        <v>21.003790562684546</v>
      </c>
      <c r="AG1265" s="43">
        <v>1.6407049E-2</v>
      </c>
      <c r="AH1265" s="43">
        <v>1.2771762000000001E-2</v>
      </c>
      <c r="AI1265" s="43">
        <v>0.90622245400000001</v>
      </c>
      <c r="AJ1265" s="43">
        <v>3.2541436460000002</v>
      </c>
      <c r="AK1265" s="43">
        <v>15.25040793</v>
      </c>
      <c r="AL1265" s="43">
        <v>1.0145239999999999E-3</v>
      </c>
      <c r="AM1265" s="230">
        <v>6.1218496369073047E-2</v>
      </c>
      <c r="AN1265" s="43">
        <v>0.90706428900000002</v>
      </c>
    </row>
    <row r="1266" spans="1:40" x14ac:dyDescent="0.25">
      <c r="A1266" s="134">
        <v>1256</v>
      </c>
      <c r="B1266" s="134" t="s">
        <v>204</v>
      </c>
      <c r="C1266" s="134" t="s">
        <v>205</v>
      </c>
      <c r="D1266" s="134" t="s">
        <v>62</v>
      </c>
      <c r="E1266" s="134">
        <v>305</v>
      </c>
      <c r="F1266" s="134">
        <v>806</v>
      </c>
      <c r="G1266" s="134">
        <v>86</v>
      </c>
      <c r="H1266" s="134">
        <v>51</v>
      </c>
      <c r="I1266" s="200">
        <v>0.134183475154</v>
      </c>
      <c r="J1266" s="134">
        <v>857</v>
      </c>
      <c r="K1266" s="134">
        <v>6386.7775000900001</v>
      </c>
      <c r="L1266" s="42">
        <v>0.85648430838599998</v>
      </c>
      <c r="M1266" s="42">
        <v>0.143258426966</v>
      </c>
      <c r="N1266" s="134">
        <v>0</v>
      </c>
      <c r="O1266" s="43" t="s">
        <v>666</v>
      </c>
      <c r="P1266" s="43">
        <f t="shared" si="271"/>
        <v>18.407777481960625</v>
      </c>
      <c r="Q1266" s="43">
        <f t="shared" si="272"/>
        <v>2.3307754E-2</v>
      </c>
      <c r="R1266" s="43">
        <f t="shared" si="273"/>
        <v>1.1486095999999999E-2</v>
      </c>
      <c r="S1266" s="43">
        <f t="shared" si="274"/>
        <v>0.85648430799999997</v>
      </c>
      <c r="T1266" s="43">
        <f t="shared" si="275"/>
        <v>2.1400573610000002</v>
      </c>
      <c r="U1266" s="43">
        <f t="shared" si="276"/>
        <v>9.5025519089999992</v>
      </c>
      <c r="V1266" s="43">
        <f t="shared" si="277"/>
        <v>1.556102E-3</v>
      </c>
      <c r="W1266" s="230">
        <f t="shared" si="278"/>
        <v>6.6475566475566461E-2</v>
      </c>
      <c r="X1266" s="43">
        <f t="shared" si="279"/>
        <v>0.87417417399999997</v>
      </c>
      <c r="Y1266" s="43">
        <v>189.7089292</v>
      </c>
      <c r="Z1266" s="43">
        <f t="shared" si="268"/>
        <v>0</v>
      </c>
      <c r="AA1266" s="43">
        <f t="shared" si="269"/>
        <v>85233</v>
      </c>
      <c r="AB1266" s="43">
        <f t="shared" si="270"/>
        <v>30359</v>
      </c>
      <c r="AC1266" s="43">
        <f t="shared" si="280"/>
        <v>1.7062811181712705E-2</v>
      </c>
      <c r="AD1266" s="43">
        <f t="shared" si="281"/>
        <v>0.87966620448387123</v>
      </c>
      <c r="AF1266" s="43">
        <v>18.407777481960625</v>
      </c>
      <c r="AG1266" s="43">
        <v>2.3307754E-2</v>
      </c>
      <c r="AH1266" s="43">
        <v>1.1486095999999999E-2</v>
      </c>
      <c r="AI1266" s="43">
        <v>0.85648430799999997</v>
      </c>
      <c r="AJ1266" s="43">
        <v>2.1400573610000002</v>
      </c>
      <c r="AK1266" s="43">
        <v>9.5025519089999992</v>
      </c>
      <c r="AL1266" s="43">
        <v>1.556102E-3</v>
      </c>
      <c r="AM1266" s="230">
        <v>6.6475566475566461E-2</v>
      </c>
      <c r="AN1266" s="43">
        <v>0.87417417399999997</v>
      </c>
    </row>
    <row r="1267" spans="1:40" x14ac:dyDescent="0.25">
      <c r="A1267" s="134">
        <v>1257</v>
      </c>
      <c r="B1267" s="134" t="s">
        <v>204</v>
      </c>
      <c r="C1267" s="134" t="s">
        <v>205</v>
      </c>
      <c r="D1267" s="134" t="s">
        <v>62</v>
      </c>
      <c r="E1267" s="134">
        <v>143</v>
      </c>
      <c r="F1267" s="134">
        <v>378</v>
      </c>
      <c r="G1267" s="134">
        <v>26</v>
      </c>
      <c r="H1267" s="134">
        <v>0</v>
      </c>
      <c r="I1267" s="200">
        <v>4.1102500720600003E-2</v>
      </c>
      <c r="J1267" s="134">
        <v>378</v>
      </c>
      <c r="K1267" s="134">
        <v>9196.5207316699998</v>
      </c>
      <c r="L1267" s="42">
        <v>0.86519284110399997</v>
      </c>
      <c r="M1267" s="42">
        <v>0</v>
      </c>
      <c r="N1267" s="134">
        <v>0</v>
      </c>
      <c r="O1267" s="43" t="s">
        <v>666</v>
      </c>
      <c r="P1267" s="43">
        <f t="shared" si="271"/>
        <v>19.218946780035434</v>
      </c>
      <c r="Q1267" s="43">
        <f t="shared" si="272"/>
        <v>2.8926166E-2</v>
      </c>
      <c r="R1267" s="43">
        <f t="shared" si="273"/>
        <v>1.2168142E-2</v>
      </c>
      <c r="S1267" s="43">
        <f t="shared" si="274"/>
        <v>0.86519284100000005</v>
      </c>
      <c r="T1267" s="43">
        <f t="shared" si="275"/>
        <v>2.5885558579999999</v>
      </c>
      <c r="U1267" s="43">
        <f t="shared" si="276"/>
        <v>11.941245889999999</v>
      </c>
      <c r="V1267" s="43">
        <f t="shared" si="277"/>
        <v>9.5805100000000002E-4</v>
      </c>
      <c r="W1267" s="230">
        <f t="shared" si="278"/>
        <v>7.7875863956750835E-2</v>
      </c>
      <c r="X1267" s="43">
        <f t="shared" si="279"/>
        <v>0.85328132499999998</v>
      </c>
      <c r="Y1267" s="43">
        <v>186.44492869999999</v>
      </c>
      <c r="Z1267" s="43">
        <f t="shared" si="268"/>
        <v>0</v>
      </c>
      <c r="AA1267" s="43">
        <f t="shared" si="269"/>
        <v>85233</v>
      </c>
      <c r="AB1267" s="43">
        <f t="shared" si="270"/>
        <v>30359</v>
      </c>
      <c r="AC1267" s="43">
        <f t="shared" si="280"/>
        <v>1.7062811181712705E-2</v>
      </c>
      <c r="AD1267" s="43">
        <f t="shared" si="281"/>
        <v>0.87966620448387123</v>
      </c>
      <c r="AF1267" s="43">
        <v>19.218946780035434</v>
      </c>
      <c r="AG1267" s="43">
        <v>2.8926166E-2</v>
      </c>
      <c r="AH1267" s="43">
        <v>1.2168142E-2</v>
      </c>
      <c r="AI1267" s="43">
        <v>0.86519284100000005</v>
      </c>
      <c r="AJ1267" s="43">
        <v>2.5885558579999999</v>
      </c>
      <c r="AK1267" s="43">
        <v>11.941245889999999</v>
      </c>
      <c r="AL1267" s="43">
        <v>9.5805100000000002E-4</v>
      </c>
      <c r="AM1267" s="230">
        <v>7.7875863956750835E-2</v>
      </c>
      <c r="AN1267" s="43">
        <v>0.85328132499999998</v>
      </c>
    </row>
    <row r="1268" spans="1:40" x14ac:dyDescent="0.25">
      <c r="A1268" s="134">
        <v>1258</v>
      </c>
      <c r="B1268" s="134" t="s">
        <v>204</v>
      </c>
      <c r="C1268" s="134" t="s">
        <v>205</v>
      </c>
      <c r="D1268" s="134" t="s">
        <v>62</v>
      </c>
      <c r="E1268" s="134">
        <v>73</v>
      </c>
      <c r="F1268" s="134">
        <v>193</v>
      </c>
      <c r="G1268" s="134">
        <v>7</v>
      </c>
      <c r="H1268" s="134">
        <v>126</v>
      </c>
      <c r="I1268" s="200">
        <v>1.0832477135200001E-2</v>
      </c>
      <c r="J1268" s="134">
        <v>319</v>
      </c>
      <c r="K1268" s="134">
        <v>29448.481267700001</v>
      </c>
      <c r="L1268" s="42">
        <v>0.82399033162000002</v>
      </c>
      <c r="M1268" s="42">
        <v>0.63316582914599995</v>
      </c>
      <c r="N1268" s="134">
        <v>0</v>
      </c>
      <c r="O1268" s="43" t="s">
        <v>627</v>
      </c>
      <c r="P1268" s="43">
        <f t="shared" si="271"/>
        <v>16.294873600898555</v>
      </c>
      <c r="Q1268" s="43">
        <f t="shared" si="272"/>
        <v>2.2271803999999999E-2</v>
      </c>
      <c r="R1268" s="43">
        <f t="shared" si="273"/>
        <v>1.1527684E-2</v>
      </c>
      <c r="S1268" s="43">
        <f t="shared" si="274"/>
        <v>0.82399033200000005</v>
      </c>
      <c r="T1268" s="43">
        <f t="shared" si="275"/>
        <v>1.9306759099999999</v>
      </c>
      <c r="U1268" s="43">
        <f t="shared" si="276"/>
        <v>7.2051750109999997</v>
      </c>
      <c r="V1268" s="43">
        <f t="shared" si="277"/>
        <v>4.3690760000000004E-3</v>
      </c>
      <c r="W1268" s="230">
        <f t="shared" si="278"/>
        <v>5.1614336492891003E-2</v>
      </c>
      <c r="X1268" s="43">
        <f t="shared" si="279"/>
        <v>0.82442239299999998</v>
      </c>
      <c r="Y1268" s="43">
        <v>192.71658919999999</v>
      </c>
      <c r="Z1268" s="43">
        <f t="shared" si="268"/>
        <v>0</v>
      </c>
      <c r="AA1268" s="43">
        <f t="shared" si="269"/>
        <v>85233</v>
      </c>
      <c r="AB1268" s="43">
        <f t="shared" si="270"/>
        <v>30359</v>
      </c>
      <c r="AC1268" s="43">
        <f t="shared" si="280"/>
        <v>1.7062811181712705E-2</v>
      </c>
      <c r="AD1268" s="43">
        <f t="shared" si="281"/>
        <v>0.87966620448387123</v>
      </c>
      <c r="AF1268" s="43">
        <v>16.294873600898555</v>
      </c>
      <c r="AG1268" s="43">
        <v>2.2271803999999999E-2</v>
      </c>
      <c r="AH1268" s="43">
        <v>1.1527684E-2</v>
      </c>
      <c r="AI1268" s="43">
        <v>0.82399033200000005</v>
      </c>
      <c r="AJ1268" s="43">
        <v>1.9306759099999999</v>
      </c>
      <c r="AK1268" s="43">
        <v>7.2051750109999997</v>
      </c>
      <c r="AL1268" s="43">
        <v>4.3690760000000004E-3</v>
      </c>
      <c r="AM1268" s="230">
        <v>5.1614336492891003E-2</v>
      </c>
      <c r="AN1268" s="43">
        <v>0.82442239299999998</v>
      </c>
    </row>
    <row r="1269" spans="1:40" x14ac:dyDescent="0.25">
      <c r="A1269" s="134">
        <v>1259</v>
      </c>
      <c r="B1269" s="134" t="s">
        <v>204</v>
      </c>
      <c r="C1269" s="134" t="s">
        <v>205</v>
      </c>
      <c r="D1269" s="134" t="s">
        <v>62</v>
      </c>
      <c r="E1269" s="134">
        <v>2</v>
      </c>
      <c r="F1269" s="134">
        <v>4</v>
      </c>
      <c r="G1269" s="134">
        <v>14</v>
      </c>
      <c r="H1269" s="134">
        <v>80</v>
      </c>
      <c r="I1269" s="200">
        <v>2.2106765597600001E-2</v>
      </c>
      <c r="J1269" s="134">
        <v>84</v>
      </c>
      <c r="K1269" s="134">
        <v>3799.7417410100002</v>
      </c>
      <c r="L1269" s="42">
        <v>0.85317722266600005</v>
      </c>
      <c r="M1269" s="42">
        <v>0.97560975609800005</v>
      </c>
      <c r="N1269" s="134">
        <v>0</v>
      </c>
      <c r="O1269" s="43" t="s">
        <v>664</v>
      </c>
      <c r="P1269" s="43">
        <f t="shared" si="271"/>
        <v>13.981974511226962</v>
      </c>
      <c r="Q1269" s="43">
        <f t="shared" si="272"/>
        <v>1.2820066999999999E-2</v>
      </c>
      <c r="R1269" s="43">
        <f t="shared" si="273"/>
        <v>8.0255710000000004E-3</v>
      </c>
      <c r="S1269" s="43">
        <f t="shared" si="274"/>
        <v>0.85317722299999998</v>
      </c>
      <c r="T1269" s="43">
        <f t="shared" si="275"/>
        <v>1.880597015</v>
      </c>
      <c r="U1269" s="43">
        <f t="shared" si="276"/>
        <v>6.0773949680000001</v>
      </c>
      <c r="V1269" s="43">
        <f t="shared" si="277"/>
        <v>1.4635169999999999E-3</v>
      </c>
      <c r="W1269" s="230">
        <f t="shared" si="278"/>
        <v>1.0035542546518922E-2</v>
      </c>
      <c r="X1269" s="43">
        <f t="shared" si="279"/>
        <v>0.86911979900000003</v>
      </c>
      <c r="Y1269" s="43">
        <v>194.08767080000001</v>
      </c>
      <c r="Z1269" s="43">
        <f t="shared" si="268"/>
        <v>0</v>
      </c>
      <c r="AA1269" s="43">
        <f t="shared" si="269"/>
        <v>85233</v>
      </c>
      <c r="AB1269" s="43">
        <f t="shared" si="270"/>
        <v>30359</v>
      </c>
      <c r="AC1269" s="43">
        <f t="shared" si="280"/>
        <v>1.7062811181712705E-2</v>
      </c>
      <c r="AD1269" s="43">
        <f t="shared" si="281"/>
        <v>0.87966620448387123</v>
      </c>
      <c r="AF1269" s="43">
        <v>13.981974511226962</v>
      </c>
      <c r="AG1269" s="43">
        <v>1.2820066999999999E-2</v>
      </c>
      <c r="AH1269" s="43">
        <v>8.0255710000000004E-3</v>
      </c>
      <c r="AI1269" s="43">
        <v>0.85317722299999998</v>
      </c>
      <c r="AJ1269" s="43">
        <v>1.880597015</v>
      </c>
      <c r="AK1269" s="43">
        <v>6.0773949680000001</v>
      </c>
      <c r="AL1269" s="43">
        <v>1.4635169999999999E-3</v>
      </c>
      <c r="AM1269" s="230">
        <v>1.0035542546518922E-2</v>
      </c>
      <c r="AN1269" s="43">
        <v>0.86911979900000003</v>
      </c>
    </row>
    <row r="1270" spans="1:40" x14ac:dyDescent="0.25">
      <c r="A1270" s="134">
        <v>1260</v>
      </c>
      <c r="B1270" s="134" t="s">
        <v>204</v>
      </c>
      <c r="C1270" s="134" t="s">
        <v>205</v>
      </c>
      <c r="D1270" s="134" t="s">
        <v>62</v>
      </c>
      <c r="E1270" s="134">
        <v>102</v>
      </c>
      <c r="F1270" s="134">
        <v>269</v>
      </c>
      <c r="G1270" s="134">
        <v>13</v>
      </c>
      <c r="H1270" s="134">
        <v>301</v>
      </c>
      <c r="I1270" s="200">
        <v>2.0472518866699999E-2</v>
      </c>
      <c r="J1270" s="134">
        <v>570</v>
      </c>
      <c r="K1270" s="134">
        <v>27842.201719799999</v>
      </c>
      <c r="L1270" s="42">
        <v>0.837121165512</v>
      </c>
      <c r="M1270" s="42">
        <v>0.74689826302700002</v>
      </c>
      <c r="N1270" s="134">
        <v>0</v>
      </c>
      <c r="O1270" s="43" t="s">
        <v>664</v>
      </c>
      <c r="P1270" s="43">
        <f t="shared" si="271"/>
        <v>16.175759716155206</v>
      </c>
      <c r="Q1270" s="43">
        <f t="shared" si="272"/>
        <v>1.9675399E-2</v>
      </c>
      <c r="R1270" s="43">
        <f t="shared" si="273"/>
        <v>1.0397569000000001E-2</v>
      </c>
      <c r="S1270" s="43">
        <f t="shared" si="274"/>
        <v>0.83712116599999997</v>
      </c>
      <c r="T1270" s="43">
        <f t="shared" si="275"/>
        <v>1.922668241</v>
      </c>
      <c r="U1270" s="43">
        <f t="shared" si="276"/>
        <v>7.0507254320000001</v>
      </c>
      <c r="V1270" s="43">
        <f t="shared" si="277"/>
        <v>4.4639420000000003E-3</v>
      </c>
      <c r="W1270" s="230">
        <f t="shared" si="278"/>
        <v>4.6755945509120295E-2</v>
      </c>
      <c r="X1270" s="43">
        <f t="shared" si="279"/>
        <v>0.84964981100000003</v>
      </c>
      <c r="Y1270" s="43">
        <v>192.7380594</v>
      </c>
      <c r="Z1270" s="43">
        <f t="shared" si="268"/>
        <v>0</v>
      </c>
      <c r="AA1270" s="43">
        <f t="shared" si="269"/>
        <v>85233</v>
      </c>
      <c r="AB1270" s="43">
        <f t="shared" si="270"/>
        <v>30359</v>
      </c>
      <c r="AC1270" s="43">
        <f t="shared" si="280"/>
        <v>1.7062811181712705E-2</v>
      </c>
      <c r="AD1270" s="43">
        <f t="shared" si="281"/>
        <v>0.87966620448387123</v>
      </c>
      <c r="AF1270" s="43">
        <v>16.175759716155206</v>
      </c>
      <c r="AG1270" s="43">
        <v>1.9675399E-2</v>
      </c>
      <c r="AH1270" s="43">
        <v>1.0397569000000001E-2</v>
      </c>
      <c r="AI1270" s="43">
        <v>0.83712116599999997</v>
      </c>
      <c r="AJ1270" s="43">
        <v>1.922668241</v>
      </c>
      <c r="AK1270" s="43">
        <v>7.0507254320000001</v>
      </c>
      <c r="AL1270" s="43">
        <v>4.4639420000000003E-3</v>
      </c>
      <c r="AM1270" s="230">
        <v>4.6755945509120295E-2</v>
      </c>
      <c r="AN1270" s="43">
        <v>0.84964981100000003</v>
      </c>
    </row>
    <row r="1271" spans="1:40" x14ac:dyDescent="0.25">
      <c r="A1271" s="134">
        <v>1261</v>
      </c>
      <c r="B1271" s="134" t="s">
        <v>204</v>
      </c>
      <c r="C1271" s="134" t="s">
        <v>205</v>
      </c>
      <c r="D1271" s="134" t="s">
        <v>62</v>
      </c>
      <c r="E1271" s="134">
        <v>17</v>
      </c>
      <c r="F1271" s="134">
        <v>45</v>
      </c>
      <c r="G1271" s="134">
        <v>24</v>
      </c>
      <c r="H1271" s="134">
        <v>510</v>
      </c>
      <c r="I1271" s="200">
        <v>3.7579942124899998E-2</v>
      </c>
      <c r="J1271" s="134">
        <v>555</v>
      </c>
      <c r="K1271" s="134">
        <v>14768.516624</v>
      </c>
      <c r="L1271" s="42">
        <v>0.85521931877599999</v>
      </c>
      <c r="M1271" s="42">
        <v>0.967741935484</v>
      </c>
      <c r="N1271" s="134">
        <v>0</v>
      </c>
      <c r="O1271" s="43" t="s">
        <v>664</v>
      </c>
      <c r="P1271" s="43">
        <f t="shared" si="271"/>
        <v>15.268687092977494</v>
      </c>
      <c r="Q1271" s="43">
        <f t="shared" si="272"/>
        <v>1.4786463999999999E-2</v>
      </c>
      <c r="R1271" s="43">
        <f t="shared" si="273"/>
        <v>8.0609630000000008E-3</v>
      </c>
      <c r="S1271" s="43">
        <f t="shared" si="274"/>
        <v>0.85521931900000003</v>
      </c>
      <c r="T1271" s="43">
        <f t="shared" si="275"/>
        <v>1.951105442</v>
      </c>
      <c r="U1271" s="43">
        <f t="shared" si="276"/>
        <v>7.2946094840000004</v>
      </c>
      <c r="V1271" s="43">
        <f t="shared" si="277"/>
        <v>3.3961099999999999E-3</v>
      </c>
      <c r="W1271" s="230">
        <f t="shared" si="278"/>
        <v>2.6311275770985559E-2</v>
      </c>
      <c r="X1271" s="43">
        <f t="shared" si="279"/>
        <v>0.880896024</v>
      </c>
      <c r="Y1271" s="43">
        <v>193.25318770000001</v>
      </c>
      <c r="Z1271" s="43">
        <f t="shared" si="268"/>
        <v>0</v>
      </c>
      <c r="AA1271" s="43">
        <f t="shared" si="269"/>
        <v>85233</v>
      </c>
      <c r="AB1271" s="43">
        <f t="shared" si="270"/>
        <v>30359</v>
      </c>
      <c r="AC1271" s="43">
        <f t="shared" si="280"/>
        <v>1.7062811181712705E-2</v>
      </c>
      <c r="AD1271" s="43">
        <f t="shared" si="281"/>
        <v>0.87966620448387123</v>
      </c>
      <c r="AF1271" s="43">
        <v>15.268687092977494</v>
      </c>
      <c r="AG1271" s="43">
        <v>1.4786463999999999E-2</v>
      </c>
      <c r="AH1271" s="43">
        <v>8.0609630000000008E-3</v>
      </c>
      <c r="AI1271" s="43">
        <v>0.85521931900000003</v>
      </c>
      <c r="AJ1271" s="43">
        <v>1.951105442</v>
      </c>
      <c r="AK1271" s="43">
        <v>7.2946094840000004</v>
      </c>
      <c r="AL1271" s="43">
        <v>3.3961099999999999E-3</v>
      </c>
      <c r="AM1271" s="230">
        <v>2.6311275770985559E-2</v>
      </c>
      <c r="AN1271" s="43">
        <v>0.880896024</v>
      </c>
    </row>
    <row r="1272" spans="1:40" x14ac:dyDescent="0.25">
      <c r="A1272" s="134">
        <v>1262</v>
      </c>
      <c r="B1272" s="134" t="s">
        <v>204</v>
      </c>
      <c r="C1272" s="134" t="s">
        <v>205</v>
      </c>
      <c r="D1272" s="134" t="s">
        <v>62</v>
      </c>
      <c r="E1272" s="134">
        <v>2</v>
      </c>
      <c r="F1272" s="134">
        <v>6</v>
      </c>
      <c r="G1272" s="134">
        <v>7</v>
      </c>
      <c r="H1272" s="134">
        <v>338</v>
      </c>
      <c r="I1272" s="200">
        <v>1.1066030926E-2</v>
      </c>
      <c r="J1272" s="134">
        <v>344</v>
      </c>
      <c r="K1272" s="134">
        <v>31086.1231367</v>
      </c>
      <c r="L1272" s="42">
        <v>0.84987237589200004</v>
      </c>
      <c r="M1272" s="42">
        <v>0.99411764705899996</v>
      </c>
      <c r="N1272" s="134">
        <v>0</v>
      </c>
      <c r="O1272" s="43" t="s">
        <v>627</v>
      </c>
      <c r="P1272" s="43">
        <f t="shared" si="271"/>
        <v>14.956361929621306</v>
      </c>
      <c r="Q1272" s="43">
        <f t="shared" si="272"/>
        <v>2.3093886000000001E-2</v>
      </c>
      <c r="R1272" s="43">
        <f t="shared" si="273"/>
        <v>6.7197999999999997E-3</v>
      </c>
      <c r="S1272" s="43">
        <f t="shared" si="274"/>
        <v>0.84987237599999998</v>
      </c>
      <c r="T1272" s="43">
        <f t="shared" si="275"/>
        <v>2.1461538459999998</v>
      </c>
      <c r="U1272" s="43">
        <f t="shared" si="276"/>
        <v>7.822319223</v>
      </c>
      <c r="V1272" s="43">
        <f t="shared" si="277"/>
        <v>2.8962459999999999E-3</v>
      </c>
      <c r="W1272" s="230">
        <f t="shared" si="278"/>
        <v>3.7083309671190862E-2</v>
      </c>
      <c r="X1272" s="43">
        <f t="shared" si="279"/>
        <v>0.86098018099999996</v>
      </c>
      <c r="Y1272" s="43">
        <v>194.08898930000001</v>
      </c>
      <c r="Z1272" s="43">
        <f t="shared" si="268"/>
        <v>0</v>
      </c>
      <c r="AA1272" s="43">
        <f t="shared" si="269"/>
        <v>85233</v>
      </c>
      <c r="AB1272" s="43">
        <f t="shared" si="270"/>
        <v>30359</v>
      </c>
      <c r="AC1272" s="43">
        <f t="shared" si="280"/>
        <v>1.7062811181712705E-2</v>
      </c>
      <c r="AD1272" s="43">
        <f t="shared" si="281"/>
        <v>0.87966620448387123</v>
      </c>
      <c r="AF1272" s="43">
        <v>14.956361929621306</v>
      </c>
      <c r="AG1272" s="43">
        <v>2.3093886000000001E-2</v>
      </c>
      <c r="AH1272" s="43">
        <v>6.7197999999999997E-3</v>
      </c>
      <c r="AI1272" s="43">
        <v>0.84987237599999998</v>
      </c>
      <c r="AJ1272" s="43">
        <v>2.1461538459999998</v>
      </c>
      <c r="AK1272" s="43">
        <v>7.822319223</v>
      </c>
      <c r="AL1272" s="43">
        <v>2.8962459999999999E-3</v>
      </c>
      <c r="AM1272" s="230">
        <v>3.7083309671190862E-2</v>
      </c>
      <c r="AN1272" s="43">
        <v>0.86098018099999996</v>
      </c>
    </row>
    <row r="1273" spans="1:40" x14ac:dyDescent="0.25">
      <c r="A1273" s="134">
        <v>1263</v>
      </c>
      <c r="B1273" s="134" t="s">
        <v>204</v>
      </c>
      <c r="C1273" s="134" t="s">
        <v>205</v>
      </c>
      <c r="D1273" s="134" t="s">
        <v>62</v>
      </c>
      <c r="E1273" s="134">
        <v>90</v>
      </c>
      <c r="F1273" s="134">
        <v>238</v>
      </c>
      <c r="G1273" s="134">
        <v>40</v>
      </c>
      <c r="H1273" s="134">
        <v>295</v>
      </c>
      <c r="I1273" s="200">
        <v>6.2930492336499999E-2</v>
      </c>
      <c r="J1273" s="134">
        <v>533</v>
      </c>
      <c r="K1273" s="134">
        <v>8469.6620066199994</v>
      </c>
      <c r="L1273" s="42">
        <v>0.85758529248799997</v>
      </c>
      <c r="M1273" s="42">
        <v>0.76623376623399997</v>
      </c>
      <c r="N1273" s="134">
        <v>0</v>
      </c>
      <c r="O1273" s="43" t="s">
        <v>664</v>
      </c>
      <c r="P1273" s="43">
        <f t="shared" si="271"/>
        <v>15.809770880164452</v>
      </c>
      <c r="Q1273" s="43">
        <f t="shared" si="272"/>
        <v>1.9354072999999999E-2</v>
      </c>
      <c r="R1273" s="43">
        <f t="shared" si="273"/>
        <v>9.6968260000000004E-3</v>
      </c>
      <c r="S1273" s="43">
        <f t="shared" si="274"/>
        <v>0.857585292</v>
      </c>
      <c r="T1273" s="43">
        <f t="shared" si="275"/>
        <v>2.093353628</v>
      </c>
      <c r="U1273" s="43">
        <f t="shared" si="276"/>
        <v>8.4557722359999996</v>
      </c>
      <c r="V1273" s="43">
        <f t="shared" si="277"/>
        <v>3.5543250000000001E-3</v>
      </c>
      <c r="W1273" s="230">
        <f t="shared" si="278"/>
        <v>3.3073929961089495E-2</v>
      </c>
      <c r="X1273" s="43">
        <f t="shared" si="279"/>
        <v>0.88330589599999998</v>
      </c>
      <c r="Y1273" s="43">
        <v>193.36982599999999</v>
      </c>
      <c r="Z1273" s="43">
        <f t="shared" si="268"/>
        <v>0</v>
      </c>
      <c r="AA1273" s="43">
        <f t="shared" si="269"/>
        <v>85233</v>
      </c>
      <c r="AB1273" s="43">
        <f t="shared" si="270"/>
        <v>30359</v>
      </c>
      <c r="AC1273" s="43">
        <f t="shared" si="280"/>
        <v>1.7062811181712705E-2</v>
      </c>
      <c r="AD1273" s="43">
        <f t="shared" si="281"/>
        <v>0.87966620448387123</v>
      </c>
      <c r="AF1273" s="43">
        <v>15.809770880164452</v>
      </c>
      <c r="AG1273" s="43">
        <v>1.9354072999999999E-2</v>
      </c>
      <c r="AH1273" s="43">
        <v>9.6968260000000004E-3</v>
      </c>
      <c r="AI1273" s="43">
        <v>0.857585292</v>
      </c>
      <c r="AJ1273" s="43">
        <v>2.093353628</v>
      </c>
      <c r="AK1273" s="43">
        <v>8.4557722359999996</v>
      </c>
      <c r="AL1273" s="43">
        <v>3.5543250000000001E-3</v>
      </c>
      <c r="AM1273" s="230">
        <v>3.3073929961089495E-2</v>
      </c>
      <c r="AN1273" s="43">
        <v>0.88330589599999998</v>
      </c>
    </row>
    <row r="1274" spans="1:40" x14ac:dyDescent="0.25">
      <c r="A1274" s="134">
        <v>1264</v>
      </c>
      <c r="B1274" s="134" t="s">
        <v>204</v>
      </c>
      <c r="C1274" s="134" t="s">
        <v>205</v>
      </c>
      <c r="D1274" s="134" t="s">
        <v>62</v>
      </c>
      <c r="E1274" s="134">
        <v>215</v>
      </c>
      <c r="F1274" s="134">
        <v>678</v>
      </c>
      <c r="G1274" s="134">
        <v>30</v>
      </c>
      <c r="H1274" s="134">
        <v>0</v>
      </c>
      <c r="I1274" s="200">
        <v>5.5297161539299998E-2</v>
      </c>
      <c r="J1274" s="134">
        <v>678</v>
      </c>
      <c r="K1274" s="134">
        <v>12261.027169000001</v>
      </c>
      <c r="L1274" s="42">
        <v>0.82494741445700004</v>
      </c>
      <c r="M1274" s="42">
        <v>0</v>
      </c>
      <c r="N1274" s="134">
        <v>0</v>
      </c>
      <c r="O1274" s="43" t="s">
        <v>664</v>
      </c>
      <c r="P1274" s="43">
        <f t="shared" si="271"/>
        <v>17.627819351298182</v>
      </c>
      <c r="Q1274" s="43">
        <f t="shared" si="272"/>
        <v>3.5081324999999997E-2</v>
      </c>
      <c r="R1274" s="43">
        <f t="shared" si="273"/>
        <v>1.5077993E-2</v>
      </c>
      <c r="S1274" s="43">
        <f t="shared" si="274"/>
        <v>0.82494741400000005</v>
      </c>
      <c r="T1274" s="43">
        <f t="shared" si="275"/>
        <v>2.2315068490000001</v>
      </c>
      <c r="U1274" s="43">
        <f t="shared" si="276"/>
        <v>10.177651989999999</v>
      </c>
      <c r="V1274" s="43">
        <f t="shared" si="277"/>
        <v>3.2653410000000002E-3</v>
      </c>
      <c r="W1274" s="230">
        <f t="shared" si="278"/>
        <v>7.7520037318179899E-2</v>
      </c>
      <c r="X1274" s="43">
        <f t="shared" si="279"/>
        <v>0.83575760099999996</v>
      </c>
      <c r="Y1274" s="43">
        <v>167.8052864</v>
      </c>
      <c r="Z1274" s="43">
        <f t="shared" si="268"/>
        <v>0</v>
      </c>
      <c r="AA1274" s="43">
        <f t="shared" si="269"/>
        <v>85233</v>
      </c>
      <c r="AB1274" s="43">
        <f t="shared" si="270"/>
        <v>30359</v>
      </c>
      <c r="AC1274" s="43">
        <f t="shared" si="280"/>
        <v>1.7062811181712705E-2</v>
      </c>
      <c r="AD1274" s="43">
        <f t="shared" si="281"/>
        <v>0.87966620448387123</v>
      </c>
      <c r="AF1274" s="43">
        <v>17.627819351298182</v>
      </c>
      <c r="AG1274" s="43">
        <v>3.5081324999999997E-2</v>
      </c>
      <c r="AH1274" s="43">
        <v>1.5077993E-2</v>
      </c>
      <c r="AI1274" s="43">
        <v>0.82494741400000005</v>
      </c>
      <c r="AJ1274" s="43">
        <v>2.2315068490000001</v>
      </c>
      <c r="AK1274" s="43">
        <v>10.177651989999999</v>
      </c>
      <c r="AL1274" s="43">
        <v>3.2653410000000002E-3</v>
      </c>
      <c r="AM1274" s="230">
        <v>7.7520037318179899E-2</v>
      </c>
      <c r="AN1274" s="43">
        <v>0.83575760099999996</v>
      </c>
    </row>
    <row r="1275" spans="1:40" x14ac:dyDescent="0.25">
      <c r="A1275" s="134">
        <v>1265</v>
      </c>
      <c r="B1275" s="134" t="s">
        <v>204</v>
      </c>
      <c r="C1275" s="134" t="s">
        <v>205</v>
      </c>
      <c r="D1275" s="134" t="s">
        <v>62</v>
      </c>
      <c r="E1275" s="134">
        <v>35</v>
      </c>
      <c r="F1275" s="134">
        <v>110</v>
      </c>
      <c r="G1275" s="134">
        <v>42</v>
      </c>
      <c r="H1275" s="134">
        <v>24</v>
      </c>
      <c r="I1275" s="200">
        <v>7.5585417443299996E-2</v>
      </c>
      <c r="J1275" s="134">
        <v>134</v>
      </c>
      <c r="K1275" s="134">
        <v>1772.82873513</v>
      </c>
      <c r="L1275" s="42">
        <v>0.86824994235599995</v>
      </c>
      <c r="M1275" s="42">
        <v>0.40677966101700003</v>
      </c>
      <c r="N1275" s="134">
        <v>0</v>
      </c>
      <c r="O1275" s="43" t="s">
        <v>666</v>
      </c>
      <c r="P1275" s="43">
        <f t="shared" si="271"/>
        <v>15.67582772641865</v>
      </c>
      <c r="Q1275" s="43">
        <f t="shared" si="272"/>
        <v>1.9829375E-2</v>
      </c>
      <c r="R1275" s="43">
        <f t="shared" si="273"/>
        <v>1.1989855000000001E-2</v>
      </c>
      <c r="S1275" s="43">
        <f t="shared" si="274"/>
        <v>0.86824994200000005</v>
      </c>
      <c r="T1275" s="43">
        <f t="shared" si="275"/>
        <v>2.8</v>
      </c>
      <c r="U1275" s="43">
        <f t="shared" si="276"/>
        <v>9.4293239419999999</v>
      </c>
      <c r="V1275" s="43">
        <f t="shared" si="277"/>
        <v>5.6710799999999998E-4</v>
      </c>
      <c r="W1275" s="230">
        <f t="shared" si="278"/>
        <v>3.043478260869565E-2</v>
      </c>
      <c r="X1275" s="43">
        <f t="shared" si="279"/>
        <v>0.85293005700000002</v>
      </c>
      <c r="Y1275" s="43">
        <v>133.98292029999999</v>
      </c>
      <c r="Z1275" s="43">
        <f t="shared" si="268"/>
        <v>0</v>
      </c>
      <c r="AA1275" s="43">
        <f t="shared" si="269"/>
        <v>85233</v>
      </c>
      <c r="AB1275" s="43">
        <f t="shared" si="270"/>
        <v>30359</v>
      </c>
      <c r="AC1275" s="43">
        <f t="shared" si="280"/>
        <v>1.7062811181712705E-2</v>
      </c>
      <c r="AD1275" s="43">
        <f t="shared" si="281"/>
        <v>0.87966620448387123</v>
      </c>
      <c r="AF1275" s="43">
        <v>15.67582772641865</v>
      </c>
      <c r="AG1275" s="43">
        <v>1.9829375E-2</v>
      </c>
      <c r="AH1275" s="43">
        <v>1.1989855000000001E-2</v>
      </c>
      <c r="AI1275" s="43">
        <v>0.86824994200000005</v>
      </c>
      <c r="AJ1275" s="43">
        <v>2.8</v>
      </c>
      <c r="AK1275" s="43">
        <v>9.4293239419999999</v>
      </c>
      <c r="AL1275" s="43">
        <v>5.6710799999999998E-4</v>
      </c>
      <c r="AM1275" s="230">
        <v>3.043478260869565E-2</v>
      </c>
      <c r="AN1275" s="43">
        <v>0.85293005700000002</v>
      </c>
    </row>
    <row r="1276" spans="1:40" x14ac:dyDescent="0.25">
      <c r="A1276" s="134">
        <v>1266</v>
      </c>
      <c r="B1276" s="134" t="s">
        <v>204</v>
      </c>
      <c r="C1276" s="134" t="s">
        <v>205</v>
      </c>
      <c r="D1276" s="134" t="s">
        <v>62</v>
      </c>
      <c r="E1276" s="134">
        <v>425</v>
      </c>
      <c r="F1276" s="134">
        <v>1339</v>
      </c>
      <c r="G1276" s="134">
        <v>46</v>
      </c>
      <c r="H1276" s="134">
        <v>0</v>
      </c>
      <c r="I1276" s="200">
        <v>8.3313966781099993E-2</v>
      </c>
      <c r="J1276" s="134">
        <v>1339</v>
      </c>
      <c r="K1276" s="134">
        <v>16071.7350491</v>
      </c>
      <c r="L1276" s="42">
        <v>0.86140079391799995</v>
      </c>
      <c r="M1276" s="42">
        <v>0</v>
      </c>
      <c r="N1276" s="134">
        <v>0</v>
      </c>
      <c r="O1276" s="43" t="s">
        <v>666</v>
      </c>
      <c r="P1276" s="43">
        <f t="shared" si="271"/>
        <v>17.994327096431228</v>
      </c>
      <c r="Q1276" s="43">
        <f t="shared" si="272"/>
        <v>2.704703E-2</v>
      </c>
      <c r="R1276" s="43">
        <f t="shared" si="273"/>
        <v>1.5324580000000001E-2</v>
      </c>
      <c r="S1276" s="43">
        <f t="shared" si="274"/>
        <v>0.86140079400000003</v>
      </c>
      <c r="T1276" s="43">
        <f t="shared" si="275"/>
        <v>2.626395939</v>
      </c>
      <c r="U1276" s="43">
        <f t="shared" si="276"/>
        <v>11.45449243</v>
      </c>
      <c r="V1276" s="43">
        <f t="shared" si="277"/>
        <v>3.1084799999999998E-3</v>
      </c>
      <c r="W1276" s="230">
        <f t="shared" si="278"/>
        <v>5.988581095369E-2</v>
      </c>
      <c r="X1276" s="43">
        <f t="shared" si="279"/>
        <v>0.89780080399999995</v>
      </c>
      <c r="Y1276" s="43">
        <v>136.4221464</v>
      </c>
      <c r="Z1276" s="43">
        <f t="shared" si="268"/>
        <v>0</v>
      </c>
      <c r="AA1276" s="43">
        <f t="shared" si="269"/>
        <v>85233</v>
      </c>
      <c r="AB1276" s="43">
        <f t="shared" si="270"/>
        <v>30359</v>
      </c>
      <c r="AC1276" s="43">
        <f t="shared" si="280"/>
        <v>1.7062811181712705E-2</v>
      </c>
      <c r="AD1276" s="43">
        <f t="shared" si="281"/>
        <v>0.87966620448387123</v>
      </c>
      <c r="AF1276" s="43">
        <v>17.994327096431228</v>
      </c>
      <c r="AG1276" s="43">
        <v>2.704703E-2</v>
      </c>
      <c r="AH1276" s="43">
        <v>1.5324580000000001E-2</v>
      </c>
      <c r="AI1276" s="43">
        <v>0.86140079400000003</v>
      </c>
      <c r="AJ1276" s="43">
        <v>2.626395939</v>
      </c>
      <c r="AK1276" s="43">
        <v>11.45449243</v>
      </c>
      <c r="AL1276" s="43">
        <v>3.1084799999999998E-3</v>
      </c>
      <c r="AM1276" s="230">
        <v>5.988581095369E-2</v>
      </c>
      <c r="AN1276" s="43">
        <v>0.89780080399999995</v>
      </c>
    </row>
    <row r="1277" spans="1:40" x14ac:dyDescent="0.25">
      <c r="A1277" s="134">
        <v>1267</v>
      </c>
      <c r="B1277" s="134" t="s">
        <v>204</v>
      </c>
      <c r="C1277" s="134" t="s">
        <v>205</v>
      </c>
      <c r="D1277" s="134" t="s">
        <v>62</v>
      </c>
      <c r="E1277" s="134">
        <v>135</v>
      </c>
      <c r="F1277" s="134">
        <v>425</v>
      </c>
      <c r="G1277" s="134">
        <v>24</v>
      </c>
      <c r="H1277" s="134">
        <v>0</v>
      </c>
      <c r="I1277" s="200">
        <v>4.3178928188600002E-2</v>
      </c>
      <c r="J1277" s="134">
        <v>425</v>
      </c>
      <c r="K1277" s="134">
        <v>9842.7640015500001</v>
      </c>
      <c r="L1277" s="42">
        <v>0.85181839088</v>
      </c>
      <c r="M1277" s="42">
        <v>0</v>
      </c>
      <c r="N1277" s="134">
        <v>0</v>
      </c>
      <c r="O1277" s="43" t="s">
        <v>666</v>
      </c>
      <c r="P1277" s="43">
        <f t="shared" si="271"/>
        <v>17.847782136704236</v>
      </c>
      <c r="Q1277" s="43">
        <f t="shared" si="272"/>
        <v>2.7218371000000002E-2</v>
      </c>
      <c r="R1277" s="43">
        <f t="shared" si="273"/>
        <v>1.4915075999999999E-2</v>
      </c>
      <c r="S1277" s="43">
        <f t="shared" si="274"/>
        <v>0.85181839100000001</v>
      </c>
      <c r="T1277" s="43">
        <f t="shared" si="275"/>
        <v>2.6586036279999998</v>
      </c>
      <c r="U1277" s="43">
        <f t="shared" si="276"/>
        <v>10.826624450000001</v>
      </c>
      <c r="V1277" s="43">
        <f t="shared" si="277"/>
        <v>1.6365500000000001E-3</v>
      </c>
      <c r="W1277" s="230">
        <f t="shared" si="278"/>
        <v>5.4551653596999657E-2</v>
      </c>
      <c r="X1277" s="43">
        <f t="shared" si="279"/>
        <v>0.87057620199999997</v>
      </c>
      <c r="Y1277" s="43">
        <v>189.60013799999999</v>
      </c>
      <c r="Z1277" s="43">
        <f t="shared" si="268"/>
        <v>0</v>
      </c>
      <c r="AA1277" s="43">
        <f t="shared" si="269"/>
        <v>85233</v>
      </c>
      <c r="AB1277" s="43">
        <f t="shared" si="270"/>
        <v>30359</v>
      </c>
      <c r="AC1277" s="43">
        <f t="shared" si="280"/>
        <v>1.7062811181712705E-2</v>
      </c>
      <c r="AD1277" s="43">
        <f t="shared" si="281"/>
        <v>0.87966620448387123</v>
      </c>
      <c r="AF1277" s="43">
        <v>17.847782136704236</v>
      </c>
      <c r="AG1277" s="43">
        <v>2.7218371000000002E-2</v>
      </c>
      <c r="AH1277" s="43">
        <v>1.4915075999999999E-2</v>
      </c>
      <c r="AI1277" s="43">
        <v>0.85181839100000001</v>
      </c>
      <c r="AJ1277" s="43">
        <v>2.6586036279999998</v>
      </c>
      <c r="AK1277" s="43">
        <v>10.826624450000001</v>
      </c>
      <c r="AL1277" s="43">
        <v>1.6365500000000001E-3</v>
      </c>
      <c r="AM1277" s="230">
        <v>5.4551653596999657E-2</v>
      </c>
      <c r="AN1277" s="43">
        <v>0.87057620199999997</v>
      </c>
    </row>
    <row r="1278" spans="1:40" x14ac:dyDescent="0.25">
      <c r="A1278" s="134">
        <v>1268</v>
      </c>
      <c r="B1278" s="134" t="s">
        <v>204</v>
      </c>
      <c r="C1278" s="134" t="s">
        <v>205</v>
      </c>
      <c r="D1278" s="134" t="s">
        <v>62</v>
      </c>
      <c r="E1278" s="134">
        <v>405</v>
      </c>
      <c r="F1278" s="134">
        <v>1276</v>
      </c>
      <c r="G1278" s="134">
        <v>72</v>
      </c>
      <c r="H1278" s="134">
        <v>219</v>
      </c>
      <c r="I1278" s="200">
        <v>0.13124592028900001</v>
      </c>
      <c r="J1278" s="134">
        <v>1495</v>
      </c>
      <c r="K1278" s="134">
        <v>11390.8302575</v>
      </c>
      <c r="L1278" s="42">
        <v>0.84186456337899995</v>
      </c>
      <c r="M1278" s="42">
        <v>0.35096153846200001</v>
      </c>
      <c r="N1278" s="134">
        <v>0</v>
      </c>
      <c r="O1278" s="43" t="s">
        <v>664</v>
      </c>
      <c r="P1278" s="43">
        <f t="shared" si="271"/>
        <v>16.812108969022958</v>
      </c>
      <c r="Q1278" s="43">
        <f t="shared" si="272"/>
        <v>2.1279025E-2</v>
      </c>
      <c r="R1278" s="43">
        <f t="shared" si="273"/>
        <v>1.3302512000000001E-2</v>
      </c>
      <c r="S1278" s="43">
        <f t="shared" si="274"/>
        <v>0.84186456300000001</v>
      </c>
      <c r="T1278" s="43">
        <f t="shared" si="275"/>
        <v>2.1516982150000001</v>
      </c>
      <c r="U1278" s="43">
        <f t="shared" si="276"/>
        <v>9.1455586199999992</v>
      </c>
      <c r="V1278" s="43">
        <f t="shared" si="277"/>
        <v>4.5426329999999999E-3</v>
      </c>
      <c r="W1278" s="230">
        <f t="shared" si="278"/>
        <v>4.8924153177571511E-2</v>
      </c>
      <c r="X1278" s="43">
        <f t="shared" si="279"/>
        <v>0.87815145100000003</v>
      </c>
      <c r="Y1278" s="43">
        <v>118.9486835</v>
      </c>
      <c r="Z1278" s="43">
        <f t="shared" si="268"/>
        <v>0</v>
      </c>
      <c r="AA1278" s="43">
        <f t="shared" si="269"/>
        <v>85233</v>
      </c>
      <c r="AB1278" s="43">
        <f t="shared" si="270"/>
        <v>30359</v>
      </c>
      <c r="AC1278" s="43">
        <f t="shared" si="280"/>
        <v>1.7062811181712705E-2</v>
      </c>
      <c r="AD1278" s="43">
        <f t="shared" si="281"/>
        <v>0.87966620448387123</v>
      </c>
      <c r="AF1278" s="43">
        <v>16.812108969022958</v>
      </c>
      <c r="AG1278" s="43">
        <v>2.1279025E-2</v>
      </c>
      <c r="AH1278" s="43">
        <v>1.3302512000000001E-2</v>
      </c>
      <c r="AI1278" s="43">
        <v>0.84186456300000001</v>
      </c>
      <c r="AJ1278" s="43">
        <v>2.1516982150000001</v>
      </c>
      <c r="AK1278" s="43">
        <v>9.1455586199999992</v>
      </c>
      <c r="AL1278" s="43">
        <v>4.5426329999999999E-3</v>
      </c>
      <c r="AM1278" s="230">
        <v>4.8924153177571511E-2</v>
      </c>
      <c r="AN1278" s="43">
        <v>0.87815145100000003</v>
      </c>
    </row>
    <row r="1279" spans="1:40" x14ac:dyDescent="0.25">
      <c r="A1279" s="134">
        <v>1269</v>
      </c>
      <c r="B1279" s="134" t="s">
        <v>204</v>
      </c>
      <c r="C1279" s="134" t="s">
        <v>205</v>
      </c>
      <c r="D1279" s="134" t="s">
        <v>62</v>
      </c>
      <c r="E1279" s="134">
        <v>230</v>
      </c>
      <c r="F1279" s="134">
        <v>725</v>
      </c>
      <c r="G1279" s="134">
        <v>36</v>
      </c>
      <c r="H1279" s="134">
        <v>125</v>
      </c>
      <c r="I1279" s="200">
        <v>6.5843712144899993E-2</v>
      </c>
      <c r="J1279" s="134">
        <v>850</v>
      </c>
      <c r="K1279" s="134">
        <v>12909.3572083</v>
      </c>
      <c r="L1279" s="42">
        <v>0.849139067857</v>
      </c>
      <c r="M1279" s="42">
        <v>0.352112676056</v>
      </c>
      <c r="N1279" s="134">
        <v>0</v>
      </c>
      <c r="O1279" s="43" t="s">
        <v>666</v>
      </c>
      <c r="P1279" s="43">
        <f t="shared" si="271"/>
        <v>16.701340796545214</v>
      </c>
      <c r="Q1279" s="43">
        <f t="shared" si="272"/>
        <v>2.4484130999999999E-2</v>
      </c>
      <c r="R1279" s="43">
        <f t="shared" si="273"/>
        <v>1.3501124E-2</v>
      </c>
      <c r="S1279" s="43">
        <f t="shared" si="274"/>
        <v>0.84913906800000005</v>
      </c>
      <c r="T1279" s="43">
        <f t="shared" si="275"/>
        <v>2.316108007</v>
      </c>
      <c r="U1279" s="43">
        <f t="shared" si="276"/>
        <v>9.2362417390000005</v>
      </c>
      <c r="V1279" s="43">
        <f t="shared" si="277"/>
        <v>4.3831520000000004E-3</v>
      </c>
      <c r="W1279" s="230">
        <f t="shared" si="278"/>
        <v>4.9738079965790029E-2</v>
      </c>
      <c r="X1279" s="43">
        <f t="shared" si="279"/>
        <v>0.87922279199999998</v>
      </c>
      <c r="Y1279" s="43">
        <v>185.67690640000001</v>
      </c>
      <c r="Z1279" s="43">
        <f t="shared" si="268"/>
        <v>0</v>
      </c>
      <c r="AA1279" s="43">
        <f t="shared" si="269"/>
        <v>85233</v>
      </c>
      <c r="AB1279" s="43">
        <f t="shared" si="270"/>
        <v>30359</v>
      </c>
      <c r="AC1279" s="43">
        <f t="shared" si="280"/>
        <v>1.7062811181712705E-2</v>
      </c>
      <c r="AD1279" s="43">
        <f t="shared" si="281"/>
        <v>0.87966620448387123</v>
      </c>
      <c r="AF1279" s="43">
        <v>16.701340796545214</v>
      </c>
      <c r="AG1279" s="43">
        <v>2.4484130999999999E-2</v>
      </c>
      <c r="AH1279" s="43">
        <v>1.3501124E-2</v>
      </c>
      <c r="AI1279" s="43">
        <v>0.84913906800000005</v>
      </c>
      <c r="AJ1279" s="43">
        <v>2.316108007</v>
      </c>
      <c r="AK1279" s="43">
        <v>9.2362417390000005</v>
      </c>
      <c r="AL1279" s="43">
        <v>4.3831520000000004E-3</v>
      </c>
      <c r="AM1279" s="230">
        <v>4.9738079965790029E-2</v>
      </c>
      <c r="AN1279" s="43">
        <v>0.87922279199999998</v>
      </c>
    </row>
    <row r="1280" spans="1:40" x14ac:dyDescent="0.25">
      <c r="A1280" s="134">
        <v>1270</v>
      </c>
      <c r="B1280" s="134" t="s">
        <v>204</v>
      </c>
      <c r="C1280" s="134" t="s">
        <v>205</v>
      </c>
      <c r="D1280" s="134" t="s">
        <v>62</v>
      </c>
      <c r="E1280" s="134">
        <v>415</v>
      </c>
      <c r="F1280" s="134">
        <v>1308</v>
      </c>
      <c r="G1280" s="134">
        <v>86</v>
      </c>
      <c r="H1280" s="134">
        <v>170</v>
      </c>
      <c r="I1280" s="200">
        <v>0.157386687375</v>
      </c>
      <c r="J1280" s="134">
        <v>1478</v>
      </c>
      <c r="K1280" s="134">
        <v>9390.8832103299992</v>
      </c>
      <c r="L1280" s="42">
        <v>0.85750679160499998</v>
      </c>
      <c r="M1280" s="42">
        <v>0.29059829059800002</v>
      </c>
      <c r="N1280" s="134">
        <v>0</v>
      </c>
      <c r="O1280" s="43" t="s">
        <v>666</v>
      </c>
      <c r="P1280" s="43">
        <f t="shared" si="271"/>
        <v>17.015831062112401</v>
      </c>
      <c r="Q1280" s="43">
        <f t="shared" si="272"/>
        <v>1.8718729999999999E-2</v>
      </c>
      <c r="R1280" s="43">
        <f t="shared" si="273"/>
        <v>1.3075908000000001E-2</v>
      </c>
      <c r="S1280" s="43">
        <f t="shared" si="274"/>
        <v>0.85750679200000002</v>
      </c>
      <c r="T1280" s="43">
        <f t="shared" si="275"/>
        <v>2.313968209</v>
      </c>
      <c r="U1280" s="43">
        <f t="shared" si="276"/>
        <v>9.7478764679999994</v>
      </c>
      <c r="V1280" s="43">
        <f t="shared" si="277"/>
        <v>3.5136590000000001E-3</v>
      </c>
      <c r="W1280" s="230">
        <f t="shared" si="278"/>
        <v>3.9837295432243361E-2</v>
      </c>
      <c r="X1280" s="43">
        <f t="shared" si="279"/>
        <v>0.89921180099999998</v>
      </c>
      <c r="Y1280" s="43">
        <v>119.8088429</v>
      </c>
      <c r="Z1280" s="43">
        <f t="shared" si="268"/>
        <v>0</v>
      </c>
      <c r="AA1280" s="43">
        <f t="shared" si="269"/>
        <v>85233</v>
      </c>
      <c r="AB1280" s="43">
        <f t="shared" si="270"/>
        <v>30359</v>
      </c>
      <c r="AC1280" s="43">
        <f t="shared" si="280"/>
        <v>1.7062811181712705E-2</v>
      </c>
      <c r="AD1280" s="43">
        <f t="shared" si="281"/>
        <v>0.87966620448387123</v>
      </c>
      <c r="AF1280" s="43">
        <v>17.015831062112401</v>
      </c>
      <c r="AG1280" s="43">
        <v>1.8718729999999999E-2</v>
      </c>
      <c r="AH1280" s="43">
        <v>1.3075908000000001E-2</v>
      </c>
      <c r="AI1280" s="43">
        <v>0.85750679200000002</v>
      </c>
      <c r="AJ1280" s="43">
        <v>2.313968209</v>
      </c>
      <c r="AK1280" s="43">
        <v>9.7478764679999994</v>
      </c>
      <c r="AL1280" s="43">
        <v>3.5136590000000001E-3</v>
      </c>
      <c r="AM1280" s="230">
        <v>3.9837295432243361E-2</v>
      </c>
      <c r="AN1280" s="43">
        <v>0.89921180099999998</v>
      </c>
    </row>
    <row r="1281" spans="1:40" x14ac:dyDescent="0.25">
      <c r="A1281" s="134">
        <v>1271</v>
      </c>
      <c r="B1281" s="134" t="s">
        <v>204</v>
      </c>
      <c r="C1281" s="134" t="s">
        <v>205</v>
      </c>
      <c r="D1281" s="134" t="s">
        <v>62</v>
      </c>
      <c r="E1281" s="134">
        <v>322</v>
      </c>
      <c r="F1281" s="134">
        <v>1015</v>
      </c>
      <c r="G1281" s="134">
        <v>50</v>
      </c>
      <c r="H1281" s="134">
        <v>0</v>
      </c>
      <c r="I1281" s="200">
        <v>9.17217955862E-2</v>
      </c>
      <c r="J1281" s="134">
        <v>1015</v>
      </c>
      <c r="K1281" s="134">
        <v>11066.0720662</v>
      </c>
      <c r="L1281" s="42">
        <v>0.85101615074000003</v>
      </c>
      <c r="M1281" s="42">
        <v>0</v>
      </c>
      <c r="N1281" s="134">
        <v>0</v>
      </c>
      <c r="O1281" s="43" t="s">
        <v>664</v>
      </c>
      <c r="P1281" s="43">
        <f t="shared" si="271"/>
        <v>17.858703998272865</v>
      </c>
      <c r="Q1281" s="43">
        <f t="shared" si="272"/>
        <v>2.8156124000000001E-2</v>
      </c>
      <c r="R1281" s="43">
        <f t="shared" si="273"/>
        <v>1.474428E-2</v>
      </c>
      <c r="S1281" s="43">
        <f t="shared" si="274"/>
        <v>0.85101615100000005</v>
      </c>
      <c r="T1281" s="43">
        <f t="shared" si="275"/>
        <v>2.4166477139999998</v>
      </c>
      <c r="U1281" s="43">
        <f t="shared" si="276"/>
        <v>11.095131889999999</v>
      </c>
      <c r="V1281" s="43">
        <f t="shared" si="277"/>
        <v>2.5498890000000001E-3</v>
      </c>
      <c r="W1281" s="230">
        <f t="shared" si="278"/>
        <v>6.0726164079822613E-2</v>
      </c>
      <c r="X1281" s="43">
        <f t="shared" si="279"/>
        <v>0.88630820399999999</v>
      </c>
      <c r="Y1281" s="43">
        <v>116.86992530000001</v>
      </c>
      <c r="Z1281" s="43">
        <f t="shared" si="268"/>
        <v>0</v>
      </c>
      <c r="AA1281" s="43">
        <f t="shared" si="269"/>
        <v>85233</v>
      </c>
      <c r="AB1281" s="43">
        <f t="shared" si="270"/>
        <v>30359</v>
      </c>
      <c r="AC1281" s="43">
        <f t="shared" si="280"/>
        <v>1.7062811181712705E-2</v>
      </c>
      <c r="AD1281" s="43">
        <f t="shared" si="281"/>
        <v>0.87966620448387123</v>
      </c>
      <c r="AF1281" s="43">
        <v>17.858703998272865</v>
      </c>
      <c r="AG1281" s="43">
        <v>2.8156124000000001E-2</v>
      </c>
      <c r="AH1281" s="43">
        <v>1.474428E-2</v>
      </c>
      <c r="AI1281" s="43">
        <v>0.85101615100000005</v>
      </c>
      <c r="AJ1281" s="43">
        <v>2.4166477139999998</v>
      </c>
      <c r="AK1281" s="43">
        <v>11.095131889999999</v>
      </c>
      <c r="AL1281" s="43">
        <v>2.5498890000000001E-3</v>
      </c>
      <c r="AM1281" s="230">
        <v>6.0726164079822613E-2</v>
      </c>
      <c r="AN1281" s="43">
        <v>0.88630820399999999</v>
      </c>
    </row>
    <row r="1282" spans="1:40" x14ac:dyDescent="0.25">
      <c r="A1282" s="134">
        <v>1272</v>
      </c>
      <c r="B1282" s="134" t="s">
        <v>204</v>
      </c>
      <c r="C1282" s="134" t="s">
        <v>205</v>
      </c>
      <c r="D1282" s="134" t="s">
        <v>62</v>
      </c>
      <c r="E1282" s="134">
        <v>110</v>
      </c>
      <c r="F1282" s="134">
        <v>347</v>
      </c>
      <c r="G1282" s="134">
        <v>43</v>
      </c>
      <c r="H1282" s="134">
        <v>38</v>
      </c>
      <c r="I1282" s="200">
        <v>3.2812004045200002E-2</v>
      </c>
      <c r="J1282" s="134">
        <v>385</v>
      </c>
      <c r="K1282" s="134">
        <v>11733.510683099999</v>
      </c>
      <c r="L1282" s="42">
        <v>0.83264826776300005</v>
      </c>
      <c r="M1282" s="42">
        <v>0.25675675675699999</v>
      </c>
      <c r="N1282" s="134">
        <v>0</v>
      </c>
      <c r="O1282" s="43" t="s">
        <v>664</v>
      </c>
      <c r="P1282" s="43">
        <f t="shared" si="271"/>
        <v>16.172356814783427</v>
      </c>
      <c r="Q1282" s="43">
        <f t="shared" si="272"/>
        <v>2.4496739999999999E-2</v>
      </c>
      <c r="R1282" s="43">
        <f t="shared" si="273"/>
        <v>1.2933436E-2</v>
      </c>
      <c r="S1282" s="43">
        <f t="shared" si="274"/>
        <v>0.83264826800000002</v>
      </c>
      <c r="T1282" s="43">
        <f t="shared" si="275"/>
        <v>2.0849941379999999</v>
      </c>
      <c r="U1282" s="43">
        <f t="shared" si="276"/>
        <v>8.4785298240000007</v>
      </c>
      <c r="V1282" s="43">
        <f t="shared" si="277"/>
        <v>2.2596679999999998E-3</v>
      </c>
      <c r="W1282" s="230">
        <f t="shared" si="278"/>
        <v>5.0874814384401841E-2</v>
      </c>
      <c r="X1282" s="43">
        <f t="shared" si="279"/>
        <v>0.84311446800000001</v>
      </c>
      <c r="Y1282" s="43">
        <v>169.4320845</v>
      </c>
      <c r="Z1282" s="43">
        <f t="shared" si="268"/>
        <v>0</v>
      </c>
      <c r="AA1282" s="43">
        <f t="shared" si="269"/>
        <v>85233</v>
      </c>
      <c r="AB1282" s="43">
        <f t="shared" si="270"/>
        <v>30359</v>
      </c>
      <c r="AC1282" s="43">
        <f t="shared" si="280"/>
        <v>1.7062811181712705E-2</v>
      </c>
      <c r="AD1282" s="43">
        <f t="shared" si="281"/>
        <v>0.87966620448387123</v>
      </c>
      <c r="AF1282" s="43">
        <v>16.172356814783427</v>
      </c>
      <c r="AG1282" s="43">
        <v>2.4496739999999999E-2</v>
      </c>
      <c r="AH1282" s="43">
        <v>1.2933436E-2</v>
      </c>
      <c r="AI1282" s="43">
        <v>0.83264826800000002</v>
      </c>
      <c r="AJ1282" s="43">
        <v>2.0849941379999999</v>
      </c>
      <c r="AK1282" s="43">
        <v>8.4785298240000007</v>
      </c>
      <c r="AL1282" s="43">
        <v>2.2596679999999998E-3</v>
      </c>
      <c r="AM1282" s="230">
        <v>5.0874814384401841E-2</v>
      </c>
      <c r="AN1282" s="43">
        <v>0.84311446800000001</v>
      </c>
    </row>
    <row r="1283" spans="1:40" x14ac:dyDescent="0.25">
      <c r="A1283" s="134">
        <v>1273</v>
      </c>
      <c r="B1283" s="134" t="s">
        <v>204</v>
      </c>
      <c r="C1283" s="134" t="s">
        <v>205</v>
      </c>
      <c r="D1283" s="134" t="s">
        <v>62</v>
      </c>
      <c r="E1283" s="134">
        <v>450</v>
      </c>
      <c r="F1283" s="134">
        <v>1418</v>
      </c>
      <c r="G1283" s="134">
        <v>81</v>
      </c>
      <c r="H1283" s="134">
        <v>206</v>
      </c>
      <c r="I1283" s="200">
        <v>0.14625696229900001</v>
      </c>
      <c r="J1283" s="134">
        <v>1624</v>
      </c>
      <c r="K1283" s="134">
        <v>11103.744905400001</v>
      </c>
      <c r="L1283" s="42">
        <v>0.83680235543000003</v>
      </c>
      <c r="M1283" s="42">
        <v>0.31402439024399997</v>
      </c>
      <c r="N1283" s="134">
        <v>0</v>
      </c>
      <c r="O1283" s="43" t="s">
        <v>664</v>
      </c>
      <c r="P1283" s="43">
        <f t="shared" si="271"/>
        <v>16.822890426323248</v>
      </c>
      <c r="Q1283" s="43">
        <f t="shared" si="272"/>
        <v>2.1732675999999999E-2</v>
      </c>
      <c r="R1283" s="43">
        <f t="shared" si="273"/>
        <v>1.3218366E-2</v>
      </c>
      <c r="S1283" s="43">
        <f t="shared" si="274"/>
        <v>0.836802355</v>
      </c>
      <c r="T1283" s="43">
        <f t="shared" si="275"/>
        <v>2.0614322490000001</v>
      </c>
      <c r="U1283" s="43">
        <f t="shared" si="276"/>
        <v>8.7745925479999993</v>
      </c>
      <c r="V1283" s="43">
        <f t="shared" si="277"/>
        <v>4.5825070000000004E-3</v>
      </c>
      <c r="W1283" s="230">
        <f t="shared" si="278"/>
        <v>5.1178460791731502E-2</v>
      </c>
      <c r="X1283" s="43">
        <f t="shared" si="279"/>
        <v>0.87234650000000002</v>
      </c>
      <c r="Y1283" s="43">
        <v>168.97545819999999</v>
      </c>
      <c r="Z1283" s="43">
        <f t="shared" si="268"/>
        <v>0</v>
      </c>
      <c r="AA1283" s="43">
        <f t="shared" si="269"/>
        <v>85233</v>
      </c>
      <c r="AB1283" s="43">
        <f t="shared" si="270"/>
        <v>30359</v>
      </c>
      <c r="AC1283" s="43">
        <f t="shared" si="280"/>
        <v>1.7062811181712705E-2</v>
      </c>
      <c r="AD1283" s="43">
        <f t="shared" si="281"/>
        <v>0.87966620448387123</v>
      </c>
      <c r="AF1283" s="43">
        <v>16.822890426323248</v>
      </c>
      <c r="AG1283" s="43">
        <v>2.1732675999999999E-2</v>
      </c>
      <c r="AH1283" s="43">
        <v>1.3218366E-2</v>
      </c>
      <c r="AI1283" s="43">
        <v>0.836802355</v>
      </c>
      <c r="AJ1283" s="43">
        <v>2.0614322490000001</v>
      </c>
      <c r="AK1283" s="43">
        <v>8.7745925479999993</v>
      </c>
      <c r="AL1283" s="43">
        <v>4.5825070000000004E-3</v>
      </c>
      <c r="AM1283" s="230">
        <v>5.1178460791731502E-2</v>
      </c>
      <c r="AN1283" s="43">
        <v>0.87234650000000002</v>
      </c>
    </row>
    <row r="1284" spans="1:40" x14ac:dyDescent="0.25">
      <c r="A1284" s="134">
        <v>1274</v>
      </c>
      <c r="B1284" s="134" t="s">
        <v>204</v>
      </c>
      <c r="C1284" s="134" t="s">
        <v>205</v>
      </c>
      <c r="D1284" s="134" t="s">
        <v>62</v>
      </c>
      <c r="E1284" s="134">
        <v>300</v>
      </c>
      <c r="F1284" s="134">
        <v>784</v>
      </c>
      <c r="G1284" s="134">
        <v>79</v>
      </c>
      <c r="H1284" s="134">
        <v>0</v>
      </c>
      <c r="I1284" s="200">
        <v>0.125499767442</v>
      </c>
      <c r="J1284" s="134">
        <v>784</v>
      </c>
      <c r="K1284" s="134">
        <v>6247.0235282499998</v>
      </c>
      <c r="L1284" s="42">
        <v>0.87769755882699996</v>
      </c>
      <c r="M1284" s="42">
        <v>0</v>
      </c>
      <c r="N1284" s="134">
        <v>0</v>
      </c>
      <c r="O1284" s="43" t="s">
        <v>666</v>
      </c>
      <c r="P1284" s="43">
        <f t="shared" si="271"/>
        <v>17.98138606340606</v>
      </c>
      <c r="Q1284" s="43">
        <f t="shared" si="272"/>
        <v>3.1717943999999998E-2</v>
      </c>
      <c r="R1284" s="43">
        <f t="shared" si="273"/>
        <v>1.2693469000000001E-2</v>
      </c>
      <c r="S1284" s="43">
        <f t="shared" si="274"/>
        <v>0.87769755900000002</v>
      </c>
      <c r="T1284" s="43">
        <f t="shared" si="275"/>
        <v>3.006809037</v>
      </c>
      <c r="U1284" s="43">
        <f t="shared" si="276"/>
        <v>11.95054873</v>
      </c>
      <c r="V1284" s="43">
        <f t="shared" si="277"/>
        <v>2.3578570000000001E-3</v>
      </c>
      <c r="W1284" s="230">
        <f t="shared" si="278"/>
        <v>6.419937322787643E-2</v>
      </c>
      <c r="X1284" s="43">
        <f t="shared" si="279"/>
        <v>0.89509028499999999</v>
      </c>
      <c r="Y1284" s="43">
        <v>67.267219499999996</v>
      </c>
      <c r="Z1284" s="43">
        <f t="shared" si="268"/>
        <v>0</v>
      </c>
      <c r="AA1284" s="43">
        <f t="shared" si="269"/>
        <v>85233</v>
      </c>
      <c r="AB1284" s="43">
        <f t="shared" si="270"/>
        <v>30359</v>
      </c>
      <c r="AC1284" s="43">
        <f t="shared" si="280"/>
        <v>1.7062811181712705E-2</v>
      </c>
      <c r="AD1284" s="43">
        <f t="shared" si="281"/>
        <v>0.87966620448387123</v>
      </c>
      <c r="AF1284" s="43">
        <v>17.98138606340606</v>
      </c>
      <c r="AG1284" s="43">
        <v>3.1717943999999998E-2</v>
      </c>
      <c r="AH1284" s="43">
        <v>1.2693469000000001E-2</v>
      </c>
      <c r="AI1284" s="43">
        <v>0.87769755900000002</v>
      </c>
      <c r="AJ1284" s="43">
        <v>3.006809037</v>
      </c>
      <c r="AK1284" s="43">
        <v>11.95054873</v>
      </c>
      <c r="AL1284" s="43">
        <v>2.3578570000000001E-3</v>
      </c>
      <c r="AM1284" s="230">
        <v>6.419937322787643E-2</v>
      </c>
      <c r="AN1284" s="43">
        <v>0.89509028499999999</v>
      </c>
    </row>
    <row r="1285" spans="1:40" x14ac:dyDescent="0.25">
      <c r="A1285" s="134">
        <v>1275</v>
      </c>
      <c r="B1285" s="134" t="s">
        <v>204</v>
      </c>
      <c r="C1285" s="134" t="s">
        <v>205</v>
      </c>
      <c r="D1285" s="134" t="s">
        <v>62</v>
      </c>
      <c r="E1285" s="134">
        <v>0</v>
      </c>
      <c r="F1285" s="134">
        <v>0</v>
      </c>
      <c r="G1285" s="134">
        <v>56</v>
      </c>
      <c r="H1285" s="134">
        <v>372</v>
      </c>
      <c r="I1285" s="200">
        <v>8.9182000249699994E-2</v>
      </c>
      <c r="J1285" s="134">
        <v>372</v>
      </c>
      <c r="K1285" s="134">
        <v>4171.2453068799996</v>
      </c>
      <c r="L1285" s="42">
        <v>0.91069704792899997</v>
      </c>
      <c r="M1285" s="42">
        <v>1</v>
      </c>
      <c r="N1285" s="134">
        <v>0</v>
      </c>
      <c r="O1285" s="43" t="s">
        <v>666</v>
      </c>
      <c r="P1285" s="43">
        <f t="shared" si="271"/>
        <v>15.705572303000912</v>
      </c>
      <c r="Q1285" s="43">
        <f t="shared" si="272"/>
        <v>8.9347850000000006E-3</v>
      </c>
      <c r="R1285" s="43">
        <f t="shared" si="273"/>
        <v>7.7449770000000001E-3</v>
      </c>
      <c r="S1285" s="43">
        <f t="shared" si="274"/>
        <v>0.91069704799999995</v>
      </c>
      <c r="T1285" s="43">
        <f t="shared" si="275"/>
        <v>2.7596566519999999</v>
      </c>
      <c r="U1285" s="43">
        <f t="shared" si="276"/>
        <v>8.1208847679999998</v>
      </c>
      <c r="V1285" s="43">
        <f t="shared" si="277"/>
        <v>2.6074140000000002E-3</v>
      </c>
      <c r="W1285" s="230">
        <f t="shared" si="278"/>
        <v>5.9517061557646531E-3</v>
      </c>
      <c r="X1285" s="43">
        <f t="shared" si="279"/>
        <v>0.94977893700000005</v>
      </c>
      <c r="Y1285" s="43">
        <v>67.187748749999997</v>
      </c>
      <c r="Z1285" s="43">
        <f t="shared" si="268"/>
        <v>0</v>
      </c>
      <c r="AA1285" s="43">
        <f t="shared" si="269"/>
        <v>85233</v>
      </c>
      <c r="AB1285" s="43">
        <f t="shared" si="270"/>
        <v>30359</v>
      </c>
      <c r="AC1285" s="43">
        <f t="shared" si="280"/>
        <v>1.7062811181712705E-2</v>
      </c>
      <c r="AD1285" s="43">
        <f t="shared" si="281"/>
        <v>0.87966620448387123</v>
      </c>
      <c r="AF1285" s="43">
        <v>15.705572303000912</v>
      </c>
      <c r="AG1285" s="43">
        <v>8.9347850000000006E-3</v>
      </c>
      <c r="AH1285" s="43">
        <v>7.7449770000000001E-3</v>
      </c>
      <c r="AI1285" s="43">
        <v>0.91069704799999995</v>
      </c>
      <c r="AJ1285" s="43">
        <v>2.7596566519999999</v>
      </c>
      <c r="AK1285" s="43">
        <v>8.1208847679999998</v>
      </c>
      <c r="AL1285" s="43">
        <v>2.6074140000000002E-3</v>
      </c>
      <c r="AM1285" s="230">
        <v>5.9517061557646531E-3</v>
      </c>
      <c r="AN1285" s="43">
        <v>0.94977893700000005</v>
      </c>
    </row>
    <row r="1286" spans="1:40" x14ac:dyDescent="0.25">
      <c r="A1286" s="134">
        <v>1276</v>
      </c>
      <c r="B1286" s="134" t="s">
        <v>204</v>
      </c>
      <c r="C1286" s="134" t="s">
        <v>205</v>
      </c>
      <c r="D1286" s="134" t="s">
        <v>62</v>
      </c>
      <c r="E1286" s="134">
        <v>391</v>
      </c>
      <c r="F1286" s="134">
        <v>1022</v>
      </c>
      <c r="G1286" s="134">
        <v>47</v>
      </c>
      <c r="H1286" s="134">
        <v>0</v>
      </c>
      <c r="I1286" s="200">
        <v>7.6028670942200005E-2</v>
      </c>
      <c r="J1286" s="134">
        <v>1022</v>
      </c>
      <c r="K1286" s="134">
        <v>13442.2973246</v>
      </c>
      <c r="L1286" s="42">
        <v>0.861561810491</v>
      </c>
      <c r="M1286" s="42">
        <v>0</v>
      </c>
      <c r="N1286" s="134">
        <v>0</v>
      </c>
      <c r="O1286" s="43" t="s">
        <v>666</v>
      </c>
      <c r="P1286" s="43">
        <f t="shared" si="271"/>
        <v>18.820762324819245</v>
      </c>
      <c r="Q1286" s="43">
        <f t="shared" si="272"/>
        <v>3.3663282000000003E-2</v>
      </c>
      <c r="R1286" s="43">
        <f t="shared" si="273"/>
        <v>1.29582E-2</v>
      </c>
      <c r="S1286" s="43">
        <f t="shared" si="274"/>
        <v>0.86156180999999998</v>
      </c>
      <c r="T1286" s="43">
        <f t="shared" si="275"/>
        <v>2.6769050409999999</v>
      </c>
      <c r="U1286" s="43">
        <f t="shared" si="276"/>
        <v>11.74796929</v>
      </c>
      <c r="V1286" s="43">
        <f t="shared" si="277"/>
        <v>2.809247E-3</v>
      </c>
      <c r="W1286" s="230">
        <f t="shared" si="278"/>
        <v>7.2326609560652122E-2</v>
      </c>
      <c r="X1286" s="43">
        <f t="shared" si="279"/>
        <v>0.88281753699999999</v>
      </c>
      <c r="Y1286" s="43">
        <v>67.241508780000004</v>
      </c>
      <c r="Z1286" s="43">
        <f t="shared" si="268"/>
        <v>0</v>
      </c>
      <c r="AA1286" s="43">
        <f t="shared" si="269"/>
        <v>85233</v>
      </c>
      <c r="AB1286" s="43">
        <f t="shared" si="270"/>
        <v>30359</v>
      </c>
      <c r="AC1286" s="43">
        <f t="shared" si="280"/>
        <v>1.7062811181712705E-2</v>
      </c>
      <c r="AD1286" s="43">
        <f t="shared" si="281"/>
        <v>0.87966620448387123</v>
      </c>
      <c r="AF1286" s="43">
        <v>18.820762324819245</v>
      </c>
      <c r="AG1286" s="43">
        <v>3.3663282000000003E-2</v>
      </c>
      <c r="AH1286" s="43">
        <v>1.29582E-2</v>
      </c>
      <c r="AI1286" s="43">
        <v>0.86156180999999998</v>
      </c>
      <c r="AJ1286" s="43">
        <v>2.6769050409999999</v>
      </c>
      <c r="AK1286" s="43">
        <v>11.74796929</v>
      </c>
      <c r="AL1286" s="43">
        <v>2.809247E-3</v>
      </c>
      <c r="AM1286" s="230">
        <v>7.2326609560652122E-2</v>
      </c>
      <c r="AN1286" s="43">
        <v>0.88281753699999999</v>
      </c>
    </row>
    <row r="1287" spans="1:40" x14ac:dyDescent="0.25">
      <c r="A1287" s="134">
        <v>1277</v>
      </c>
      <c r="B1287" s="134" t="s">
        <v>204</v>
      </c>
      <c r="C1287" s="134" t="s">
        <v>205</v>
      </c>
      <c r="D1287" s="134" t="s">
        <v>62</v>
      </c>
      <c r="E1287" s="134">
        <v>0</v>
      </c>
      <c r="F1287" s="134">
        <v>0</v>
      </c>
      <c r="G1287" s="134">
        <v>13</v>
      </c>
      <c r="H1287" s="134">
        <v>213</v>
      </c>
      <c r="I1287" s="200">
        <v>2.06564142137E-2</v>
      </c>
      <c r="J1287" s="134">
        <v>213</v>
      </c>
      <c r="K1287" s="134">
        <v>10311.5670414</v>
      </c>
      <c r="L1287" s="42">
        <v>0.85416770796899999</v>
      </c>
      <c r="M1287" s="42">
        <v>1</v>
      </c>
      <c r="N1287" s="134">
        <v>0</v>
      </c>
      <c r="O1287" s="43" t="s">
        <v>664</v>
      </c>
      <c r="P1287" s="43">
        <f t="shared" si="271"/>
        <v>14.738584878714747</v>
      </c>
      <c r="Q1287" s="43">
        <f t="shared" si="272"/>
        <v>1.3095417E-2</v>
      </c>
      <c r="R1287" s="43">
        <f t="shared" si="273"/>
        <v>8.1638089999999993E-3</v>
      </c>
      <c r="S1287" s="43">
        <f t="shared" si="274"/>
        <v>0.85416770799999997</v>
      </c>
      <c r="T1287" s="43">
        <f t="shared" si="275"/>
        <v>2.0559511700000002</v>
      </c>
      <c r="U1287" s="43">
        <f t="shared" si="276"/>
        <v>6.7165530389999999</v>
      </c>
      <c r="V1287" s="43">
        <f t="shared" si="277"/>
        <v>2.1736770000000002E-3</v>
      </c>
      <c r="W1287" s="230">
        <f t="shared" si="278"/>
        <v>1.5759156613411585E-2</v>
      </c>
      <c r="X1287" s="43">
        <f t="shared" si="279"/>
        <v>0.87153570300000005</v>
      </c>
      <c r="Y1287" s="43">
        <v>67.263047929999999</v>
      </c>
      <c r="Z1287" s="43">
        <f t="shared" si="268"/>
        <v>0</v>
      </c>
      <c r="AA1287" s="43">
        <f t="shared" si="269"/>
        <v>85233</v>
      </c>
      <c r="AB1287" s="43">
        <f t="shared" si="270"/>
        <v>30359</v>
      </c>
      <c r="AC1287" s="43">
        <f t="shared" si="280"/>
        <v>1.7062811181712705E-2</v>
      </c>
      <c r="AD1287" s="43">
        <f t="shared" si="281"/>
        <v>0.87966620448387123</v>
      </c>
      <c r="AF1287" s="43">
        <v>14.738584878714747</v>
      </c>
      <c r="AG1287" s="43">
        <v>1.3095417E-2</v>
      </c>
      <c r="AH1287" s="43">
        <v>8.1638089999999993E-3</v>
      </c>
      <c r="AI1287" s="43">
        <v>0.85416770799999997</v>
      </c>
      <c r="AJ1287" s="43">
        <v>2.0559511700000002</v>
      </c>
      <c r="AK1287" s="43">
        <v>6.7165530389999999</v>
      </c>
      <c r="AL1287" s="43">
        <v>2.1736770000000002E-3</v>
      </c>
      <c r="AM1287" s="230">
        <v>1.5759156613411585E-2</v>
      </c>
      <c r="AN1287" s="43">
        <v>0.87153570300000005</v>
      </c>
    </row>
    <row r="1288" spans="1:40" x14ac:dyDescent="0.25">
      <c r="A1288" s="134">
        <v>1278</v>
      </c>
      <c r="B1288" s="134" t="s">
        <v>204</v>
      </c>
      <c r="C1288" s="134" t="s">
        <v>205</v>
      </c>
      <c r="D1288" s="134" t="s">
        <v>62</v>
      </c>
      <c r="E1288" s="134">
        <v>450</v>
      </c>
      <c r="F1288" s="134">
        <v>1177</v>
      </c>
      <c r="G1288" s="134">
        <v>183</v>
      </c>
      <c r="H1288" s="134">
        <v>0</v>
      </c>
      <c r="I1288" s="200">
        <v>0.29362896257900001</v>
      </c>
      <c r="J1288" s="134">
        <v>1177</v>
      </c>
      <c r="K1288" s="134">
        <v>4008.46016573</v>
      </c>
      <c r="L1288" s="42">
        <v>0.88191192188699996</v>
      </c>
      <c r="M1288" s="42">
        <v>0</v>
      </c>
      <c r="N1288" s="134">
        <v>0</v>
      </c>
      <c r="O1288" s="43" t="s">
        <v>666</v>
      </c>
      <c r="P1288" s="43">
        <f t="shared" si="271"/>
        <v>18.142855911121462</v>
      </c>
      <c r="Q1288" s="43">
        <f t="shared" si="272"/>
        <v>2.6979020999999999E-2</v>
      </c>
      <c r="R1288" s="43">
        <f t="shared" si="273"/>
        <v>1.2748555999999999E-2</v>
      </c>
      <c r="S1288" s="43">
        <f t="shared" si="274"/>
        <v>0.88191192200000001</v>
      </c>
      <c r="T1288" s="43">
        <f t="shared" si="275"/>
        <v>2.76884219</v>
      </c>
      <c r="U1288" s="43">
        <f t="shared" si="276"/>
        <v>11.842032079999999</v>
      </c>
      <c r="V1288" s="43">
        <f t="shared" si="277"/>
        <v>1.9819030000000001E-3</v>
      </c>
      <c r="W1288" s="230">
        <f t="shared" si="278"/>
        <v>6.0197789878283156E-2</v>
      </c>
      <c r="X1288" s="43">
        <f t="shared" si="279"/>
        <v>0.90743113399999997</v>
      </c>
      <c r="Y1288" s="43">
        <v>56.414598609999999</v>
      </c>
      <c r="Z1288" s="43">
        <f t="shared" si="268"/>
        <v>0</v>
      </c>
      <c r="AA1288" s="43">
        <f t="shared" si="269"/>
        <v>85233</v>
      </c>
      <c r="AB1288" s="43">
        <f t="shared" si="270"/>
        <v>30359</v>
      </c>
      <c r="AC1288" s="43">
        <f t="shared" si="280"/>
        <v>1.7062811181712705E-2</v>
      </c>
      <c r="AD1288" s="43">
        <f t="shared" si="281"/>
        <v>0.87966620448387123</v>
      </c>
      <c r="AF1288" s="43">
        <v>18.142855911121462</v>
      </c>
      <c r="AG1288" s="43">
        <v>2.6979020999999999E-2</v>
      </c>
      <c r="AH1288" s="43">
        <v>1.2748555999999999E-2</v>
      </c>
      <c r="AI1288" s="43">
        <v>0.88191192200000001</v>
      </c>
      <c r="AJ1288" s="43">
        <v>2.76884219</v>
      </c>
      <c r="AK1288" s="43">
        <v>11.842032079999999</v>
      </c>
      <c r="AL1288" s="43">
        <v>1.9819030000000001E-3</v>
      </c>
      <c r="AM1288" s="230">
        <v>6.0197789878283156E-2</v>
      </c>
      <c r="AN1288" s="43">
        <v>0.90743113399999997</v>
      </c>
    </row>
    <row r="1289" spans="1:40" x14ac:dyDescent="0.25">
      <c r="A1289" s="134">
        <v>1279</v>
      </c>
      <c r="B1289" s="134" t="s">
        <v>204</v>
      </c>
      <c r="C1289" s="134" t="s">
        <v>205</v>
      </c>
      <c r="D1289" s="134" t="s">
        <v>62</v>
      </c>
      <c r="E1289" s="134">
        <v>10</v>
      </c>
      <c r="F1289" s="134">
        <v>26</v>
      </c>
      <c r="G1289" s="134">
        <v>151</v>
      </c>
      <c r="H1289" s="134">
        <v>172</v>
      </c>
      <c r="I1289" s="200">
        <v>0.242475988235</v>
      </c>
      <c r="J1289" s="134">
        <v>198</v>
      </c>
      <c r="K1289" s="134">
        <v>816.57570071800001</v>
      </c>
      <c r="L1289" s="42">
        <v>0.92295400483000001</v>
      </c>
      <c r="M1289" s="42">
        <v>0.94505494505499998</v>
      </c>
      <c r="N1289" s="134">
        <v>0</v>
      </c>
      <c r="O1289" s="43" t="s">
        <v>666</v>
      </c>
      <c r="P1289" s="43">
        <f t="shared" si="271"/>
        <v>15.613289583449196</v>
      </c>
      <c r="Q1289" s="43">
        <f t="shared" si="272"/>
        <v>4.7938119999999997E-3</v>
      </c>
      <c r="R1289" s="43">
        <f t="shared" si="273"/>
        <v>8.0078440000000001E-3</v>
      </c>
      <c r="S1289" s="43">
        <f t="shared" si="274"/>
        <v>0.92295400500000002</v>
      </c>
      <c r="T1289" s="43">
        <f t="shared" si="275"/>
        <v>3.0044444440000002</v>
      </c>
      <c r="U1289" s="43">
        <f t="shared" si="276"/>
        <v>8.5436692109999992</v>
      </c>
      <c r="V1289" s="43">
        <f t="shared" si="277"/>
        <v>2.1754890000000001E-3</v>
      </c>
      <c r="W1289" s="230">
        <f t="shared" si="278"/>
        <v>2.7395052775763431E-3</v>
      </c>
      <c r="X1289" s="43">
        <f t="shared" si="279"/>
        <v>0.94964144699999997</v>
      </c>
      <c r="Y1289" s="43">
        <v>56.414103830000002</v>
      </c>
      <c r="Z1289" s="43">
        <f t="shared" si="268"/>
        <v>0</v>
      </c>
      <c r="AA1289" s="43">
        <f t="shared" si="269"/>
        <v>85233</v>
      </c>
      <c r="AB1289" s="43">
        <f t="shared" si="270"/>
        <v>30359</v>
      </c>
      <c r="AC1289" s="43">
        <f t="shared" si="280"/>
        <v>1.7062811181712705E-2</v>
      </c>
      <c r="AD1289" s="43">
        <f t="shared" si="281"/>
        <v>0.87966620448387123</v>
      </c>
      <c r="AF1289" s="43">
        <v>15.613289583449196</v>
      </c>
      <c r="AG1289" s="43">
        <v>4.7938119999999997E-3</v>
      </c>
      <c r="AH1289" s="43">
        <v>8.0078440000000001E-3</v>
      </c>
      <c r="AI1289" s="43">
        <v>0.92295400500000002</v>
      </c>
      <c r="AJ1289" s="43">
        <v>3.0044444440000002</v>
      </c>
      <c r="AK1289" s="43">
        <v>8.5436692109999992</v>
      </c>
      <c r="AL1289" s="43">
        <v>2.1754890000000001E-3</v>
      </c>
      <c r="AM1289" s="230">
        <v>2.7395052775763431E-3</v>
      </c>
      <c r="AN1289" s="43">
        <v>0.94964144699999997</v>
      </c>
    </row>
    <row r="1290" spans="1:40" x14ac:dyDescent="0.25">
      <c r="A1290" s="134">
        <v>1280</v>
      </c>
      <c r="B1290" s="134" t="s">
        <v>204</v>
      </c>
      <c r="C1290" s="134" t="s">
        <v>205</v>
      </c>
      <c r="D1290" s="134" t="s">
        <v>62</v>
      </c>
      <c r="E1290" s="134">
        <v>2</v>
      </c>
      <c r="F1290" s="134">
        <v>5</v>
      </c>
      <c r="G1290" s="134">
        <v>51</v>
      </c>
      <c r="H1290" s="134">
        <v>0</v>
      </c>
      <c r="I1290" s="200">
        <v>8.1694832311399998E-2</v>
      </c>
      <c r="J1290" s="134">
        <v>5</v>
      </c>
      <c r="K1290" s="134">
        <v>61.203381640300002</v>
      </c>
      <c r="L1290" s="42">
        <v>0.68763102725400005</v>
      </c>
      <c r="M1290" s="42">
        <v>0</v>
      </c>
      <c r="N1290" s="134">
        <v>0</v>
      </c>
      <c r="O1290" s="43" t="s">
        <v>666</v>
      </c>
      <c r="P1290" s="43">
        <f t="shared" si="271"/>
        <v>16.403606460653439</v>
      </c>
      <c r="Q1290" s="43">
        <f t="shared" si="272"/>
        <v>3.1446541000000001E-2</v>
      </c>
      <c r="R1290" s="43">
        <f t="shared" si="273"/>
        <v>1.2281927743016759E-2</v>
      </c>
      <c r="S1290" s="43">
        <f t="shared" si="274"/>
        <v>0.68763102700000001</v>
      </c>
      <c r="T1290" s="43">
        <f t="shared" si="275"/>
        <v>5.3333333329999997</v>
      </c>
      <c r="U1290" s="43">
        <f t="shared" si="276"/>
        <v>6.5672131150000004</v>
      </c>
      <c r="V1290" s="43">
        <f t="shared" si="277"/>
        <v>2.2188896352201251E-3</v>
      </c>
      <c r="W1290" s="230">
        <f t="shared" si="278"/>
        <v>9.7222222222222238E-2</v>
      </c>
      <c r="X1290" s="43">
        <f t="shared" si="279"/>
        <v>0.41666666699999999</v>
      </c>
      <c r="Y1290" s="43">
        <v>56.413940400000001</v>
      </c>
      <c r="Z1290" s="43">
        <f t="shared" si="268"/>
        <v>0</v>
      </c>
      <c r="AA1290" s="43">
        <f t="shared" si="269"/>
        <v>85233</v>
      </c>
      <c r="AB1290" s="43">
        <f t="shared" si="270"/>
        <v>30359</v>
      </c>
      <c r="AC1290" s="43">
        <f t="shared" si="280"/>
        <v>1.7062811181712705E-2</v>
      </c>
      <c r="AD1290" s="43">
        <f t="shared" si="281"/>
        <v>0.87966620448387123</v>
      </c>
      <c r="AF1290" s="43">
        <v>16.403606460653439</v>
      </c>
      <c r="AG1290" s="43">
        <v>3.1446541000000001E-2</v>
      </c>
      <c r="AH1290" s="43">
        <v>0</v>
      </c>
      <c r="AI1290" s="43">
        <v>0.68763102700000001</v>
      </c>
      <c r="AJ1290" s="43">
        <v>5.3333333329999997</v>
      </c>
      <c r="AK1290" s="43">
        <v>6.5672131150000004</v>
      </c>
      <c r="AL1290" s="43">
        <v>0</v>
      </c>
      <c r="AM1290" s="230">
        <v>9.7222222222222238E-2</v>
      </c>
      <c r="AN1290" s="43">
        <v>0.41666666699999999</v>
      </c>
    </row>
    <row r="1291" spans="1:40" x14ac:dyDescent="0.25">
      <c r="A1291" s="134">
        <v>1281</v>
      </c>
      <c r="B1291" s="134" t="s">
        <v>204</v>
      </c>
      <c r="C1291" s="134" t="s">
        <v>205</v>
      </c>
      <c r="D1291" s="134" t="s">
        <v>62</v>
      </c>
      <c r="E1291" s="134">
        <v>2</v>
      </c>
      <c r="F1291" s="134">
        <v>5</v>
      </c>
      <c r="G1291" s="134">
        <v>67</v>
      </c>
      <c r="H1291" s="134">
        <v>806</v>
      </c>
      <c r="I1291" s="200">
        <v>0.10727473465700001</v>
      </c>
      <c r="J1291" s="134">
        <v>811</v>
      </c>
      <c r="K1291" s="134">
        <v>7560.0280214699997</v>
      </c>
      <c r="L1291" s="42">
        <v>0.90849601130299995</v>
      </c>
      <c r="M1291" s="42">
        <v>0.99752475247500005</v>
      </c>
      <c r="N1291" s="134">
        <v>0</v>
      </c>
      <c r="O1291" s="43" t="s">
        <v>666</v>
      </c>
      <c r="P1291" s="43">
        <f t="shared" si="271"/>
        <v>16.577053515009979</v>
      </c>
      <c r="Q1291" s="43">
        <f t="shared" si="272"/>
        <v>7.4122570000000002E-3</v>
      </c>
      <c r="R1291" s="43">
        <f t="shared" si="273"/>
        <v>8.1462459999999993E-3</v>
      </c>
      <c r="S1291" s="43">
        <f t="shared" si="274"/>
        <v>0.90849601099999999</v>
      </c>
      <c r="T1291" s="43">
        <f t="shared" si="275"/>
        <v>2.6452431289999998</v>
      </c>
      <c r="U1291" s="43">
        <f t="shared" si="276"/>
        <v>7.6045216509999998</v>
      </c>
      <c r="V1291" s="43">
        <f t="shared" si="277"/>
        <v>3.0865060000000001E-3</v>
      </c>
      <c r="W1291" s="230">
        <f t="shared" si="278"/>
        <v>1.0746653946519262E-2</v>
      </c>
      <c r="X1291" s="43">
        <f t="shared" si="279"/>
        <v>0.956704734</v>
      </c>
      <c r="Y1291" s="43">
        <v>55.873630370000001</v>
      </c>
      <c r="Z1291" s="43">
        <f t="shared" ref="Z1291:Z1354" si="282">IF(B1291="Berkeley",1,0)</f>
        <v>0</v>
      </c>
      <c r="AA1291" s="43">
        <f t="shared" ref="AA1291:AA1354" si="283">SUMIFS(F:F,B:B,B1291)</f>
        <v>85233</v>
      </c>
      <c r="AB1291" s="43">
        <f t="shared" ref="AB1291:AB1354" si="284">SUMIFS(E:E,B:B,B1291)</f>
        <v>30359</v>
      </c>
      <c r="AC1291" s="43">
        <f t="shared" si="280"/>
        <v>1.7062811181712705E-2</v>
      </c>
      <c r="AD1291" s="43">
        <f t="shared" si="281"/>
        <v>0.87966620448387123</v>
      </c>
      <c r="AF1291" s="43">
        <v>16.577053515009979</v>
      </c>
      <c r="AG1291" s="43">
        <v>7.4122570000000002E-3</v>
      </c>
      <c r="AH1291" s="43">
        <v>8.1462459999999993E-3</v>
      </c>
      <c r="AI1291" s="43">
        <v>0.90849601099999999</v>
      </c>
      <c r="AJ1291" s="43">
        <v>2.6452431289999998</v>
      </c>
      <c r="AK1291" s="43">
        <v>7.6045216509999998</v>
      </c>
      <c r="AL1291" s="43">
        <v>3.0865060000000001E-3</v>
      </c>
      <c r="AM1291" s="230">
        <v>1.0746653946519262E-2</v>
      </c>
      <c r="AN1291" s="43">
        <v>0.956704734</v>
      </c>
    </row>
    <row r="1292" spans="1:40" x14ac:dyDescent="0.25">
      <c r="A1292" s="134">
        <v>1282</v>
      </c>
      <c r="B1292" s="134" t="s">
        <v>204</v>
      </c>
      <c r="C1292" s="134" t="s">
        <v>205</v>
      </c>
      <c r="D1292" s="134" t="s">
        <v>62</v>
      </c>
      <c r="E1292" s="134">
        <v>0</v>
      </c>
      <c r="F1292" s="134">
        <v>0</v>
      </c>
      <c r="G1292" s="134">
        <v>39</v>
      </c>
      <c r="H1292" s="134">
        <v>281</v>
      </c>
      <c r="I1292" s="200">
        <v>6.2832910880099999E-2</v>
      </c>
      <c r="J1292" s="134">
        <v>281</v>
      </c>
      <c r="K1292" s="134">
        <v>4472.1786093299997</v>
      </c>
      <c r="L1292" s="42">
        <v>0.92404626102700005</v>
      </c>
      <c r="M1292" s="42">
        <v>1</v>
      </c>
      <c r="N1292" s="134">
        <v>0</v>
      </c>
      <c r="O1292" s="43" t="s">
        <v>666</v>
      </c>
      <c r="P1292" s="43">
        <f t="shared" ref="P1292:P1355" si="285">IF(OR(IFERROR(AF1292=0,TRUE),ISERROR(AF1292)),AVERAGEIFS(AF:AF,$B:$B,$B1292,AF:AF,"&gt;0"),AF1292)</f>
        <v>15.956602766237882</v>
      </c>
      <c r="Q1292" s="43">
        <f t="shared" ref="Q1292:Q1355" si="286">IF(OR(IFERROR(AG1292=0,TRUE),ISERROR(AG1292)),AVERAGEIFS(AG:AG,$B:$B,$B1292,AG:AG,"&gt;0"),AG1292)</f>
        <v>5.5556650000000004E-3</v>
      </c>
      <c r="R1292" s="43">
        <f t="shared" ref="R1292:R1355" si="287">IF(OR(IFERROR(AH1292=0,TRUE),ISERROR(AH1292)),AVERAGEIFS(AH:AH,$B:$B,$B1292,AH:AH,"&gt;0"),AH1292)</f>
        <v>8.1213369999999993E-3</v>
      </c>
      <c r="S1292" s="43">
        <f t="shared" ref="S1292:S1355" si="288">IF(OR(IFERROR(AI1292=0,TRUE),ISERROR(AI1292)),AVERAGEIFS(AI:AI,$B:$B,$B1292,AI:AI,"&gt;0"),AI1292)</f>
        <v>0.92404626099999998</v>
      </c>
      <c r="T1292" s="43">
        <f t="shared" ref="T1292:T1355" si="289">IF(OR(IFERROR(AJ1292=0,TRUE),ISERROR(AJ1292)),AVERAGEIFS(AJ:AJ,$B:$B,$B1292,AJ:AJ,"&gt;0"),AJ1292)</f>
        <v>2.986698912</v>
      </c>
      <c r="U1292" s="43">
        <f t="shared" ref="U1292:U1355" si="290">IF(OR(IFERROR(AK1292=0,TRUE),ISERROR(AK1292)),AVERAGEIFS(AK:AK,$B:$B,$B1292,AK:AK,"&gt;0"),AK1292)</f>
        <v>7.8824709159999999</v>
      </c>
      <c r="V1292" s="43">
        <f t="shared" ref="V1292:V1355" si="291">IF(OR(IFERROR(AL1292=0,TRUE),ISERROR(AL1292)),AVERAGEIFS(AL:AL,$B:$B,$B1292,AL:AL,"&gt;0"),AL1292)</f>
        <v>2.1909939999999999E-3</v>
      </c>
      <c r="W1292" s="230">
        <f t="shared" ref="W1292:W1355" si="292">IF(OR(IFERROR(AM1292=0,TRUE),ISERROR(AM1292)),AVERAGEIFS(AM:AM,$B:$B,$B1292,AM:AM,"&gt;0"),AM1292)</f>
        <v>3.6264732547597457E-3</v>
      </c>
      <c r="X1292" s="43">
        <f t="shared" ref="X1292:X1355" si="293">IF(OR(IFERROR(AN1292=0,TRUE),ISERROR(AN1292)),AVERAGEIFS(AN:AN,$B:$B,$B1292,AN:AN,"&gt;0"),AN1292)</f>
        <v>0.95648232099999997</v>
      </c>
      <c r="Y1292" s="43">
        <v>56.387983380000001</v>
      </c>
      <c r="Z1292" s="43">
        <f t="shared" si="282"/>
        <v>0</v>
      </c>
      <c r="AA1292" s="43">
        <f t="shared" si="283"/>
        <v>85233</v>
      </c>
      <c r="AB1292" s="43">
        <f t="shared" si="284"/>
        <v>30359</v>
      </c>
      <c r="AC1292" s="43">
        <f t="shared" ref="AC1292:AC1355" si="294">AVERAGEIFS(Q:Q,B:B,B1292,N:N,0,Q:Q,"&gt;0")</f>
        <v>1.7062811181712705E-2</v>
      </c>
      <c r="AD1292" s="43">
        <f t="shared" ref="AD1292:AD1355" si="295">AVERAGEIFS(S:S,B:B,B1292,N:N,0,S:S,"&gt;0")</f>
        <v>0.87966620448387123</v>
      </c>
      <c r="AF1292" s="43">
        <v>15.956602766237882</v>
      </c>
      <c r="AG1292" s="43">
        <v>5.5556650000000004E-3</v>
      </c>
      <c r="AH1292" s="43">
        <v>8.1213369999999993E-3</v>
      </c>
      <c r="AI1292" s="43">
        <v>0.92404626099999998</v>
      </c>
      <c r="AJ1292" s="43">
        <v>2.986698912</v>
      </c>
      <c r="AK1292" s="43">
        <v>7.8824709159999999</v>
      </c>
      <c r="AL1292" s="43">
        <v>2.1909939999999999E-3</v>
      </c>
      <c r="AM1292" s="230">
        <v>3.6264732547597457E-3</v>
      </c>
      <c r="AN1292" s="43">
        <v>0.95648232099999997</v>
      </c>
    </row>
    <row r="1293" spans="1:40" x14ac:dyDescent="0.25">
      <c r="A1293" s="134">
        <v>1283</v>
      </c>
      <c r="B1293" s="134" t="s">
        <v>204</v>
      </c>
      <c r="C1293" s="134" t="s">
        <v>205</v>
      </c>
      <c r="D1293" s="134" t="s">
        <v>62</v>
      </c>
      <c r="E1293" s="134">
        <v>300</v>
      </c>
      <c r="F1293" s="134">
        <v>784</v>
      </c>
      <c r="G1293" s="134">
        <v>70</v>
      </c>
      <c r="H1293" s="134">
        <v>0</v>
      </c>
      <c r="I1293" s="200">
        <v>0.11195865344399999</v>
      </c>
      <c r="J1293" s="134">
        <v>784</v>
      </c>
      <c r="K1293" s="134">
        <v>7002.5851141000003</v>
      </c>
      <c r="L1293" s="42">
        <v>0.86652692072199999</v>
      </c>
      <c r="M1293" s="42">
        <v>0</v>
      </c>
      <c r="N1293" s="134">
        <v>0</v>
      </c>
      <c r="O1293" s="43" t="s">
        <v>666</v>
      </c>
      <c r="P1293" s="43">
        <f t="shared" si="285"/>
        <v>18.913709517428348</v>
      </c>
      <c r="Q1293" s="43">
        <f t="shared" si="286"/>
        <v>2.8286777999999999E-2</v>
      </c>
      <c r="R1293" s="43">
        <f t="shared" si="287"/>
        <v>1.2137485E-2</v>
      </c>
      <c r="S1293" s="43">
        <f t="shared" si="288"/>
        <v>0.86652692099999995</v>
      </c>
      <c r="T1293" s="43">
        <f t="shared" si="289"/>
        <v>2.5088795610000001</v>
      </c>
      <c r="U1293" s="43">
        <f t="shared" si="290"/>
        <v>11.83521917</v>
      </c>
      <c r="V1293" s="43">
        <f t="shared" si="291"/>
        <v>1.8425659999999999E-3</v>
      </c>
      <c r="W1293" s="230">
        <f t="shared" si="292"/>
        <v>6.7389597051893915E-2</v>
      </c>
      <c r="X1293" s="43">
        <f t="shared" si="293"/>
        <v>0.87808856400000002</v>
      </c>
      <c r="Y1293" s="43">
        <v>81.360301919999998</v>
      </c>
      <c r="Z1293" s="43">
        <f t="shared" si="282"/>
        <v>0</v>
      </c>
      <c r="AA1293" s="43">
        <f t="shared" si="283"/>
        <v>85233</v>
      </c>
      <c r="AB1293" s="43">
        <f t="shared" si="284"/>
        <v>30359</v>
      </c>
      <c r="AC1293" s="43">
        <f t="shared" si="294"/>
        <v>1.7062811181712705E-2</v>
      </c>
      <c r="AD1293" s="43">
        <f t="shared" si="295"/>
        <v>0.87966620448387123</v>
      </c>
      <c r="AF1293" s="43">
        <v>18.913709517428348</v>
      </c>
      <c r="AG1293" s="43">
        <v>2.8286777999999999E-2</v>
      </c>
      <c r="AH1293" s="43">
        <v>1.2137485E-2</v>
      </c>
      <c r="AI1293" s="43">
        <v>0.86652692099999995</v>
      </c>
      <c r="AJ1293" s="43">
        <v>2.5088795610000001</v>
      </c>
      <c r="AK1293" s="43">
        <v>11.83521917</v>
      </c>
      <c r="AL1293" s="43">
        <v>1.8425659999999999E-3</v>
      </c>
      <c r="AM1293" s="230">
        <v>6.7389597051893915E-2</v>
      </c>
      <c r="AN1293" s="43">
        <v>0.87808856400000002</v>
      </c>
    </row>
    <row r="1294" spans="1:40" x14ac:dyDescent="0.25">
      <c r="A1294" s="134">
        <v>1284</v>
      </c>
      <c r="B1294" s="134" t="s">
        <v>204</v>
      </c>
      <c r="C1294" s="134" t="s">
        <v>205</v>
      </c>
      <c r="D1294" s="134" t="s">
        <v>62</v>
      </c>
      <c r="E1294" s="134">
        <v>135</v>
      </c>
      <c r="F1294" s="134">
        <v>353</v>
      </c>
      <c r="G1294" s="134">
        <v>24</v>
      </c>
      <c r="H1294" s="134">
        <v>65</v>
      </c>
      <c r="I1294" s="200">
        <v>3.7583124563200003E-2</v>
      </c>
      <c r="J1294" s="134">
        <v>418</v>
      </c>
      <c r="K1294" s="134">
        <v>11122.013000700001</v>
      </c>
      <c r="L1294" s="42">
        <v>0.84938441600500003</v>
      </c>
      <c r="M1294" s="42">
        <v>0.32500000000000001</v>
      </c>
      <c r="N1294" s="134">
        <v>0</v>
      </c>
      <c r="O1294" s="43" t="s">
        <v>666</v>
      </c>
      <c r="P1294" s="43">
        <f t="shared" si="285"/>
        <v>16.841209286126233</v>
      </c>
      <c r="Q1294" s="43">
        <f t="shared" si="286"/>
        <v>2.4164372E-2</v>
      </c>
      <c r="R1294" s="43">
        <f t="shared" si="287"/>
        <v>1.1731195E-2</v>
      </c>
      <c r="S1294" s="43">
        <f t="shared" si="288"/>
        <v>0.84938441600000003</v>
      </c>
      <c r="T1294" s="43">
        <f t="shared" si="289"/>
        <v>2.2953634799999998</v>
      </c>
      <c r="U1294" s="43">
        <f t="shared" si="290"/>
        <v>9.7283346700000006</v>
      </c>
      <c r="V1294" s="43">
        <f t="shared" si="291"/>
        <v>3.260715E-3</v>
      </c>
      <c r="W1294" s="230">
        <f t="shared" si="292"/>
        <v>4.5224705826756771E-2</v>
      </c>
      <c r="X1294" s="43">
        <f t="shared" si="293"/>
        <v>0.87084731299999996</v>
      </c>
      <c r="Y1294" s="43">
        <v>80.606434680000007</v>
      </c>
      <c r="Z1294" s="43">
        <f t="shared" si="282"/>
        <v>0</v>
      </c>
      <c r="AA1294" s="43">
        <f t="shared" si="283"/>
        <v>85233</v>
      </c>
      <c r="AB1294" s="43">
        <f t="shared" si="284"/>
        <v>30359</v>
      </c>
      <c r="AC1294" s="43">
        <f t="shared" si="294"/>
        <v>1.7062811181712705E-2</v>
      </c>
      <c r="AD1294" s="43">
        <f t="shared" si="295"/>
        <v>0.87966620448387123</v>
      </c>
      <c r="AF1294" s="43">
        <v>16.841209286126233</v>
      </c>
      <c r="AG1294" s="43">
        <v>2.4164372E-2</v>
      </c>
      <c r="AH1294" s="43">
        <v>1.1731195E-2</v>
      </c>
      <c r="AI1294" s="43">
        <v>0.84938441600000003</v>
      </c>
      <c r="AJ1294" s="43">
        <v>2.2953634799999998</v>
      </c>
      <c r="AK1294" s="43">
        <v>9.7283346700000006</v>
      </c>
      <c r="AL1294" s="43">
        <v>3.260715E-3</v>
      </c>
      <c r="AM1294" s="230">
        <v>4.5224705826756771E-2</v>
      </c>
      <c r="AN1294" s="43">
        <v>0.87084731299999996</v>
      </c>
    </row>
    <row r="1295" spans="1:40" x14ac:dyDescent="0.25">
      <c r="A1295" s="134">
        <v>1285</v>
      </c>
      <c r="B1295" s="134" t="s">
        <v>204</v>
      </c>
      <c r="C1295" s="134" t="s">
        <v>205</v>
      </c>
      <c r="D1295" s="134" t="s">
        <v>62</v>
      </c>
      <c r="E1295" s="134">
        <v>139</v>
      </c>
      <c r="F1295" s="134">
        <v>363</v>
      </c>
      <c r="G1295" s="134">
        <v>62</v>
      </c>
      <c r="H1295" s="134">
        <v>66</v>
      </c>
      <c r="I1295" s="200">
        <v>6.9448915637499997E-2</v>
      </c>
      <c r="J1295" s="134">
        <v>429</v>
      </c>
      <c r="K1295" s="134">
        <v>6177.2022797199998</v>
      </c>
      <c r="L1295" s="42">
        <v>0.86185356787900003</v>
      </c>
      <c r="M1295" s="42">
        <v>0.32195121951200001</v>
      </c>
      <c r="N1295" s="134">
        <v>0</v>
      </c>
      <c r="O1295" s="43" t="s">
        <v>666</v>
      </c>
      <c r="P1295" s="43">
        <f t="shared" si="285"/>
        <v>17.221674274670026</v>
      </c>
      <c r="Q1295" s="43">
        <f t="shared" si="286"/>
        <v>2.3230902000000001E-2</v>
      </c>
      <c r="R1295" s="43">
        <f t="shared" si="287"/>
        <v>1.0970148000000001E-2</v>
      </c>
      <c r="S1295" s="43">
        <f t="shared" si="288"/>
        <v>0.86185356800000001</v>
      </c>
      <c r="T1295" s="43">
        <f t="shared" si="289"/>
        <v>2.3395784540000002</v>
      </c>
      <c r="U1295" s="43">
        <f t="shared" si="290"/>
        <v>10.07179172</v>
      </c>
      <c r="V1295" s="43">
        <f t="shared" si="291"/>
        <v>1.9766480000000001E-3</v>
      </c>
      <c r="W1295" s="230">
        <f t="shared" si="292"/>
        <v>4.3578192516318844E-2</v>
      </c>
      <c r="X1295" s="43">
        <f t="shared" si="293"/>
        <v>0.88241243000000003</v>
      </c>
      <c r="Y1295" s="43">
        <v>82.398178099999996</v>
      </c>
      <c r="Z1295" s="43">
        <f t="shared" si="282"/>
        <v>0</v>
      </c>
      <c r="AA1295" s="43">
        <f t="shared" si="283"/>
        <v>85233</v>
      </c>
      <c r="AB1295" s="43">
        <f t="shared" si="284"/>
        <v>30359</v>
      </c>
      <c r="AC1295" s="43">
        <f t="shared" si="294"/>
        <v>1.7062811181712705E-2</v>
      </c>
      <c r="AD1295" s="43">
        <f t="shared" si="295"/>
        <v>0.87966620448387123</v>
      </c>
      <c r="AF1295" s="43">
        <v>17.221674274670026</v>
      </c>
      <c r="AG1295" s="43">
        <v>2.3230902000000001E-2</v>
      </c>
      <c r="AH1295" s="43">
        <v>1.0970148000000001E-2</v>
      </c>
      <c r="AI1295" s="43">
        <v>0.86185356800000001</v>
      </c>
      <c r="AJ1295" s="43">
        <v>2.3395784540000002</v>
      </c>
      <c r="AK1295" s="43">
        <v>10.07179172</v>
      </c>
      <c r="AL1295" s="43">
        <v>1.9766480000000001E-3</v>
      </c>
      <c r="AM1295" s="230">
        <v>4.3578192516318844E-2</v>
      </c>
      <c r="AN1295" s="43">
        <v>0.88241243000000003</v>
      </c>
    </row>
    <row r="1296" spans="1:40" x14ac:dyDescent="0.25">
      <c r="A1296" s="134">
        <v>1286</v>
      </c>
      <c r="B1296" s="134" t="s">
        <v>204</v>
      </c>
      <c r="C1296" s="134" t="s">
        <v>205</v>
      </c>
      <c r="D1296" s="134" t="s">
        <v>62</v>
      </c>
      <c r="E1296" s="134">
        <v>217</v>
      </c>
      <c r="F1296" s="134">
        <v>567</v>
      </c>
      <c r="G1296" s="134">
        <v>112</v>
      </c>
      <c r="H1296" s="134">
        <v>0</v>
      </c>
      <c r="I1296" s="200">
        <v>0.179806096202</v>
      </c>
      <c r="J1296" s="134">
        <v>567</v>
      </c>
      <c r="K1296" s="134">
        <v>3153.3969758399999</v>
      </c>
      <c r="L1296" s="42">
        <v>0.85481765917700003</v>
      </c>
      <c r="M1296" s="42">
        <v>0</v>
      </c>
      <c r="N1296" s="134">
        <v>0</v>
      </c>
      <c r="O1296" s="43" t="s">
        <v>666</v>
      </c>
      <c r="P1296" s="43">
        <f t="shared" si="285"/>
        <v>17.050090162957979</v>
      </c>
      <c r="Q1296" s="43">
        <f t="shared" si="286"/>
        <v>2.9165903E-2</v>
      </c>
      <c r="R1296" s="43">
        <f t="shared" si="287"/>
        <v>1.3536688999999999E-2</v>
      </c>
      <c r="S1296" s="43">
        <f t="shared" si="288"/>
        <v>0.85481765899999995</v>
      </c>
      <c r="T1296" s="43">
        <f t="shared" si="289"/>
        <v>2.5980079680000001</v>
      </c>
      <c r="U1296" s="43">
        <f t="shared" si="290"/>
        <v>10.43774994</v>
      </c>
      <c r="V1296" s="43">
        <f t="shared" si="291"/>
        <v>1.929287E-3</v>
      </c>
      <c r="W1296" s="230">
        <f t="shared" si="292"/>
        <v>7.7968376462693445E-2</v>
      </c>
      <c r="X1296" s="43">
        <f t="shared" si="293"/>
        <v>0.86591452400000002</v>
      </c>
      <c r="Y1296" s="43">
        <v>56.378685599999997</v>
      </c>
      <c r="Z1296" s="43">
        <f t="shared" si="282"/>
        <v>0</v>
      </c>
      <c r="AA1296" s="43">
        <f t="shared" si="283"/>
        <v>85233</v>
      </c>
      <c r="AB1296" s="43">
        <f t="shared" si="284"/>
        <v>30359</v>
      </c>
      <c r="AC1296" s="43">
        <f t="shared" si="294"/>
        <v>1.7062811181712705E-2</v>
      </c>
      <c r="AD1296" s="43">
        <f t="shared" si="295"/>
        <v>0.87966620448387123</v>
      </c>
      <c r="AF1296" s="43">
        <v>17.050090162957979</v>
      </c>
      <c r="AG1296" s="43">
        <v>2.9165903E-2</v>
      </c>
      <c r="AH1296" s="43">
        <v>1.3536688999999999E-2</v>
      </c>
      <c r="AI1296" s="43">
        <v>0.85481765899999995</v>
      </c>
      <c r="AJ1296" s="43">
        <v>2.5980079680000001</v>
      </c>
      <c r="AK1296" s="43">
        <v>10.43774994</v>
      </c>
      <c r="AL1296" s="43">
        <v>1.929287E-3</v>
      </c>
      <c r="AM1296" s="230">
        <v>7.7968376462693445E-2</v>
      </c>
      <c r="AN1296" s="43">
        <v>0.86591452400000002</v>
      </c>
    </row>
    <row r="1297" spans="1:40" x14ac:dyDescent="0.25">
      <c r="A1297" s="134">
        <v>1287</v>
      </c>
      <c r="B1297" s="134" t="s">
        <v>204</v>
      </c>
      <c r="C1297" s="134" t="s">
        <v>205</v>
      </c>
      <c r="D1297" s="134" t="s">
        <v>62</v>
      </c>
      <c r="E1297" s="134">
        <v>245</v>
      </c>
      <c r="F1297" s="134">
        <v>641</v>
      </c>
      <c r="G1297" s="134">
        <v>74</v>
      </c>
      <c r="H1297" s="134">
        <v>0</v>
      </c>
      <c r="I1297" s="200">
        <v>0.118217200885</v>
      </c>
      <c r="J1297" s="134">
        <v>641</v>
      </c>
      <c r="K1297" s="134">
        <v>5422.2227831600003</v>
      </c>
      <c r="L1297" s="42">
        <v>0.86237914928799997</v>
      </c>
      <c r="M1297" s="42">
        <v>0</v>
      </c>
      <c r="N1297" s="134">
        <v>0</v>
      </c>
      <c r="O1297" s="43" t="s">
        <v>666</v>
      </c>
      <c r="P1297" s="43">
        <f t="shared" si="285"/>
        <v>17.951337325581292</v>
      </c>
      <c r="Q1297" s="43">
        <f t="shared" si="286"/>
        <v>2.3593519E-2</v>
      </c>
      <c r="R1297" s="43">
        <f t="shared" si="287"/>
        <v>1.2791435E-2</v>
      </c>
      <c r="S1297" s="43">
        <f t="shared" si="288"/>
        <v>0.86237914900000001</v>
      </c>
      <c r="T1297" s="43">
        <f t="shared" si="289"/>
        <v>2.4256680469999998</v>
      </c>
      <c r="U1297" s="43">
        <f t="shared" si="290"/>
        <v>10.718614779999999</v>
      </c>
      <c r="V1297" s="43">
        <f t="shared" si="291"/>
        <v>1.9716529999999999E-3</v>
      </c>
      <c r="W1297" s="230">
        <f t="shared" si="292"/>
        <v>5.9595997172724229E-2</v>
      </c>
      <c r="X1297" s="43">
        <f t="shared" si="293"/>
        <v>0.88039879499999996</v>
      </c>
      <c r="Y1297" s="43">
        <v>56.482066019999998</v>
      </c>
      <c r="Z1297" s="43">
        <f t="shared" si="282"/>
        <v>0</v>
      </c>
      <c r="AA1297" s="43">
        <f t="shared" si="283"/>
        <v>85233</v>
      </c>
      <c r="AB1297" s="43">
        <f t="shared" si="284"/>
        <v>30359</v>
      </c>
      <c r="AC1297" s="43">
        <f t="shared" si="294"/>
        <v>1.7062811181712705E-2</v>
      </c>
      <c r="AD1297" s="43">
        <f t="shared" si="295"/>
        <v>0.87966620448387123</v>
      </c>
      <c r="AF1297" s="43">
        <v>17.951337325581292</v>
      </c>
      <c r="AG1297" s="43">
        <v>2.3593519E-2</v>
      </c>
      <c r="AH1297" s="43">
        <v>1.2791435E-2</v>
      </c>
      <c r="AI1297" s="43">
        <v>0.86237914900000001</v>
      </c>
      <c r="AJ1297" s="43">
        <v>2.4256680469999998</v>
      </c>
      <c r="AK1297" s="43">
        <v>10.718614779999999</v>
      </c>
      <c r="AL1297" s="43">
        <v>1.9716529999999999E-3</v>
      </c>
      <c r="AM1297" s="230">
        <v>5.9595997172724229E-2</v>
      </c>
      <c r="AN1297" s="43">
        <v>0.88039879499999996</v>
      </c>
    </row>
    <row r="1298" spans="1:40" x14ac:dyDescent="0.25">
      <c r="A1298" s="134">
        <v>1288</v>
      </c>
      <c r="B1298" s="134" t="s">
        <v>204</v>
      </c>
      <c r="C1298" s="134" t="s">
        <v>205</v>
      </c>
      <c r="D1298" s="134" t="s">
        <v>62</v>
      </c>
      <c r="E1298" s="134">
        <v>0</v>
      </c>
      <c r="F1298" s="134">
        <v>0</v>
      </c>
      <c r="G1298" s="134">
        <v>34</v>
      </c>
      <c r="H1298" s="134">
        <v>460</v>
      </c>
      <c r="I1298" s="200">
        <v>5.53374586428E-2</v>
      </c>
      <c r="J1298" s="134">
        <v>460</v>
      </c>
      <c r="K1298" s="134">
        <v>8312.6332737699995</v>
      </c>
      <c r="L1298" s="42">
        <v>0.91008659135100001</v>
      </c>
      <c r="M1298" s="42">
        <v>1</v>
      </c>
      <c r="N1298" s="134">
        <v>0</v>
      </c>
      <c r="O1298" s="43" t="s">
        <v>666</v>
      </c>
      <c r="P1298" s="43">
        <f t="shared" si="285"/>
        <v>15.721497381687142</v>
      </c>
      <c r="Q1298" s="43">
        <f t="shared" si="286"/>
        <v>9.0585079999999998E-3</v>
      </c>
      <c r="R1298" s="43">
        <f t="shared" si="287"/>
        <v>8.3505290000000006E-3</v>
      </c>
      <c r="S1298" s="43">
        <f t="shared" si="288"/>
        <v>0.910086591</v>
      </c>
      <c r="T1298" s="43">
        <f t="shared" si="289"/>
        <v>2.742774566</v>
      </c>
      <c r="U1298" s="43">
        <f t="shared" si="290"/>
        <v>7.5555827290000002</v>
      </c>
      <c r="V1298" s="43">
        <f t="shared" si="291"/>
        <v>2.7744750000000002E-3</v>
      </c>
      <c r="W1298" s="230">
        <f t="shared" si="292"/>
        <v>8.4225128814902905E-3</v>
      </c>
      <c r="X1298" s="43">
        <f t="shared" si="293"/>
        <v>0.94857312699999996</v>
      </c>
      <c r="Y1298" s="43">
        <v>56.387200159999999</v>
      </c>
      <c r="Z1298" s="43">
        <f t="shared" si="282"/>
        <v>0</v>
      </c>
      <c r="AA1298" s="43">
        <f t="shared" si="283"/>
        <v>85233</v>
      </c>
      <c r="AB1298" s="43">
        <f t="shared" si="284"/>
        <v>30359</v>
      </c>
      <c r="AC1298" s="43">
        <f t="shared" si="294"/>
        <v>1.7062811181712705E-2</v>
      </c>
      <c r="AD1298" s="43">
        <f t="shared" si="295"/>
        <v>0.87966620448387123</v>
      </c>
      <c r="AF1298" s="43">
        <v>15.721497381687142</v>
      </c>
      <c r="AG1298" s="43">
        <v>9.0585079999999998E-3</v>
      </c>
      <c r="AH1298" s="43">
        <v>8.3505290000000006E-3</v>
      </c>
      <c r="AI1298" s="43">
        <v>0.910086591</v>
      </c>
      <c r="AJ1298" s="43">
        <v>2.742774566</v>
      </c>
      <c r="AK1298" s="43">
        <v>7.5555827290000002</v>
      </c>
      <c r="AL1298" s="43">
        <v>2.7744750000000002E-3</v>
      </c>
      <c r="AM1298" s="230">
        <v>8.4225128814902905E-3</v>
      </c>
      <c r="AN1298" s="43">
        <v>0.94857312699999996</v>
      </c>
    </row>
    <row r="1299" spans="1:40" x14ac:dyDescent="0.25">
      <c r="A1299" s="134">
        <v>1289</v>
      </c>
      <c r="B1299" s="134" t="s">
        <v>204</v>
      </c>
      <c r="C1299" s="134" t="s">
        <v>205</v>
      </c>
      <c r="D1299" s="134" t="s">
        <v>62</v>
      </c>
      <c r="E1299" s="134">
        <v>0</v>
      </c>
      <c r="F1299" s="134">
        <v>0</v>
      </c>
      <c r="G1299" s="134">
        <v>50</v>
      </c>
      <c r="H1299" s="134">
        <v>663</v>
      </c>
      <c r="I1299" s="200">
        <v>7.9939862077099993E-2</v>
      </c>
      <c r="J1299" s="134">
        <v>663</v>
      </c>
      <c r="K1299" s="134">
        <v>8293.7345996500007</v>
      </c>
      <c r="L1299" s="42">
        <v>0.91901399518000004</v>
      </c>
      <c r="M1299" s="42">
        <v>1</v>
      </c>
      <c r="N1299" s="134">
        <v>0</v>
      </c>
      <c r="O1299" s="43" t="s">
        <v>666</v>
      </c>
      <c r="P1299" s="43">
        <f t="shared" si="285"/>
        <v>15.871964879743855</v>
      </c>
      <c r="Q1299" s="43">
        <f t="shared" si="286"/>
        <v>6.9172549999999998E-3</v>
      </c>
      <c r="R1299" s="43">
        <f t="shared" si="287"/>
        <v>8.3040890000000006E-3</v>
      </c>
      <c r="S1299" s="43">
        <f t="shared" si="288"/>
        <v>0.91901399500000003</v>
      </c>
      <c r="T1299" s="43">
        <f t="shared" si="289"/>
        <v>2.8947768759999999</v>
      </c>
      <c r="U1299" s="43">
        <f t="shared" si="290"/>
        <v>7.8721988549999997</v>
      </c>
      <c r="V1299" s="43">
        <f t="shared" si="291"/>
        <v>3.0789229999999999E-3</v>
      </c>
      <c r="W1299" s="230">
        <f t="shared" si="292"/>
        <v>5.9183743286237217E-3</v>
      </c>
      <c r="X1299" s="43">
        <f t="shared" si="293"/>
        <v>0.96130819999999995</v>
      </c>
      <c r="Y1299" s="43">
        <v>56.390585139999999</v>
      </c>
      <c r="Z1299" s="43">
        <f t="shared" si="282"/>
        <v>0</v>
      </c>
      <c r="AA1299" s="43">
        <f t="shared" si="283"/>
        <v>85233</v>
      </c>
      <c r="AB1299" s="43">
        <f t="shared" si="284"/>
        <v>30359</v>
      </c>
      <c r="AC1299" s="43">
        <f t="shared" si="294"/>
        <v>1.7062811181712705E-2</v>
      </c>
      <c r="AD1299" s="43">
        <f t="shared" si="295"/>
        <v>0.87966620448387123</v>
      </c>
      <c r="AF1299" s="43">
        <v>15.871964879743855</v>
      </c>
      <c r="AG1299" s="43">
        <v>6.9172549999999998E-3</v>
      </c>
      <c r="AH1299" s="43">
        <v>8.3040890000000006E-3</v>
      </c>
      <c r="AI1299" s="43">
        <v>0.91901399500000003</v>
      </c>
      <c r="AJ1299" s="43">
        <v>2.8947768759999999</v>
      </c>
      <c r="AK1299" s="43">
        <v>7.8721988549999997</v>
      </c>
      <c r="AL1299" s="43">
        <v>3.0789229999999999E-3</v>
      </c>
      <c r="AM1299" s="230">
        <v>5.9183743286237217E-3</v>
      </c>
      <c r="AN1299" s="43">
        <v>0.96130819999999995</v>
      </c>
    </row>
    <row r="1300" spans="1:40" x14ac:dyDescent="0.25">
      <c r="A1300" s="134">
        <v>1290</v>
      </c>
      <c r="B1300" s="134" t="s">
        <v>204</v>
      </c>
      <c r="C1300" s="134" t="s">
        <v>205</v>
      </c>
      <c r="D1300" s="134" t="s">
        <v>62</v>
      </c>
      <c r="E1300" s="134">
        <v>172</v>
      </c>
      <c r="F1300" s="134">
        <v>508</v>
      </c>
      <c r="G1300" s="134">
        <v>274</v>
      </c>
      <c r="H1300" s="134">
        <v>0</v>
      </c>
      <c r="I1300" s="200">
        <v>0.42639051671099998</v>
      </c>
      <c r="J1300" s="134">
        <v>508</v>
      </c>
      <c r="K1300" s="134">
        <v>1191.3961030800001</v>
      </c>
      <c r="L1300" s="42">
        <v>0.92825682807800003</v>
      </c>
      <c r="M1300" s="42">
        <v>0</v>
      </c>
      <c r="N1300" s="134">
        <v>0</v>
      </c>
      <c r="O1300" s="43" t="s">
        <v>665</v>
      </c>
      <c r="P1300" s="43">
        <f t="shared" si="285"/>
        <v>21.772459940851764</v>
      </c>
      <c r="Q1300" s="43">
        <f t="shared" si="286"/>
        <v>2.6962956E-2</v>
      </c>
      <c r="R1300" s="43">
        <f t="shared" si="287"/>
        <v>9.7071629999999996E-3</v>
      </c>
      <c r="S1300" s="43">
        <f t="shared" si="288"/>
        <v>0.92825682799999998</v>
      </c>
      <c r="T1300" s="43">
        <f t="shared" si="289"/>
        <v>5.1334196890000001</v>
      </c>
      <c r="U1300" s="43">
        <f t="shared" si="290"/>
        <v>19.62058708</v>
      </c>
      <c r="V1300" s="43">
        <f t="shared" si="291"/>
        <v>6.4527200000000001E-4</v>
      </c>
      <c r="W1300" s="230">
        <f t="shared" si="292"/>
        <v>8.8187215004731992E-2</v>
      </c>
      <c r="X1300" s="43">
        <f t="shared" si="293"/>
        <v>0.87219306500000005</v>
      </c>
      <c r="Y1300" s="43">
        <v>3.8149033569999999</v>
      </c>
      <c r="Z1300" s="43">
        <f t="shared" si="282"/>
        <v>0</v>
      </c>
      <c r="AA1300" s="43">
        <f t="shared" si="283"/>
        <v>85233</v>
      </c>
      <c r="AB1300" s="43">
        <f t="shared" si="284"/>
        <v>30359</v>
      </c>
      <c r="AC1300" s="43">
        <f t="shared" si="294"/>
        <v>1.7062811181712705E-2</v>
      </c>
      <c r="AD1300" s="43">
        <f t="shared" si="295"/>
        <v>0.87966620448387123</v>
      </c>
      <c r="AF1300" s="43">
        <v>21.772459940851764</v>
      </c>
      <c r="AG1300" s="43">
        <v>2.6962956E-2</v>
      </c>
      <c r="AH1300" s="43">
        <v>9.7071629999999996E-3</v>
      </c>
      <c r="AI1300" s="43">
        <v>0.92825682799999998</v>
      </c>
      <c r="AJ1300" s="43">
        <v>5.1334196890000001</v>
      </c>
      <c r="AK1300" s="43">
        <v>19.62058708</v>
      </c>
      <c r="AL1300" s="43">
        <v>6.4527200000000001E-4</v>
      </c>
      <c r="AM1300" s="230">
        <v>8.8187215004731992E-2</v>
      </c>
      <c r="AN1300" s="43">
        <v>0.87219306500000005</v>
      </c>
    </row>
    <row r="1301" spans="1:40" x14ac:dyDescent="0.25">
      <c r="A1301" s="134">
        <v>1291</v>
      </c>
      <c r="B1301" s="134" t="s">
        <v>204</v>
      </c>
      <c r="C1301" s="134" t="s">
        <v>205</v>
      </c>
      <c r="D1301" s="134" t="s">
        <v>62</v>
      </c>
      <c r="E1301" s="134">
        <v>102</v>
      </c>
      <c r="F1301" s="134">
        <v>302</v>
      </c>
      <c r="G1301" s="134">
        <v>62</v>
      </c>
      <c r="H1301" s="134">
        <v>283</v>
      </c>
      <c r="I1301" s="200">
        <v>9.6614172802800005E-2</v>
      </c>
      <c r="J1301" s="134">
        <v>585</v>
      </c>
      <c r="K1301" s="134">
        <v>6055.01225161</v>
      </c>
      <c r="L1301" s="42">
        <v>0.87427601095200003</v>
      </c>
      <c r="M1301" s="42">
        <v>0.73506493506500004</v>
      </c>
      <c r="N1301" s="134">
        <v>0</v>
      </c>
      <c r="O1301" s="43" t="s">
        <v>666</v>
      </c>
      <c r="P1301" s="43">
        <f t="shared" si="285"/>
        <v>18.05915373762998</v>
      </c>
      <c r="Q1301" s="43">
        <f t="shared" si="286"/>
        <v>9.5237470000000008E-3</v>
      </c>
      <c r="R1301" s="43">
        <f t="shared" si="287"/>
        <v>9.451348E-3</v>
      </c>
      <c r="S1301" s="43">
        <f t="shared" si="288"/>
        <v>0.87427601099999996</v>
      </c>
      <c r="T1301" s="43">
        <f t="shared" si="289"/>
        <v>2.7353351959999999</v>
      </c>
      <c r="U1301" s="43">
        <f t="shared" si="290"/>
        <v>9.2607343750000002</v>
      </c>
      <c r="V1301" s="43">
        <f t="shared" si="291"/>
        <v>2.7689469999999999E-3</v>
      </c>
      <c r="W1301" s="230">
        <f t="shared" si="292"/>
        <v>2.4168461354391005E-2</v>
      </c>
      <c r="X1301" s="43">
        <f t="shared" si="293"/>
        <v>0.89713875499999995</v>
      </c>
      <c r="Y1301" s="43">
        <v>85.590836969999998</v>
      </c>
      <c r="Z1301" s="43">
        <f t="shared" si="282"/>
        <v>0</v>
      </c>
      <c r="AA1301" s="43">
        <f t="shared" si="283"/>
        <v>85233</v>
      </c>
      <c r="AB1301" s="43">
        <f t="shared" si="284"/>
        <v>30359</v>
      </c>
      <c r="AC1301" s="43">
        <f t="shared" si="294"/>
        <v>1.7062811181712705E-2</v>
      </c>
      <c r="AD1301" s="43">
        <f t="shared" si="295"/>
        <v>0.87966620448387123</v>
      </c>
      <c r="AF1301" s="43">
        <v>18.05915373762998</v>
      </c>
      <c r="AG1301" s="43">
        <v>9.5237470000000008E-3</v>
      </c>
      <c r="AH1301" s="43">
        <v>9.451348E-3</v>
      </c>
      <c r="AI1301" s="43">
        <v>0.87427601099999996</v>
      </c>
      <c r="AJ1301" s="43">
        <v>2.7353351959999999</v>
      </c>
      <c r="AK1301" s="43">
        <v>9.2607343750000002</v>
      </c>
      <c r="AL1301" s="43">
        <v>2.7689469999999999E-3</v>
      </c>
      <c r="AM1301" s="230">
        <v>2.4168461354391005E-2</v>
      </c>
      <c r="AN1301" s="43">
        <v>0.89713875499999995</v>
      </c>
    </row>
    <row r="1302" spans="1:40" x14ac:dyDescent="0.25">
      <c r="A1302" s="134">
        <v>1292</v>
      </c>
      <c r="B1302" s="134" t="s">
        <v>204</v>
      </c>
      <c r="C1302" s="134" t="s">
        <v>205</v>
      </c>
      <c r="D1302" s="134" t="s">
        <v>62</v>
      </c>
      <c r="E1302" s="134">
        <v>0</v>
      </c>
      <c r="F1302" s="134">
        <v>0</v>
      </c>
      <c r="G1302" s="134">
        <v>133</v>
      </c>
      <c r="H1302" s="134">
        <v>356</v>
      </c>
      <c r="I1302" s="200">
        <v>0.20692464878</v>
      </c>
      <c r="J1302" s="134">
        <v>356</v>
      </c>
      <c r="K1302" s="134">
        <v>1720.43302767</v>
      </c>
      <c r="L1302" s="42">
        <v>0.91833803949299997</v>
      </c>
      <c r="M1302" s="42">
        <v>1</v>
      </c>
      <c r="N1302" s="134">
        <v>0</v>
      </c>
      <c r="O1302" s="43" t="s">
        <v>666</v>
      </c>
      <c r="P1302" s="43">
        <f t="shared" si="285"/>
        <v>16.862460092693613</v>
      </c>
      <c r="Q1302" s="43">
        <f t="shared" si="286"/>
        <v>5.0661849000000002E-2</v>
      </c>
      <c r="R1302" s="43">
        <f t="shared" si="287"/>
        <v>2.1746819999999998E-3</v>
      </c>
      <c r="S1302" s="43">
        <f t="shared" si="288"/>
        <v>0.91833803899999999</v>
      </c>
      <c r="T1302" s="43">
        <f t="shared" si="289"/>
        <v>3.839865622</v>
      </c>
      <c r="U1302" s="43">
        <f t="shared" si="290"/>
        <v>7.728663772</v>
      </c>
      <c r="V1302" s="43">
        <f t="shared" si="291"/>
        <v>2.295119E-3</v>
      </c>
      <c r="W1302" s="230">
        <f t="shared" si="292"/>
        <v>5.4858934169278997E-3</v>
      </c>
      <c r="X1302" s="43">
        <f t="shared" si="293"/>
        <v>0.94648454999999998</v>
      </c>
      <c r="Y1302" s="43">
        <v>3.8087175000000002</v>
      </c>
      <c r="Z1302" s="43">
        <f t="shared" si="282"/>
        <v>0</v>
      </c>
      <c r="AA1302" s="43">
        <f t="shared" si="283"/>
        <v>85233</v>
      </c>
      <c r="AB1302" s="43">
        <f t="shared" si="284"/>
        <v>30359</v>
      </c>
      <c r="AC1302" s="43">
        <f t="shared" si="294"/>
        <v>1.7062811181712705E-2</v>
      </c>
      <c r="AD1302" s="43">
        <f t="shared" si="295"/>
        <v>0.87966620448387123</v>
      </c>
      <c r="AF1302" s="43">
        <v>16.862460092693613</v>
      </c>
      <c r="AG1302" s="43">
        <v>5.0661849000000002E-2</v>
      </c>
      <c r="AH1302" s="43">
        <v>2.1746819999999998E-3</v>
      </c>
      <c r="AI1302" s="43">
        <v>0.91833803899999999</v>
      </c>
      <c r="AJ1302" s="43">
        <v>3.839865622</v>
      </c>
      <c r="AK1302" s="43">
        <v>7.728663772</v>
      </c>
      <c r="AL1302" s="43">
        <v>2.295119E-3</v>
      </c>
      <c r="AM1302" s="230">
        <v>5.4858934169278997E-3</v>
      </c>
      <c r="AN1302" s="43">
        <v>0.94648454999999998</v>
      </c>
    </row>
    <row r="1303" spans="1:40" x14ac:dyDescent="0.25">
      <c r="A1303" s="134">
        <v>1293</v>
      </c>
      <c r="B1303" s="134" t="s">
        <v>204</v>
      </c>
      <c r="C1303" s="134" t="s">
        <v>205</v>
      </c>
      <c r="D1303" s="134" t="s">
        <v>62</v>
      </c>
      <c r="E1303" s="134">
        <v>181</v>
      </c>
      <c r="F1303" s="134">
        <v>534</v>
      </c>
      <c r="G1303" s="134">
        <v>72</v>
      </c>
      <c r="H1303" s="134">
        <v>0</v>
      </c>
      <c r="I1303" s="200">
        <v>0.11232918874</v>
      </c>
      <c r="J1303" s="134">
        <v>534</v>
      </c>
      <c r="K1303" s="134">
        <v>4753.8845957200001</v>
      </c>
      <c r="L1303" s="42">
        <v>0.854129022806</v>
      </c>
      <c r="M1303" s="42">
        <v>0</v>
      </c>
      <c r="N1303" s="134">
        <v>0</v>
      </c>
      <c r="O1303" s="43" t="s">
        <v>666</v>
      </c>
      <c r="P1303" s="43">
        <f t="shared" si="285"/>
        <v>18.76257092134616</v>
      </c>
      <c r="Q1303" s="43">
        <f t="shared" si="286"/>
        <v>4.9018410999999998E-2</v>
      </c>
      <c r="R1303" s="43">
        <f t="shared" si="287"/>
        <v>1.5602872E-2</v>
      </c>
      <c r="S1303" s="43">
        <f t="shared" si="288"/>
        <v>0.85412902300000004</v>
      </c>
      <c r="T1303" s="43">
        <f t="shared" si="289"/>
        <v>3.758539458</v>
      </c>
      <c r="U1303" s="43">
        <f t="shared" si="290"/>
        <v>12.844852769999999</v>
      </c>
      <c r="V1303" s="43">
        <f t="shared" si="291"/>
        <v>2.0477249999999998E-3</v>
      </c>
      <c r="W1303" s="230">
        <f t="shared" si="292"/>
        <v>9.9920598437042929E-2</v>
      </c>
      <c r="X1303" s="43">
        <f t="shared" si="293"/>
        <v>0.83927452000000002</v>
      </c>
      <c r="Y1303" s="43">
        <v>3.863203221</v>
      </c>
      <c r="Z1303" s="43">
        <f t="shared" si="282"/>
        <v>0</v>
      </c>
      <c r="AA1303" s="43">
        <f t="shared" si="283"/>
        <v>85233</v>
      </c>
      <c r="AB1303" s="43">
        <f t="shared" si="284"/>
        <v>30359</v>
      </c>
      <c r="AC1303" s="43">
        <f t="shared" si="294"/>
        <v>1.7062811181712705E-2</v>
      </c>
      <c r="AD1303" s="43">
        <f t="shared" si="295"/>
        <v>0.87966620448387123</v>
      </c>
      <c r="AF1303" s="43">
        <v>18.76257092134616</v>
      </c>
      <c r="AG1303" s="43">
        <v>4.9018410999999998E-2</v>
      </c>
      <c r="AH1303" s="43">
        <v>1.5602872E-2</v>
      </c>
      <c r="AI1303" s="43">
        <v>0.85412902300000004</v>
      </c>
      <c r="AJ1303" s="43">
        <v>3.758539458</v>
      </c>
      <c r="AK1303" s="43">
        <v>12.844852769999999</v>
      </c>
      <c r="AL1303" s="43">
        <v>2.0477249999999998E-3</v>
      </c>
      <c r="AM1303" s="230">
        <v>9.9920598437042929E-2</v>
      </c>
      <c r="AN1303" s="43">
        <v>0.83927452000000002</v>
      </c>
    </row>
    <row r="1304" spans="1:40" x14ac:dyDescent="0.25">
      <c r="A1304" s="134">
        <v>1294</v>
      </c>
      <c r="B1304" s="134" t="s">
        <v>204</v>
      </c>
      <c r="C1304" s="134" t="s">
        <v>205</v>
      </c>
      <c r="D1304" s="134" t="s">
        <v>62</v>
      </c>
      <c r="E1304" s="134">
        <v>461</v>
      </c>
      <c r="F1304" s="134">
        <v>1361</v>
      </c>
      <c r="G1304" s="134">
        <v>356</v>
      </c>
      <c r="H1304" s="134">
        <v>1</v>
      </c>
      <c r="I1304" s="200">
        <v>0.55340428527800001</v>
      </c>
      <c r="J1304" s="134">
        <v>1362</v>
      </c>
      <c r="K1304" s="134">
        <v>2461.13020125</v>
      </c>
      <c r="L1304" s="42">
        <v>0.904361639065</v>
      </c>
      <c r="M1304" s="42">
        <v>2.1645021645E-3</v>
      </c>
      <c r="N1304" s="134">
        <v>0</v>
      </c>
      <c r="O1304" s="43" t="s">
        <v>665</v>
      </c>
      <c r="P1304" s="43">
        <f t="shared" si="285"/>
        <v>20.496730858107696</v>
      </c>
      <c r="Q1304" s="43">
        <f t="shared" si="286"/>
        <v>2.5012967000000001E-2</v>
      </c>
      <c r="R1304" s="43">
        <f t="shared" si="287"/>
        <v>1.2406913E-2</v>
      </c>
      <c r="S1304" s="43">
        <f t="shared" si="288"/>
        <v>0.90436163899999999</v>
      </c>
      <c r="T1304" s="43">
        <f t="shared" si="289"/>
        <v>4.2554499720000001</v>
      </c>
      <c r="U1304" s="43">
        <f t="shared" si="290"/>
        <v>16.507693029999999</v>
      </c>
      <c r="V1304" s="43">
        <f t="shared" si="291"/>
        <v>1.9447099999999999E-4</v>
      </c>
      <c r="W1304" s="230">
        <f t="shared" si="292"/>
        <v>5.8324960295595238E-2</v>
      </c>
      <c r="X1304" s="43">
        <f t="shared" si="293"/>
        <v>0.92313551400000005</v>
      </c>
      <c r="Y1304" s="43">
        <v>3.923237973</v>
      </c>
      <c r="Z1304" s="43">
        <f t="shared" si="282"/>
        <v>0</v>
      </c>
      <c r="AA1304" s="43">
        <f t="shared" si="283"/>
        <v>85233</v>
      </c>
      <c r="AB1304" s="43">
        <f t="shared" si="284"/>
        <v>30359</v>
      </c>
      <c r="AC1304" s="43">
        <f t="shared" si="294"/>
        <v>1.7062811181712705E-2</v>
      </c>
      <c r="AD1304" s="43">
        <f t="shared" si="295"/>
        <v>0.87966620448387123</v>
      </c>
      <c r="AF1304" s="43">
        <v>20.496730858107696</v>
      </c>
      <c r="AG1304" s="43">
        <v>2.5012967000000001E-2</v>
      </c>
      <c r="AH1304" s="43">
        <v>1.2406913E-2</v>
      </c>
      <c r="AI1304" s="43">
        <v>0.90436163899999999</v>
      </c>
      <c r="AJ1304" s="43">
        <v>4.2554499720000001</v>
      </c>
      <c r="AK1304" s="43">
        <v>16.507693029999999</v>
      </c>
      <c r="AL1304" s="43">
        <v>1.9447099999999999E-4</v>
      </c>
      <c r="AM1304" s="230">
        <v>5.8324960295595238E-2</v>
      </c>
      <c r="AN1304" s="43">
        <v>0.92313551400000005</v>
      </c>
    </row>
    <row r="1305" spans="1:40" x14ac:dyDescent="0.25">
      <c r="A1305" s="134">
        <v>1295</v>
      </c>
      <c r="B1305" s="134" t="s">
        <v>204</v>
      </c>
      <c r="C1305" s="134" t="s">
        <v>205</v>
      </c>
      <c r="D1305" s="134" t="s">
        <v>62</v>
      </c>
      <c r="E1305" s="134">
        <v>405</v>
      </c>
      <c r="F1305" s="134">
        <v>1197</v>
      </c>
      <c r="G1305" s="134">
        <v>140</v>
      </c>
      <c r="H1305" s="134">
        <v>49</v>
      </c>
      <c r="I1305" s="200">
        <v>0.217873051274</v>
      </c>
      <c r="J1305" s="134">
        <v>1246</v>
      </c>
      <c r="K1305" s="134">
        <v>5718.9266534600001</v>
      </c>
      <c r="L1305" s="42">
        <v>0.88521584431599998</v>
      </c>
      <c r="M1305" s="42">
        <v>0.10792951541900001</v>
      </c>
      <c r="N1305" s="134">
        <v>0</v>
      </c>
      <c r="O1305" s="43" t="s">
        <v>666</v>
      </c>
      <c r="P1305" s="43">
        <f t="shared" si="285"/>
        <v>19.381316850396384</v>
      </c>
      <c r="Q1305" s="43">
        <f t="shared" si="286"/>
        <v>1.6633083E-2</v>
      </c>
      <c r="R1305" s="43">
        <f t="shared" si="287"/>
        <v>1.2072032999999999E-2</v>
      </c>
      <c r="S1305" s="43">
        <f t="shared" si="288"/>
        <v>0.88521584399999997</v>
      </c>
      <c r="T1305" s="43">
        <f t="shared" si="289"/>
        <v>3.7082472289999999</v>
      </c>
      <c r="U1305" s="43">
        <f t="shared" si="290"/>
        <v>13.561136380000001</v>
      </c>
      <c r="V1305" s="43">
        <f t="shared" si="291"/>
        <v>1.5505440000000001E-3</v>
      </c>
      <c r="W1305" s="230">
        <f t="shared" si="292"/>
        <v>3.8679340681565373E-2</v>
      </c>
      <c r="X1305" s="43">
        <f t="shared" si="293"/>
        <v>0.92220312100000001</v>
      </c>
      <c r="Y1305" s="43">
        <v>92.722839370000003</v>
      </c>
      <c r="Z1305" s="43">
        <f t="shared" si="282"/>
        <v>0</v>
      </c>
      <c r="AA1305" s="43">
        <f t="shared" si="283"/>
        <v>85233</v>
      </c>
      <c r="AB1305" s="43">
        <f t="shared" si="284"/>
        <v>30359</v>
      </c>
      <c r="AC1305" s="43">
        <f t="shared" si="294"/>
        <v>1.7062811181712705E-2</v>
      </c>
      <c r="AD1305" s="43">
        <f t="shared" si="295"/>
        <v>0.87966620448387123</v>
      </c>
      <c r="AF1305" s="43">
        <v>19.381316850396384</v>
      </c>
      <c r="AG1305" s="43">
        <v>1.6633083E-2</v>
      </c>
      <c r="AH1305" s="43">
        <v>1.2072032999999999E-2</v>
      </c>
      <c r="AI1305" s="43">
        <v>0.88521584399999997</v>
      </c>
      <c r="AJ1305" s="43">
        <v>3.7082472289999999</v>
      </c>
      <c r="AK1305" s="43">
        <v>13.561136380000001</v>
      </c>
      <c r="AL1305" s="43">
        <v>1.5505440000000001E-3</v>
      </c>
      <c r="AM1305" s="230">
        <v>3.8679340681565373E-2</v>
      </c>
      <c r="AN1305" s="43">
        <v>0.92220312100000001</v>
      </c>
    </row>
    <row r="1306" spans="1:40" x14ac:dyDescent="0.25">
      <c r="A1306" s="134">
        <v>1296</v>
      </c>
      <c r="B1306" s="134" t="s">
        <v>204</v>
      </c>
      <c r="C1306" s="134" t="s">
        <v>205</v>
      </c>
      <c r="D1306" s="134" t="s">
        <v>62</v>
      </c>
      <c r="E1306" s="134">
        <v>1</v>
      </c>
      <c r="F1306" s="134">
        <v>3</v>
      </c>
      <c r="G1306" s="134">
        <v>293</v>
      </c>
      <c r="H1306" s="134">
        <v>3</v>
      </c>
      <c r="I1306" s="200">
        <v>0.45501190829400001</v>
      </c>
      <c r="J1306" s="134">
        <v>6</v>
      </c>
      <c r="K1306" s="134">
        <v>13.1864680696</v>
      </c>
      <c r="L1306" s="42">
        <v>0.65948275862100003</v>
      </c>
      <c r="M1306" s="42">
        <v>0.75</v>
      </c>
      <c r="N1306" s="134">
        <v>0</v>
      </c>
      <c r="O1306" s="43" t="s">
        <v>666</v>
      </c>
      <c r="P1306" s="43">
        <f t="shared" si="285"/>
        <v>19.42015779531059</v>
      </c>
      <c r="Q1306" s="43">
        <f t="shared" si="286"/>
        <v>4.3103450000000001E-3</v>
      </c>
      <c r="R1306" s="43">
        <f t="shared" si="287"/>
        <v>1.2281927743016759E-2</v>
      </c>
      <c r="S1306" s="43">
        <f t="shared" si="288"/>
        <v>0.65948275899999997</v>
      </c>
      <c r="T1306" s="43">
        <f t="shared" si="289"/>
        <v>3.4720153019613269</v>
      </c>
      <c r="U1306" s="43">
        <f t="shared" si="290"/>
        <v>6.3703319499999997</v>
      </c>
      <c r="V1306" s="43">
        <f t="shared" si="291"/>
        <v>2.2188896352201251E-3</v>
      </c>
      <c r="W1306" s="230">
        <f t="shared" si="292"/>
        <v>3.7712999565398898E-2</v>
      </c>
      <c r="X1306" s="43">
        <f t="shared" si="293"/>
        <v>0.62626262600000004</v>
      </c>
      <c r="Y1306" s="43">
        <v>3.8099645359999998</v>
      </c>
      <c r="Z1306" s="43">
        <f t="shared" si="282"/>
        <v>0</v>
      </c>
      <c r="AA1306" s="43">
        <f t="shared" si="283"/>
        <v>85233</v>
      </c>
      <c r="AB1306" s="43">
        <f t="shared" si="284"/>
        <v>30359</v>
      </c>
      <c r="AC1306" s="43">
        <f t="shared" si="294"/>
        <v>1.7062811181712705E-2</v>
      </c>
      <c r="AD1306" s="43">
        <f t="shared" si="295"/>
        <v>0.87966620448387123</v>
      </c>
      <c r="AF1306" s="43">
        <v>19.42015779531059</v>
      </c>
      <c r="AG1306" s="43">
        <v>4.3103450000000001E-3</v>
      </c>
      <c r="AH1306" s="43">
        <v>0</v>
      </c>
      <c r="AI1306" s="43">
        <v>0.65948275899999997</v>
      </c>
      <c r="AJ1306" s="43" t="e">
        <v>#DIV/0!</v>
      </c>
      <c r="AK1306" s="43">
        <v>6.3703319499999997</v>
      </c>
      <c r="AL1306" s="43">
        <v>0</v>
      </c>
      <c r="AM1306" s="230">
        <v>0</v>
      </c>
      <c r="AN1306" s="43">
        <v>0.62626262600000004</v>
      </c>
    </row>
    <row r="1307" spans="1:40" x14ac:dyDescent="0.25">
      <c r="A1307" s="134">
        <v>1297</v>
      </c>
      <c r="B1307" s="134" t="s">
        <v>204</v>
      </c>
      <c r="C1307" s="134" t="s">
        <v>205</v>
      </c>
      <c r="D1307" s="134" t="s">
        <v>62</v>
      </c>
      <c r="E1307" s="134">
        <v>60</v>
      </c>
      <c r="F1307" s="134">
        <v>177</v>
      </c>
      <c r="G1307" s="134">
        <v>83</v>
      </c>
      <c r="H1307" s="134">
        <v>1</v>
      </c>
      <c r="I1307" s="200">
        <v>0.12899534090699999</v>
      </c>
      <c r="J1307" s="134">
        <v>178</v>
      </c>
      <c r="K1307" s="134">
        <v>1379.8947989000001</v>
      </c>
      <c r="L1307" s="42">
        <v>0.88959186658900002</v>
      </c>
      <c r="M1307" s="42">
        <v>1.6393442623E-2</v>
      </c>
      <c r="N1307" s="134">
        <v>0</v>
      </c>
      <c r="O1307" s="43" t="s">
        <v>666</v>
      </c>
      <c r="P1307" s="43">
        <f t="shared" si="285"/>
        <v>19.437808791054561</v>
      </c>
      <c r="Q1307" s="43">
        <f t="shared" si="286"/>
        <v>1.5871855000000001E-2</v>
      </c>
      <c r="R1307" s="43">
        <f t="shared" si="287"/>
        <v>1.1666179E-2</v>
      </c>
      <c r="S1307" s="43">
        <f t="shared" si="288"/>
        <v>0.88959186700000004</v>
      </c>
      <c r="T1307" s="43">
        <f t="shared" si="289"/>
        <v>4.5663026520000001</v>
      </c>
      <c r="U1307" s="43">
        <f t="shared" si="290"/>
        <v>16.08855406</v>
      </c>
      <c r="V1307" s="43">
        <f t="shared" si="291"/>
        <v>2.2188896352201251E-3</v>
      </c>
      <c r="W1307" s="230">
        <f t="shared" si="292"/>
        <v>2.997133176961168E-2</v>
      </c>
      <c r="X1307" s="43">
        <f t="shared" si="293"/>
        <v>0.89145165500000001</v>
      </c>
      <c r="Y1307" s="43">
        <v>3.8130827329999999</v>
      </c>
      <c r="Z1307" s="43">
        <f t="shared" si="282"/>
        <v>0</v>
      </c>
      <c r="AA1307" s="43">
        <f t="shared" si="283"/>
        <v>85233</v>
      </c>
      <c r="AB1307" s="43">
        <f t="shared" si="284"/>
        <v>30359</v>
      </c>
      <c r="AC1307" s="43">
        <f t="shared" si="294"/>
        <v>1.7062811181712705E-2</v>
      </c>
      <c r="AD1307" s="43">
        <f t="shared" si="295"/>
        <v>0.87966620448387123</v>
      </c>
      <c r="AF1307" s="43">
        <v>19.437808791054561</v>
      </c>
      <c r="AG1307" s="43">
        <v>1.5871855000000001E-2</v>
      </c>
      <c r="AH1307" s="43">
        <v>1.1666179E-2</v>
      </c>
      <c r="AI1307" s="43">
        <v>0.88959186700000004</v>
      </c>
      <c r="AJ1307" s="43">
        <v>4.5663026520000001</v>
      </c>
      <c r="AK1307" s="43">
        <v>16.08855406</v>
      </c>
      <c r="AL1307" s="43">
        <v>0</v>
      </c>
      <c r="AM1307" s="230">
        <v>2.997133176961168E-2</v>
      </c>
      <c r="AN1307" s="43">
        <v>0.89145165500000001</v>
      </c>
    </row>
    <row r="1308" spans="1:40" x14ac:dyDescent="0.25">
      <c r="A1308" s="134">
        <v>1298</v>
      </c>
      <c r="B1308" s="134" t="s">
        <v>204</v>
      </c>
      <c r="C1308" s="134" t="s">
        <v>205</v>
      </c>
      <c r="D1308" s="134" t="s">
        <v>62</v>
      </c>
      <c r="E1308" s="134">
        <v>0</v>
      </c>
      <c r="F1308" s="134">
        <v>0</v>
      </c>
      <c r="G1308" s="134">
        <v>48</v>
      </c>
      <c r="H1308" s="134">
        <v>0</v>
      </c>
      <c r="I1308" s="200">
        <v>7.4874119967399996E-2</v>
      </c>
      <c r="J1308" s="134">
        <v>0</v>
      </c>
      <c r="K1308" s="134">
        <v>0</v>
      </c>
      <c r="L1308" s="42">
        <v>0.63453815261000002</v>
      </c>
      <c r="M1308" s="42">
        <v>0</v>
      </c>
      <c r="N1308" s="134">
        <v>0</v>
      </c>
      <c r="O1308" s="43" t="s">
        <v>666</v>
      </c>
      <c r="P1308" s="43">
        <f t="shared" si="285"/>
        <v>17.970864213525694</v>
      </c>
      <c r="Q1308" s="43">
        <f t="shared" si="286"/>
        <v>1.2048193E-2</v>
      </c>
      <c r="R1308" s="43">
        <f t="shared" si="287"/>
        <v>4.0160639999999997E-3</v>
      </c>
      <c r="S1308" s="43">
        <f t="shared" si="288"/>
        <v>0.63453815300000005</v>
      </c>
      <c r="T1308" s="43">
        <f t="shared" si="289"/>
        <v>1.5</v>
      </c>
      <c r="U1308" s="43">
        <f t="shared" si="290"/>
        <v>3.5813008129999999</v>
      </c>
      <c r="V1308" s="43">
        <f t="shared" si="291"/>
        <v>2.2188896352201251E-3</v>
      </c>
      <c r="W1308" s="230">
        <f t="shared" si="292"/>
        <v>3.7712999565398898E-2</v>
      </c>
      <c r="X1308" s="43">
        <f t="shared" si="293"/>
        <v>0.8985543829482765</v>
      </c>
      <c r="Y1308" s="43">
        <v>9.1695248189999994</v>
      </c>
      <c r="Z1308" s="43">
        <f t="shared" si="282"/>
        <v>0</v>
      </c>
      <c r="AA1308" s="43">
        <f t="shared" si="283"/>
        <v>85233</v>
      </c>
      <c r="AB1308" s="43">
        <f t="shared" si="284"/>
        <v>30359</v>
      </c>
      <c r="AC1308" s="43">
        <f t="shared" si="294"/>
        <v>1.7062811181712705E-2</v>
      </c>
      <c r="AD1308" s="43">
        <f t="shared" si="295"/>
        <v>0.87966620448387123</v>
      </c>
      <c r="AF1308" s="43" t="e">
        <v>#DIV/0!</v>
      </c>
      <c r="AG1308" s="43">
        <v>1.2048193E-2</v>
      </c>
      <c r="AH1308" s="43">
        <v>4.0160639999999997E-3</v>
      </c>
      <c r="AI1308" s="43">
        <v>0.63453815300000005</v>
      </c>
      <c r="AJ1308" s="43">
        <v>1.5</v>
      </c>
      <c r="AK1308" s="43">
        <v>3.5813008129999999</v>
      </c>
      <c r="AL1308" s="43" t="e">
        <v>#DIV/0!</v>
      </c>
      <c r="AM1308" s="230" t="e">
        <v>#DIV/0!</v>
      </c>
      <c r="AN1308" s="43" t="e">
        <v>#DIV/0!</v>
      </c>
    </row>
    <row r="1309" spans="1:40" x14ac:dyDescent="0.25">
      <c r="A1309" s="134">
        <v>1299</v>
      </c>
      <c r="B1309" s="134" t="s">
        <v>204</v>
      </c>
      <c r="C1309" s="134" t="s">
        <v>205</v>
      </c>
      <c r="D1309" s="134" t="s">
        <v>62</v>
      </c>
      <c r="E1309" s="134">
        <v>238</v>
      </c>
      <c r="F1309" s="134">
        <v>703</v>
      </c>
      <c r="G1309" s="134">
        <v>38</v>
      </c>
      <c r="H1309" s="134">
        <v>0</v>
      </c>
      <c r="I1309" s="200">
        <v>5.8370762730100001E-2</v>
      </c>
      <c r="J1309" s="134">
        <v>703</v>
      </c>
      <c r="K1309" s="134">
        <v>12043.7007693</v>
      </c>
      <c r="L1309" s="42">
        <v>0.87218615015099998</v>
      </c>
      <c r="M1309" s="42">
        <v>0</v>
      </c>
      <c r="N1309" s="134">
        <v>0</v>
      </c>
      <c r="O1309" s="43" t="s">
        <v>666</v>
      </c>
      <c r="P1309" s="43">
        <f t="shared" si="285"/>
        <v>18.7323347677663</v>
      </c>
      <c r="Q1309" s="43">
        <f t="shared" si="286"/>
        <v>5.3222286000000001E-2</v>
      </c>
      <c r="R1309" s="43">
        <f t="shared" si="287"/>
        <v>1.4648001000000001E-2</v>
      </c>
      <c r="S1309" s="43">
        <f t="shared" si="288"/>
        <v>0.87218614999999999</v>
      </c>
      <c r="T1309" s="43">
        <f t="shared" si="289"/>
        <v>3.7210246800000002</v>
      </c>
      <c r="U1309" s="43">
        <f t="shared" si="290"/>
        <v>13.57889838</v>
      </c>
      <c r="V1309" s="43">
        <f t="shared" si="291"/>
        <v>2.775352E-3</v>
      </c>
      <c r="W1309" s="230">
        <f t="shared" si="292"/>
        <v>0.11665835100411624</v>
      </c>
      <c r="X1309" s="43">
        <f t="shared" si="293"/>
        <v>0.83756392700000004</v>
      </c>
      <c r="Y1309" s="43">
        <v>6.4962950939999997</v>
      </c>
      <c r="Z1309" s="43">
        <f t="shared" si="282"/>
        <v>0</v>
      </c>
      <c r="AA1309" s="43">
        <f t="shared" si="283"/>
        <v>85233</v>
      </c>
      <c r="AB1309" s="43">
        <f t="shared" si="284"/>
        <v>30359</v>
      </c>
      <c r="AC1309" s="43">
        <f t="shared" si="294"/>
        <v>1.7062811181712705E-2</v>
      </c>
      <c r="AD1309" s="43">
        <f t="shared" si="295"/>
        <v>0.87966620448387123</v>
      </c>
      <c r="AF1309" s="43">
        <v>18.7323347677663</v>
      </c>
      <c r="AG1309" s="43">
        <v>5.3222286000000001E-2</v>
      </c>
      <c r="AH1309" s="43">
        <v>1.4648001000000001E-2</v>
      </c>
      <c r="AI1309" s="43">
        <v>0.87218614999999999</v>
      </c>
      <c r="AJ1309" s="43">
        <v>3.7210246800000002</v>
      </c>
      <c r="AK1309" s="43">
        <v>13.57889838</v>
      </c>
      <c r="AL1309" s="43">
        <v>2.775352E-3</v>
      </c>
      <c r="AM1309" s="230">
        <v>0.11665835100411624</v>
      </c>
      <c r="AN1309" s="43">
        <v>0.83756392700000004</v>
      </c>
    </row>
    <row r="1310" spans="1:40" x14ac:dyDescent="0.25">
      <c r="A1310" s="134">
        <v>1300</v>
      </c>
      <c r="B1310" s="134" t="s">
        <v>204</v>
      </c>
      <c r="C1310" s="134" t="s">
        <v>205</v>
      </c>
      <c r="D1310" s="134" t="s">
        <v>62</v>
      </c>
      <c r="E1310" s="134">
        <v>0</v>
      </c>
      <c r="F1310" s="134">
        <v>0</v>
      </c>
      <c r="G1310" s="134">
        <v>45</v>
      </c>
      <c r="H1310" s="134">
        <v>0</v>
      </c>
      <c r="I1310" s="200">
        <v>7.0238199272099996E-2</v>
      </c>
      <c r="J1310" s="134">
        <v>0</v>
      </c>
      <c r="K1310" s="134">
        <v>0</v>
      </c>
      <c r="L1310" s="42">
        <v>0.58166491043199997</v>
      </c>
      <c r="M1310" s="42">
        <v>0</v>
      </c>
      <c r="N1310" s="134">
        <v>0</v>
      </c>
      <c r="O1310" s="43" t="s">
        <v>666</v>
      </c>
      <c r="P1310" s="43">
        <f t="shared" si="285"/>
        <v>17.970864213525694</v>
      </c>
      <c r="Q1310" s="43">
        <f t="shared" si="286"/>
        <v>8.4299260000000008E-3</v>
      </c>
      <c r="R1310" s="43">
        <f t="shared" si="287"/>
        <v>4.2149630000000004E-3</v>
      </c>
      <c r="S1310" s="43">
        <f t="shared" si="288"/>
        <v>0.58166490999999998</v>
      </c>
      <c r="T1310" s="43">
        <f t="shared" si="289"/>
        <v>0.875</v>
      </c>
      <c r="U1310" s="43">
        <f t="shared" si="290"/>
        <v>3.8634259260000001</v>
      </c>
      <c r="V1310" s="43">
        <f t="shared" si="291"/>
        <v>2.2188896352201251E-3</v>
      </c>
      <c r="W1310" s="230">
        <f t="shared" si="292"/>
        <v>3.7712999565398898E-2</v>
      </c>
      <c r="X1310" s="43">
        <f t="shared" si="293"/>
        <v>0.8985543829482765</v>
      </c>
      <c r="Y1310" s="43">
        <v>3.8087175000000002</v>
      </c>
      <c r="Z1310" s="43">
        <f t="shared" si="282"/>
        <v>0</v>
      </c>
      <c r="AA1310" s="43">
        <f t="shared" si="283"/>
        <v>85233</v>
      </c>
      <c r="AB1310" s="43">
        <f t="shared" si="284"/>
        <v>30359</v>
      </c>
      <c r="AC1310" s="43">
        <f t="shared" si="294"/>
        <v>1.7062811181712705E-2</v>
      </c>
      <c r="AD1310" s="43">
        <f t="shared" si="295"/>
        <v>0.87966620448387123</v>
      </c>
      <c r="AF1310" s="43" t="e">
        <v>#DIV/0!</v>
      </c>
      <c r="AG1310" s="43">
        <v>8.4299260000000008E-3</v>
      </c>
      <c r="AH1310" s="43">
        <v>4.2149630000000004E-3</v>
      </c>
      <c r="AI1310" s="43">
        <v>0.58166490999999998</v>
      </c>
      <c r="AJ1310" s="43">
        <v>0.875</v>
      </c>
      <c r="AK1310" s="43">
        <v>3.8634259260000001</v>
      </c>
      <c r="AL1310" s="43" t="e">
        <v>#DIV/0!</v>
      </c>
      <c r="AM1310" s="230" t="e">
        <v>#DIV/0!</v>
      </c>
      <c r="AN1310" s="43" t="e">
        <v>#DIV/0!</v>
      </c>
    </row>
    <row r="1311" spans="1:40" x14ac:dyDescent="0.25">
      <c r="A1311" s="134">
        <v>1301</v>
      </c>
      <c r="B1311" s="134" t="s">
        <v>204</v>
      </c>
      <c r="C1311" s="134" t="s">
        <v>205</v>
      </c>
      <c r="D1311" s="134" t="s">
        <v>62</v>
      </c>
      <c r="E1311" s="134">
        <v>238</v>
      </c>
      <c r="F1311" s="134">
        <v>703</v>
      </c>
      <c r="G1311" s="134">
        <v>42</v>
      </c>
      <c r="H1311" s="134">
        <v>0</v>
      </c>
      <c r="I1311" s="200">
        <v>6.5953451420800002E-2</v>
      </c>
      <c r="J1311" s="134">
        <v>703</v>
      </c>
      <c r="K1311" s="134">
        <v>10659.0327702</v>
      </c>
      <c r="L1311" s="42">
        <v>0.87982295510399999</v>
      </c>
      <c r="M1311" s="42">
        <v>0</v>
      </c>
      <c r="N1311" s="134">
        <v>0</v>
      </c>
      <c r="O1311" s="43" t="s">
        <v>666</v>
      </c>
      <c r="P1311" s="43">
        <f t="shared" si="285"/>
        <v>18.994297392187139</v>
      </c>
      <c r="Q1311" s="43">
        <f t="shared" si="286"/>
        <v>4.9147442E-2</v>
      </c>
      <c r="R1311" s="43">
        <f t="shared" si="287"/>
        <v>1.4097337999999999E-2</v>
      </c>
      <c r="S1311" s="43">
        <f t="shared" si="288"/>
        <v>0.87982295499999996</v>
      </c>
      <c r="T1311" s="43">
        <f t="shared" si="289"/>
        <v>4.1870503599999997</v>
      </c>
      <c r="U1311" s="43">
        <f t="shared" si="290"/>
        <v>13.766208819999999</v>
      </c>
      <c r="V1311" s="43">
        <f t="shared" si="291"/>
        <v>2.6166589999999999E-3</v>
      </c>
      <c r="W1311" s="230">
        <f t="shared" si="292"/>
        <v>0.10968163977322286</v>
      </c>
      <c r="X1311" s="43">
        <f t="shared" si="293"/>
        <v>0.83982306399999995</v>
      </c>
      <c r="Y1311" s="43">
        <v>4.0172558079999998</v>
      </c>
      <c r="Z1311" s="43">
        <f t="shared" si="282"/>
        <v>0</v>
      </c>
      <c r="AA1311" s="43">
        <f t="shared" si="283"/>
        <v>85233</v>
      </c>
      <c r="AB1311" s="43">
        <f t="shared" si="284"/>
        <v>30359</v>
      </c>
      <c r="AC1311" s="43">
        <f t="shared" si="294"/>
        <v>1.7062811181712705E-2</v>
      </c>
      <c r="AD1311" s="43">
        <f t="shared" si="295"/>
        <v>0.87966620448387123</v>
      </c>
      <c r="AF1311" s="43">
        <v>18.994297392187139</v>
      </c>
      <c r="AG1311" s="43">
        <v>4.9147442E-2</v>
      </c>
      <c r="AH1311" s="43">
        <v>1.4097337999999999E-2</v>
      </c>
      <c r="AI1311" s="43">
        <v>0.87982295499999996</v>
      </c>
      <c r="AJ1311" s="43">
        <v>4.1870503599999997</v>
      </c>
      <c r="AK1311" s="43">
        <v>13.766208819999999</v>
      </c>
      <c r="AL1311" s="43">
        <v>2.6166589999999999E-3</v>
      </c>
      <c r="AM1311" s="230">
        <v>0.10968163977322286</v>
      </c>
      <c r="AN1311" s="43">
        <v>0.83982306399999995</v>
      </c>
    </row>
    <row r="1312" spans="1:40" x14ac:dyDescent="0.25">
      <c r="A1312" s="134">
        <v>1302</v>
      </c>
      <c r="B1312" s="134" t="s">
        <v>204</v>
      </c>
      <c r="C1312" s="134" t="s">
        <v>205</v>
      </c>
      <c r="D1312" s="134" t="s">
        <v>62</v>
      </c>
      <c r="E1312" s="134">
        <v>0</v>
      </c>
      <c r="F1312" s="134">
        <v>0</v>
      </c>
      <c r="G1312" s="134">
        <v>53</v>
      </c>
      <c r="H1312" s="134">
        <v>219</v>
      </c>
      <c r="I1312" s="200">
        <v>8.1837338858900002E-2</v>
      </c>
      <c r="J1312" s="134">
        <v>219</v>
      </c>
      <c r="K1312" s="134">
        <v>2676.0400943300001</v>
      </c>
      <c r="L1312" s="42">
        <v>0.893242772553</v>
      </c>
      <c r="M1312" s="42">
        <v>1</v>
      </c>
      <c r="N1312" s="134">
        <v>0</v>
      </c>
      <c r="O1312" s="43" t="s">
        <v>666</v>
      </c>
      <c r="P1312" s="43">
        <f t="shared" si="285"/>
        <v>16.590166248889744</v>
      </c>
      <c r="Q1312" s="43">
        <f t="shared" si="286"/>
        <v>1.2452107E-2</v>
      </c>
      <c r="R1312" s="43">
        <f t="shared" si="287"/>
        <v>3.8314180000000001E-3</v>
      </c>
      <c r="S1312" s="43">
        <f t="shared" si="288"/>
        <v>0.89324277299999999</v>
      </c>
      <c r="T1312" s="43">
        <f t="shared" si="289"/>
        <v>4.5578947369999998</v>
      </c>
      <c r="U1312" s="43">
        <f t="shared" si="290"/>
        <v>10.333309079999999</v>
      </c>
      <c r="V1312" s="43">
        <f t="shared" si="291"/>
        <v>1.8117669999999999E-3</v>
      </c>
      <c r="W1312" s="230">
        <f t="shared" si="292"/>
        <v>7.3424239534661965E-3</v>
      </c>
      <c r="X1312" s="43">
        <f t="shared" si="293"/>
        <v>0.92695718500000002</v>
      </c>
      <c r="Y1312" s="43">
        <v>3.848001563</v>
      </c>
      <c r="Z1312" s="43">
        <f t="shared" si="282"/>
        <v>0</v>
      </c>
      <c r="AA1312" s="43">
        <f t="shared" si="283"/>
        <v>85233</v>
      </c>
      <c r="AB1312" s="43">
        <f t="shared" si="284"/>
        <v>30359</v>
      </c>
      <c r="AC1312" s="43">
        <f t="shared" si="294"/>
        <v>1.7062811181712705E-2</v>
      </c>
      <c r="AD1312" s="43">
        <f t="shared" si="295"/>
        <v>0.87966620448387123</v>
      </c>
      <c r="AF1312" s="43">
        <v>16.590166248889744</v>
      </c>
      <c r="AG1312" s="43">
        <v>1.2452107E-2</v>
      </c>
      <c r="AH1312" s="43">
        <v>3.8314180000000001E-3</v>
      </c>
      <c r="AI1312" s="43">
        <v>0.89324277299999999</v>
      </c>
      <c r="AJ1312" s="43">
        <v>4.5578947369999998</v>
      </c>
      <c r="AK1312" s="43">
        <v>10.333309079999999</v>
      </c>
      <c r="AL1312" s="43">
        <v>1.8117669999999999E-3</v>
      </c>
      <c r="AM1312" s="230">
        <v>7.3424239534661965E-3</v>
      </c>
      <c r="AN1312" s="43">
        <v>0.92695718500000002</v>
      </c>
    </row>
    <row r="1313" spans="1:40" x14ac:dyDescent="0.25">
      <c r="A1313" s="134">
        <v>1303</v>
      </c>
      <c r="B1313" s="134" t="s">
        <v>204</v>
      </c>
      <c r="C1313" s="134" t="s">
        <v>205</v>
      </c>
      <c r="D1313" s="134" t="s">
        <v>62</v>
      </c>
      <c r="E1313" s="134">
        <v>0</v>
      </c>
      <c r="F1313" s="134">
        <v>0</v>
      </c>
      <c r="G1313" s="134">
        <v>45</v>
      </c>
      <c r="H1313" s="134">
        <v>0</v>
      </c>
      <c r="I1313" s="200">
        <v>6.9228695237399995E-2</v>
      </c>
      <c r="J1313" s="134">
        <v>0</v>
      </c>
      <c r="K1313" s="134">
        <v>0</v>
      </c>
      <c r="L1313" s="42">
        <v>0.57534246575299997</v>
      </c>
      <c r="M1313" s="42">
        <v>0</v>
      </c>
      <c r="N1313" s="134">
        <v>0</v>
      </c>
      <c r="O1313" s="43" t="s">
        <v>666</v>
      </c>
      <c r="P1313" s="43">
        <f t="shared" si="285"/>
        <v>17.970864213525694</v>
      </c>
      <c r="Q1313" s="43">
        <f t="shared" si="286"/>
        <v>8.4299260000000008E-3</v>
      </c>
      <c r="R1313" s="43">
        <f t="shared" si="287"/>
        <v>4.2149630000000004E-3</v>
      </c>
      <c r="S1313" s="43">
        <f t="shared" si="288"/>
        <v>0.57534246600000005</v>
      </c>
      <c r="T1313" s="43">
        <f t="shared" si="289"/>
        <v>0.875</v>
      </c>
      <c r="U1313" s="43">
        <f t="shared" si="290"/>
        <v>3.8776223779999999</v>
      </c>
      <c r="V1313" s="43">
        <f t="shared" si="291"/>
        <v>2.2188896352201251E-3</v>
      </c>
      <c r="W1313" s="230">
        <f t="shared" si="292"/>
        <v>3.7712999565398898E-2</v>
      </c>
      <c r="X1313" s="43">
        <f t="shared" si="293"/>
        <v>0.8985543829482765</v>
      </c>
      <c r="Y1313" s="43">
        <v>4.0069158480000002</v>
      </c>
      <c r="Z1313" s="43">
        <f t="shared" si="282"/>
        <v>0</v>
      </c>
      <c r="AA1313" s="43">
        <f t="shared" si="283"/>
        <v>85233</v>
      </c>
      <c r="AB1313" s="43">
        <f t="shared" si="284"/>
        <v>30359</v>
      </c>
      <c r="AC1313" s="43">
        <f t="shared" si="294"/>
        <v>1.7062811181712705E-2</v>
      </c>
      <c r="AD1313" s="43">
        <f t="shared" si="295"/>
        <v>0.87966620448387123</v>
      </c>
      <c r="AF1313" s="43" t="e">
        <v>#DIV/0!</v>
      </c>
      <c r="AG1313" s="43">
        <v>8.4299260000000008E-3</v>
      </c>
      <c r="AH1313" s="43">
        <v>4.2149630000000004E-3</v>
      </c>
      <c r="AI1313" s="43">
        <v>0.57534246600000005</v>
      </c>
      <c r="AJ1313" s="43">
        <v>0.875</v>
      </c>
      <c r="AK1313" s="43">
        <v>3.8776223779999999</v>
      </c>
      <c r="AL1313" s="43" t="e">
        <v>#DIV/0!</v>
      </c>
      <c r="AM1313" s="230" t="e">
        <v>#DIV/0!</v>
      </c>
      <c r="AN1313" s="43" t="e">
        <v>#DIV/0!</v>
      </c>
    </row>
    <row r="1314" spans="1:40" x14ac:dyDescent="0.25">
      <c r="A1314" s="134">
        <v>1304</v>
      </c>
      <c r="B1314" s="134" t="s">
        <v>204</v>
      </c>
      <c r="C1314" s="134" t="s">
        <v>205</v>
      </c>
      <c r="D1314" s="134" t="s">
        <v>62</v>
      </c>
      <c r="E1314" s="134">
        <v>0</v>
      </c>
      <c r="F1314" s="134">
        <v>0</v>
      </c>
      <c r="G1314" s="134">
        <v>27</v>
      </c>
      <c r="H1314" s="134">
        <v>322</v>
      </c>
      <c r="I1314" s="200">
        <v>4.1985399765099997E-2</v>
      </c>
      <c r="J1314" s="134">
        <v>322</v>
      </c>
      <c r="K1314" s="134">
        <v>7669.3327156900004</v>
      </c>
      <c r="L1314" s="42">
        <v>0.90210393370899999</v>
      </c>
      <c r="M1314" s="42">
        <v>1</v>
      </c>
      <c r="N1314" s="134">
        <v>0</v>
      </c>
      <c r="O1314" s="43" t="s">
        <v>666</v>
      </c>
      <c r="P1314" s="43">
        <f t="shared" si="285"/>
        <v>16.739469801701144</v>
      </c>
      <c r="Q1314" s="43">
        <f t="shared" si="286"/>
        <v>1.4354804000000001E-2</v>
      </c>
      <c r="R1314" s="43">
        <f t="shared" si="287"/>
        <v>4.2817979999999999E-3</v>
      </c>
      <c r="S1314" s="43">
        <f t="shared" si="288"/>
        <v>0.902103934</v>
      </c>
      <c r="T1314" s="43">
        <f t="shared" si="289"/>
        <v>4.3959044370000004</v>
      </c>
      <c r="U1314" s="43">
        <f t="shared" si="290"/>
        <v>10.522388060000001</v>
      </c>
      <c r="V1314" s="43">
        <f t="shared" si="291"/>
        <v>1.9412089999999999E-3</v>
      </c>
      <c r="W1314" s="230">
        <f t="shared" si="292"/>
        <v>1.1855241264559066E-2</v>
      </c>
      <c r="X1314" s="43">
        <f t="shared" si="293"/>
        <v>0.93191902400000004</v>
      </c>
      <c r="Y1314" s="43">
        <v>4.8968949659999996</v>
      </c>
      <c r="Z1314" s="43">
        <f t="shared" si="282"/>
        <v>0</v>
      </c>
      <c r="AA1314" s="43">
        <f t="shared" si="283"/>
        <v>85233</v>
      </c>
      <c r="AB1314" s="43">
        <f t="shared" si="284"/>
        <v>30359</v>
      </c>
      <c r="AC1314" s="43">
        <f t="shared" si="294"/>
        <v>1.7062811181712705E-2</v>
      </c>
      <c r="AD1314" s="43">
        <f t="shared" si="295"/>
        <v>0.87966620448387123</v>
      </c>
      <c r="AF1314" s="43">
        <v>16.739469801701144</v>
      </c>
      <c r="AG1314" s="43">
        <v>1.4354804000000001E-2</v>
      </c>
      <c r="AH1314" s="43">
        <v>4.2817979999999999E-3</v>
      </c>
      <c r="AI1314" s="43">
        <v>0.902103934</v>
      </c>
      <c r="AJ1314" s="43">
        <v>4.3959044370000004</v>
      </c>
      <c r="AK1314" s="43">
        <v>10.522388060000001</v>
      </c>
      <c r="AL1314" s="43">
        <v>1.9412089999999999E-3</v>
      </c>
      <c r="AM1314" s="230">
        <v>1.1855241264559066E-2</v>
      </c>
      <c r="AN1314" s="43">
        <v>0.93191902400000004</v>
      </c>
    </row>
    <row r="1315" spans="1:40" x14ac:dyDescent="0.25">
      <c r="A1315" s="134">
        <v>1305</v>
      </c>
      <c r="B1315" s="134" t="s">
        <v>204</v>
      </c>
      <c r="C1315" s="134" t="s">
        <v>205</v>
      </c>
      <c r="D1315" s="134" t="s">
        <v>62</v>
      </c>
      <c r="E1315" s="134">
        <v>0</v>
      </c>
      <c r="F1315" s="134">
        <v>0</v>
      </c>
      <c r="G1315" s="134">
        <v>52</v>
      </c>
      <c r="H1315" s="134">
        <v>55</v>
      </c>
      <c r="I1315" s="200">
        <v>8.0852798322299996E-2</v>
      </c>
      <c r="J1315" s="134">
        <v>55</v>
      </c>
      <c r="K1315" s="134">
        <v>680.24856456700002</v>
      </c>
      <c r="L1315" s="42">
        <v>0.91267167660000004</v>
      </c>
      <c r="M1315" s="42">
        <v>1</v>
      </c>
      <c r="N1315" s="134">
        <v>0</v>
      </c>
      <c r="O1315" s="43" t="s">
        <v>666</v>
      </c>
      <c r="P1315" s="43">
        <f t="shared" si="285"/>
        <v>15.31329556772385</v>
      </c>
      <c r="Q1315" s="43">
        <f t="shared" si="286"/>
        <v>5.5713919999999997E-3</v>
      </c>
      <c r="R1315" s="43">
        <f t="shared" si="287"/>
        <v>6.6727130000000003E-3</v>
      </c>
      <c r="S1315" s="43">
        <f t="shared" si="288"/>
        <v>0.91267167699999996</v>
      </c>
      <c r="T1315" s="43">
        <f t="shared" si="289"/>
        <v>2.7952380950000002</v>
      </c>
      <c r="U1315" s="43">
        <f t="shared" si="290"/>
        <v>8.3178360100000006</v>
      </c>
      <c r="V1315" s="43">
        <f t="shared" si="291"/>
        <v>3.7993899999999998E-4</v>
      </c>
      <c r="W1315" s="230">
        <f t="shared" si="292"/>
        <v>3.7712999565398898E-2</v>
      </c>
      <c r="X1315" s="43">
        <f t="shared" si="293"/>
        <v>0.93389057799999997</v>
      </c>
      <c r="Y1315" s="43">
        <v>24.664164159999999</v>
      </c>
      <c r="Z1315" s="43">
        <f t="shared" si="282"/>
        <v>0</v>
      </c>
      <c r="AA1315" s="43">
        <f t="shared" si="283"/>
        <v>85233</v>
      </c>
      <c r="AB1315" s="43">
        <f t="shared" si="284"/>
        <v>30359</v>
      </c>
      <c r="AC1315" s="43">
        <f t="shared" si="294"/>
        <v>1.7062811181712705E-2</v>
      </c>
      <c r="AD1315" s="43">
        <f t="shared" si="295"/>
        <v>0.87966620448387123</v>
      </c>
      <c r="AF1315" s="43">
        <v>15.31329556772385</v>
      </c>
      <c r="AG1315" s="43">
        <v>5.5713919999999997E-3</v>
      </c>
      <c r="AH1315" s="43">
        <v>6.6727130000000003E-3</v>
      </c>
      <c r="AI1315" s="43">
        <v>0.91267167699999996</v>
      </c>
      <c r="AJ1315" s="43">
        <v>2.7952380950000002</v>
      </c>
      <c r="AK1315" s="43">
        <v>8.3178360100000006</v>
      </c>
      <c r="AL1315" s="43">
        <v>3.7993899999999998E-4</v>
      </c>
      <c r="AM1315" s="230">
        <v>0</v>
      </c>
      <c r="AN1315" s="43">
        <v>0.93389057799999997</v>
      </c>
    </row>
    <row r="1316" spans="1:40" x14ac:dyDescent="0.25">
      <c r="A1316" s="134">
        <v>1306</v>
      </c>
      <c r="B1316" s="134" t="s">
        <v>204</v>
      </c>
      <c r="C1316" s="134" t="s">
        <v>205</v>
      </c>
      <c r="D1316" s="134" t="s">
        <v>62</v>
      </c>
      <c r="E1316" s="134">
        <v>1</v>
      </c>
      <c r="F1316" s="134">
        <v>3</v>
      </c>
      <c r="G1316" s="134">
        <v>126</v>
      </c>
      <c r="H1316" s="134">
        <v>34</v>
      </c>
      <c r="I1316" s="200">
        <v>0.197577844339</v>
      </c>
      <c r="J1316" s="134">
        <v>37</v>
      </c>
      <c r="K1316" s="134">
        <v>187.267960757</v>
      </c>
      <c r="L1316" s="42">
        <v>0.91057523235399995</v>
      </c>
      <c r="M1316" s="42">
        <v>0.97142857142899997</v>
      </c>
      <c r="N1316" s="134">
        <v>0</v>
      </c>
      <c r="O1316" s="43" t="s">
        <v>666</v>
      </c>
      <c r="P1316" s="43">
        <f t="shared" si="285"/>
        <v>16.023467847822651</v>
      </c>
      <c r="Q1316" s="43">
        <f t="shared" si="286"/>
        <v>2.2607389999999999E-3</v>
      </c>
      <c r="R1316" s="43">
        <f t="shared" si="287"/>
        <v>2.2607389999999999E-3</v>
      </c>
      <c r="S1316" s="43">
        <f t="shared" si="288"/>
        <v>0.91057523200000001</v>
      </c>
      <c r="T1316" s="43">
        <f t="shared" si="289"/>
        <v>6.65</v>
      </c>
      <c r="U1316" s="43">
        <f t="shared" si="290"/>
        <v>9.7307418610000003</v>
      </c>
      <c r="V1316" s="43">
        <f t="shared" si="291"/>
        <v>4.8851999999999999E-4</v>
      </c>
      <c r="W1316" s="230">
        <f t="shared" si="292"/>
        <v>3.7712999565398898E-2</v>
      </c>
      <c r="X1316" s="43">
        <f t="shared" si="293"/>
        <v>0.91450903800000005</v>
      </c>
      <c r="Y1316" s="43">
        <v>24.447449819999999</v>
      </c>
      <c r="Z1316" s="43">
        <f t="shared" si="282"/>
        <v>0</v>
      </c>
      <c r="AA1316" s="43">
        <f t="shared" si="283"/>
        <v>85233</v>
      </c>
      <c r="AB1316" s="43">
        <f t="shared" si="284"/>
        <v>30359</v>
      </c>
      <c r="AC1316" s="43">
        <f t="shared" si="294"/>
        <v>1.7062811181712705E-2</v>
      </c>
      <c r="AD1316" s="43">
        <f t="shared" si="295"/>
        <v>0.87966620448387123</v>
      </c>
      <c r="AF1316" s="43">
        <v>16.023467847822651</v>
      </c>
      <c r="AG1316" s="43">
        <v>2.2607389999999999E-3</v>
      </c>
      <c r="AH1316" s="43">
        <v>2.2607389999999999E-3</v>
      </c>
      <c r="AI1316" s="43">
        <v>0.91057523200000001</v>
      </c>
      <c r="AJ1316" s="43">
        <v>6.65</v>
      </c>
      <c r="AK1316" s="43">
        <v>9.7307418610000003</v>
      </c>
      <c r="AL1316" s="43">
        <v>4.8851999999999999E-4</v>
      </c>
      <c r="AM1316" s="230">
        <v>0</v>
      </c>
      <c r="AN1316" s="43">
        <v>0.91450903800000005</v>
      </c>
    </row>
    <row r="1317" spans="1:40" x14ac:dyDescent="0.25">
      <c r="A1317" s="134">
        <v>1307</v>
      </c>
      <c r="B1317" s="134" t="s">
        <v>204</v>
      </c>
      <c r="C1317" s="134" t="s">
        <v>205</v>
      </c>
      <c r="D1317" s="134" t="s">
        <v>62</v>
      </c>
      <c r="E1317" s="134">
        <v>346</v>
      </c>
      <c r="F1317" s="134">
        <v>923</v>
      </c>
      <c r="G1317" s="134">
        <v>152</v>
      </c>
      <c r="H1317" s="134">
        <v>0</v>
      </c>
      <c r="I1317" s="200">
        <v>0.23868503411799999</v>
      </c>
      <c r="J1317" s="134">
        <v>923</v>
      </c>
      <c r="K1317" s="134">
        <v>3867.0208352599998</v>
      </c>
      <c r="L1317" s="42">
        <v>0.89357244390000001</v>
      </c>
      <c r="M1317" s="42">
        <v>0</v>
      </c>
      <c r="N1317" s="134">
        <v>0</v>
      </c>
      <c r="O1317" s="43" t="s">
        <v>666</v>
      </c>
      <c r="P1317" s="43">
        <f t="shared" si="285"/>
        <v>19.481137136262983</v>
      </c>
      <c r="Q1317" s="43">
        <f t="shared" si="286"/>
        <v>2.6980779999999999E-2</v>
      </c>
      <c r="R1317" s="43">
        <f t="shared" si="287"/>
        <v>1.2826818E-2</v>
      </c>
      <c r="S1317" s="43">
        <f t="shared" si="288"/>
        <v>0.89357244400000002</v>
      </c>
      <c r="T1317" s="43">
        <f t="shared" si="289"/>
        <v>3.7390849670000001</v>
      </c>
      <c r="U1317" s="43">
        <f t="shared" si="290"/>
        <v>14.641829400000001</v>
      </c>
      <c r="V1317" s="43">
        <f t="shared" si="291"/>
        <v>1.6649379999999999E-3</v>
      </c>
      <c r="W1317" s="230">
        <f t="shared" si="292"/>
        <v>7.6477973688520121E-2</v>
      </c>
      <c r="X1317" s="43">
        <f t="shared" si="293"/>
        <v>0.89128773400000005</v>
      </c>
      <c r="Y1317" s="43">
        <v>94.140028380000004</v>
      </c>
      <c r="Z1317" s="43">
        <f t="shared" si="282"/>
        <v>0</v>
      </c>
      <c r="AA1317" s="43">
        <f t="shared" si="283"/>
        <v>85233</v>
      </c>
      <c r="AB1317" s="43">
        <f t="shared" si="284"/>
        <v>30359</v>
      </c>
      <c r="AC1317" s="43">
        <f t="shared" si="294"/>
        <v>1.7062811181712705E-2</v>
      </c>
      <c r="AD1317" s="43">
        <f t="shared" si="295"/>
        <v>0.87966620448387123</v>
      </c>
      <c r="AF1317" s="43">
        <v>19.481137136262983</v>
      </c>
      <c r="AG1317" s="43">
        <v>2.6980779999999999E-2</v>
      </c>
      <c r="AH1317" s="43">
        <v>1.2826818E-2</v>
      </c>
      <c r="AI1317" s="43">
        <v>0.89357244400000002</v>
      </c>
      <c r="AJ1317" s="43">
        <v>3.7390849670000001</v>
      </c>
      <c r="AK1317" s="43">
        <v>14.641829400000001</v>
      </c>
      <c r="AL1317" s="43">
        <v>1.6649379999999999E-3</v>
      </c>
      <c r="AM1317" s="230">
        <v>7.6477973688520121E-2</v>
      </c>
      <c r="AN1317" s="43">
        <v>0.89128773400000005</v>
      </c>
    </row>
    <row r="1318" spans="1:40" x14ac:dyDescent="0.25">
      <c r="A1318" s="134">
        <v>1308</v>
      </c>
      <c r="B1318" s="134" t="s">
        <v>204</v>
      </c>
      <c r="C1318" s="134" t="s">
        <v>205</v>
      </c>
      <c r="D1318" s="134" t="s">
        <v>62</v>
      </c>
      <c r="E1318" s="134">
        <v>250</v>
      </c>
      <c r="F1318" s="134">
        <v>666</v>
      </c>
      <c r="G1318" s="134">
        <v>53</v>
      </c>
      <c r="H1318" s="134">
        <v>137</v>
      </c>
      <c r="I1318" s="200">
        <v>8.2363603916199998E-2</v>
      </c>
      <c r="J1318" s="134">
        <v>803</v>
      </c>
      <c r="K1318" s="134">
        <v>9749.4519644499997</v>
      </c>
      <c r="L1318" s="42">
        <v>0.88815281879399999</v>
      </c>
      <c r="M1318" s="42">
        <v>0.354005167959</v>
      </c>
      <c r="N1318" s="134">
        <v>0</v>
      </c>
      <c r="O1318" s="43" t="s">
        <v>666</v>
      </c>
      <c r="P1318" s="43">
        <f t="shared" si="285"/>
        <v>17.990540493173075</v>
      </c>
      <c r="Q1318" s="43">
        <f t="shared" si="286"/>
        <v>2.0279617999999999E-2</v>
      </c>
      <c r="R1318" s="43">
        <f t="shared" si="287"/>
        <v>1.2371299000000001E-2</v>
      </c>
      <c r="S1318" s="43">
        <f t="shared" si="288"/>
        <v>0.88815281899999998</v>
      </c>
      <c r="T1318" s="43">
        <f t="shared" si="289"/>
        <v>3.1063829790000002</v>
      </c>
      <c r="U1318" s="43">
        <f t="shared" si="290"/>
        <v>11.60526028</v>
      </c>
      <c r="V1318" s="43">
        <f t="shared" si="291"/>
        <v>3.0299200000000002E-3</v>
      </c>
      <c r="W1318" s="230">
        <f t="shared" si="292"/>
        <v>5.2644868072213094E-2</v>
      </c>
      <c r="X1318" s="43">
        <f t="shared" si="293"/>
        <v>0.90574422399999999</v>
      </c>
      <c r="Y1318" s="43">
        <v>114.336595</v>
      </c>
      <c r="Z1318" s="43">
        <f t="shared" si="282"/>
        <v>0</v>
      </c>
      <c r="AA1318" s="43">
        <f t="shared" si="283"/>
        <v>85233</v>
      </c>
      <c r="AB1318" s="43">
        <f t="shared" si="284"/>
        <v>30359</v>
      </c>
      <c r="AC1318" s="43">
        <f t="shared" si="294"/>
        <v>1.7062811181712705E-2</v>
      </c>
      <c r="AD1318" s="43">
        <f t="shared" si="295"/>
        <v>0.87966620448387123</v>
      </c>
      <c r="AF1318" s="43">
        <v>17.990540493173075</v>
      </c>
      <c r="AG1318" s="43">
        <v>2.0279617999999999E-2</v>
      </c>
      <c r="AH1318" s="43">
        <v>1.2371299000000001E-2</v>
      </c>
      <c r="AI1318" s="43">
        <v>0.88815281899999998</v>
      </c>
      <c r="AJ1318" s="43">
        <v>3.1063829790000002</v>
      </c>
      <c r="AK1318" s="43">
        <v>11.60526028</v>
      </c>
      <c r="AL1318" s="43">
        <v>3.0299200000000002E-3</v>
      </c>
      <c r="AM1318" s="230">
        <v>5.2644868072213094E-2</v>
      </c>
      <c r="AN1318" s="43">
        <v>0.90574422399999999</v>
      </c>
    </row>
    <row r="1319" spans="1:40" x14ac:dyDescent="0.25">
      <c r="A1319" s="134">
        <v>1309</v>
      </c>
      <c r="B1319" s="134" t="s">
        <v>204</v>
      </c>
      <c r="C1319" s="134" t="s">
        <v>205</v>
      </c>
      <c r="D1319" s="134" t="s">
        <v>62</v>
      </c>
      <c r="E1319" s="134">
        <v>137</v>
      </c>
      <c r="F1319" s="134">
        <v>365</v>
      </c>
      <c r="G1319" s="134">
        <v>62</v>
      </c>
      <c r="H1319" s="134">
        <v>0</v>
      </c>
      <c r="I1319" s="200">
        <v>9.6893132802299997E-2</v>
      </c>
      <c r="J1319" s="134">
        <v>365</v>
      </c>
      <c r="K1319" s="134">
        <v>3767.0368316499998</v>
      </c>
      <c r="L1319" s="42">
        <v>0.87370292995400001</v>
      </c>
      <c r="M1319" s="42">
        <v>0</v>
      </c>
      <c r="N1319" s="134">
        <v>0</v>
      </c>
      <c r="O1319" s="43" t="s">
        <v>665</v>
      </c>
      <c r="P1319" s="43">
        <f t="shared" si="285"/>
        <v>18.806614754348335</v>
      </c>
      <c r="Q1319" s="43">
        <f t="shared" si="286"/>
        <v>2.6450733000000001E-2</v>
      </c>
      <c r="R1319" s="43">
        <f t="shared" si="287"/>
        <v>1.2465685000000001E-2</v>
      </c>
      <c r="S1319" s="43">
        <f t="shared" si="288"/>
        <v>0.87370292999999999</v>
      </c>
      <c r="T1319" s="43">
        <f t="shared" si="289"/>
        <v>3.5283414980000001</v>
      </c>
      <c r="U1319" s="43">
        <f t="shared" si="290"/>
        <v>13.09501461</v>
      </c>
      <c r="V1319" s="43">
        <f t="shared" si="291"/>
        <v>1.545161E-3</v>
      </c>
      <c r="W1319" s="230">
        <f t="shared" si="292"/>
        <v>7.4729596853490649E-2</v>
      </c>
      <c r="X1319" s="43">
        <f t="shared" si="293"/>
        <v>0.86669476099999998</v>
      </c>
      <c r="Y1319" s="43">
        <v>94.317660829999994</v>
      </c>
      <c r="Z1319" s="43">
        <f t="shared" si="282"/>
        <v>0</v>
      </c>
      <c r="AA1319" s="43">
        <f t="shared" si="283"/>
        <v>85233</v>
      </c>
      <c r="AB1319" s="43">
        <f t="shared" si="284"/>
        <v>30359</v>
      </c>
      <c r="AC1319" s="43">
        <f t="shared" si="294"/>
        <v>1.7062811181712705E-2</v>
      </c>
      <c r="AD1319" s="43">
        <f t="shared" si="295"/>
        <v>0.87966620448387123</v>
      </c>
      <c r="AF1319" s="43">
        <v>18.806614754348335</v>
      </c>
      <c r="AG1319" s="43">
        <v>2.6450733000000001E-2</v>
      </c>
      <c r="AH1319" s="43">
        <v>1.2465685000000001E-2</v>
      </c>
      <c r="AI1319" s="43">
        <v>0.87370292999999999</v>
      </c>
      <c r="AJ1319" s="43">
        <v>3.5283414980000001</v>
      </c>
      <c r="AK1319" s="43">
        <v>13.09501461</v>
      </c>
      <c r="AL1319" s="43">
        <v>1.545161E-3</v>
      </c>
      <c r="AM1319" s="230">
        <v>7.4729596853490649E-2</v>
      </c>
      <c r="AN1319" s="43">
        <v>0.86669476099999998</v>
      </c>
    </row>
    <row r="1320" spans="1:40" x14ac:dyDescent="0.25">
      <c r="A1320" s="134">
        <v>1310</v>
      </c>
      <c r="B1320" s="134" t="s">
        <v>204</v>
      </c>
      <c r="C1320" s="134" t="s">
        <v>205</v>
      </c>
      <c r="D1320" s="134" t="s">
        <v>62</v>
      </c>
      <c r="E1320" s="134">
        <v>800</v>
      </c>
      <c r="F1320" s="134">
        <v>2132</v>
      </c>
      <c r="G1320" s="134">
        <v>249</v>
      </c>
      <c r="H1320" s="134">
        <v>163</v>
      </c>
      <c r="I1320" s="200">
        <v>0.38948306013799999</v>
      </c>
      <c r="J1320" s="134">
        <v>2295</v>
      </c>
      <c r="K1320" s="134">
        <v>5892.4257172799998</v>
      </c>
      <c r="L1320" s="42">
        <v>0.87525242268699999</v>
      </c>
      <c r="M1320" s="42">
        <v>0.169262720665</v>
      </c>
      <c r="N1320" s="134">
        <v>0</v>
      </c>
      <c r="O1320" s="43" t="s">
        <v>666</v>
      </c>
      <c r="P1320" s="43">
        <f t="shared" si="285"/>
        <v>18.520865248727034</v>
      </c>
      <c r="Q1320" s="43">
        <f t="shared" si="286"/>
        <v>2.1232028E-2</v>
      </c>
      <c r="R1320" s="43">
        <f t="shared" si="287"/>
        <v>1.1760329999999999E-2</v>
      </c>
      <c r="S1320" s="43">
        <f t="shared" si="288"/>
        <v>0.87525242299999995</v>
      </c>
      <c r="T1320" s="43">
        <f t="shared" si="289"/>
        <v>3.1613059479999999</v>
      </c>
      <c r="U1320" s="43">
        <f t="shared" si="290"/>
        <v>11.964148460000001</v>
      </c>
      <c r="V1320" s="43">
        <f t="shared" si="291"/>
        <v>2.0578369999999999E-3</v>
      </c>
      <c r="W1320" s="230">
        <f t="shared" si="292"/>
        <v>6.1873621100744979E-2</v>
      </c>
      <c r="X1320" s="43">
        <f t="shared" si="293"/>
        <v>0.90798104400000001</v>
      </c>
      <c r="Y1320" s="43">
        <v>114.4890388</v>
      </c>
      <c r="Z1320" s="43">
        <f t="shared" si="282"/>
        <v>0</v>
      </c>
      <c r="AA1320" s="43">
        <f t="shared" si="283"/>
        <v>85233</v>
      </c>
      <c r="AB1320" s="43">
        <f t="shared" si="284"/>
        <v>30359</v>
      </c>
      <c r="AC1320" s="43">
        <f t="shared" si="294"/>
        <v>1.7062811181712705E-2</v>
      </c>
      <c r="AD1320" s="43">
        <f t="shared" si="295"/>
        <v>0.87966620448387123</v>
      </c>
      <c r="AF1320" s="43">
        <v>18.520865248727034</v>
      </c>
      <c r="AG1320" s="43">
        <v>2.1232028E-2</v>
      </c>
      <c r="AH1320" s="43">
        <v>1.1760329999999999E-2</v>
      </c>
      <c r="AI1320" s="43">
        <v>0.87525242299999995</v>
      </c>
      <c r="AJ1320" s="43">
        <v>3.1613059479999999</v>
      </c>
      <c r="AK1320" s="43">
        <v>11.964148460000001</v>
      </c>
      <c r="AL1320" s="43">
        <v>2.0578369999999999E-3</v>
      </c>
      <c r="AM1320" s="230">
        <v>6.1873621100744979E-2</v>
      </c>
      <c r="AN1320" s="43">
        <v>0.90798104400000001</v>
      </c>
    </row>
    <row r="1321" spans="1:40" x14ac:dyDescent="0.25">
      <c r="A1321" s="134">
        <v>1311</v>
      </c>
      <c r="B1321" s="134" t="s">
        <v>204</v>
      </c>
      <c r="C1321" s="134" t="s">
        <v>205</v>
      </c>
      <c r="D1321" s="134" t="s">
        <v>62</v>
      </c>
      <c r="E1321" s="134">
        <v>350</v>
      </c>
      <c r="F1321" s="134">
        <v>933</v>
      </c>
      <c r="G1321" s="134">
        <v>117</v>
      </c>
      <c r="H1321" s="134">
        <v>29</v>
      </c>
      <c r="I1321" s="200">
        <v>0.182636991172</v>
      </c>
      <c r="J1321" s="134">
        <v>962</v>
      </c>
      <c r="K1321" s="134">
        <v>5267.2790644699999</v>
      </c>
      <c r="L1321" s="42">
        <v>0.88915391388700005</v>
      </c>
      <c r="M1321" s="42">
        <v>7.6517150395799996E-2</v>
      </c>
      <c r="N1321" s="134">
        <v>0</v>
      </c>
      <c r="O1321" s="43" t="s">
        <v>666</v>
      </c>
      <c r="P1321" s="43">
        <f t="shared" si="285"/>
        <v>19.315813158607273</v>
      </c>
      <c r="Q1321" s="43">
        <f t="shared" si="286"/>
        <v>2.6209610000000001E-2</v>
      </c>
      <c r="R1321" s="43">
        <f t="shared" si="287"/>
        <v>1.2271648E-2</v>
      </c>
      <c r="S1321" s="43">
        <f t="shared" si="288"/>
        <v>0.88915391399999999</v>
      </c>
      <c r="T1321" s="43">
        <f t="shared" si="289"/>
        <v>3.4602349750000001</v>
      </c>
      <c r="U1321" s="43">
        <f t="shared" si="290"/>
        <v>13.46145239</v>
      </c>
      <c r="V1321" s="43">
        <f t="shared" si="291"/>
        <v>8.5302800000000003E-4</v>
      </c>
      <c r="W1321" s="230">
        <f t="shared" si="292"/>
        <v>7.664709719504241E-2</v>
      </c>
      <c r="X1321" s="43">
        <f t="shared" si="293"/>
        <v>0.89118872000000005</v>
      </c>
      <c r="Y1321" s="43">
        <v>94.082972280000007</v>
      </c>
      <c r="Z1321" s="43">
        <f t="shared" si="282"/>
        <v>0</v>
      </c>
      <c r="AA1321" s="43">
        <f t="shared" si="283"/>
        <v>85233</v>
      </c>
      <c r="AB1321" s="43">
        <f t="shared" si="284"/>
        <v>30359</v>
      </c>
      <c r="AC1321" s="43">
        <f t="shared" si="294"/>
        <v>1.7062811181712705E-2</v>
      </c>
      <c r="AD1321" s="43">
        <f t="shared" si="295"/>
        <v>0.87966620448387123</v>
      </c>
      <c r="AF1321" s="43">
        <v>19.315813158607273</v>
      </c>
      <c r="AG1321" s="43">
        <v>2.6209610000000001E-2</v>
      </c>
      <c r="AH1321" s="43">
        <v>1.2271648E-2</v>
      </c>
      <c r="AI1321" s="43">
        <v>0.88915391399999999</v>
      </c>
      <c r="AJ1321" s="43">
        <v>3.4602349750000001</v>
      </c>
      <c r="AK1321" s="43">
        <v>13.46145239</v>
      </c>
      <c r="AL1321" s="43">
        <v>8.5302800000000003E-4</v>
      </c>
      <c r="AM1321" s="230">
        <v>7.664709719504241E-2</v>
      </c>
      <c r="AN1321" s="43">
        <v>0.89118872000000005</v>
      </c>
    </row>
    <row r="1322" spans="1:40" x14ac:dyDescent="0.25">
      <c r="A1322" s="134">
        <v>1312</v>
      </c>
      <c r="B1322" s="134" t="s">
        <v>204</v>
      </c>
      <c r="C1322" s="134" t="s">
        <v>205</v>
      </c>
      <c r="D1322" s="134" t="s">
        <v>62</v>
      </c>
      <c r="E1322" s="134">
        <v>290</v>
      </c>
      <c r="F1322" s="134">
        <v>773</v>
      </c>
      <c r="G1322" s="134">
        <v>28</v>
      </c>
      <c r="H1322" s="134">
        <v>0</v>
      </c>
      <c r="I1322" s="200">
        <v>4.4089813839500003E-2</v>
      </c>
      <c r="J1322" s="134">
        <v>773</v>
      </c>
      <c r="K1322" s="134">
        <v>17532.394280799999</v>
      </c>
      <c r="L1322" s="42">
        <v>0.89174299802599999</v>
      </c>
      <c r="M1322" s="42">
        <v>0</v>
      </c>
      <c r="N1322" s="134">
        <v>0</v>
      </c>
      <c r="O1322" s="43" t="s">
        <v>666</v>
      </c>
      <c r="P1322" s="43">
        <f t="shared" si="285"/>
        <v>19.539998076784382</v>
      </c>
      <c r="Q1322" s="43">
        <f t="shared" si="286"/>
        <v>3.3194848999999998E-2</v>
      </c>
      <c r="R1322" s="43">
        <f t="shared" si="287"/>
        <v>1.3958521E-2</v>
      </c>
      <c r="S1322" s="43">
        <f t="shared" si="288"/>
        <v>0.89174299800000001</v>
      </c>
      <c r="T1322" s="43">
        <f t="shared" si="289"/>
        <v>3.8725663720000001</v>
      </c>
      <c r="U1322" s="43">
        <f t="shared" si="290"/>
        <v>14.985267629999999</v>
      </c>
      <c r="V1322" s="43">
        <f t="shared" si="291"/>
        <v>2.5472369999999999E-3</v>
      </c>
      <c r="W1322" s="230">
        <f t="shared" si="292"/>
        <v>8.6799509898755414E-2</v>
      </c>
      <c r="X1322" s="43">
        <f t="shared" si="293"/>
        <v>0.87583027000000002</v>
      </c>
      <c r="Y1322" s="43">
        <v>25.577799819999999</v>
      </c>
      <c r="Z1322" s="43">
        <f t="shared" si="282"/>
        <v>0</v>
      </c>
      <c r="AA1322" s="43">
        <f t="shared" si="283"/>
        <v>85233</v>
      </c>
      <c r="AB1322" s="43">
        <f t="shared" si="284"/>
        <v>30359</v>
      </c>
      <c r="AC1322" s="43">
        <f t="shared" si="294"/>
        <v>1.7062811181712705E-2</v>
      </c>
      <c r="AD1322" s="43">
        <f t="shared" si="295"/>
        <v>0.87966620448387123</v>
      </c>
      <c r="AF1322" s="43">
        <v>19.539998076784382</v>
      </c>
      <c r="AG1322" s="43">
        <v>3.3194848999999998E-2</v>
      </c>
      <c r="AH1322" s="43">
        <v>1.3958521E-2</v>
      </c>
      <c r="AI1322" s="43">
        <v>0.89174299800000001</v>
      </c>
      <c r="AJ1322" s="43">
        <v>3.8725663720000001</v>
      </c>
      <c r="AK1322" s="43">
        <v>14.985267629999999</v>
      </c>
      <c r="AL1322" s="43">
        <v>2.5472369999999999E-3</v>
      </c>
      <c r="AM1322" s="230">
        <v>8.6799509898755414E-2</v>
      </c>
      <c r="AN1322" s="43">
        <v>0.87583027000000002</v>
      </c>
    </row>
    <row r="1323" spans="1:40" x14ac:dyDescent="0.25">
      <c r="A1323" s="134">
        <v>1313</v>
      </c>
      <c r="B1323" s="134" t="s">
        <v>204</v>
      </c>
      <c r="C1323" s="134" t="s">
        <v>205</v>
      </c>
      <c r="D1323" s="134" t="s">
        <v>62</v>
      </c>
      <c r="E1323" s="134">
        <v>245</v>
      </c>
      <c r="F1323" s="134">
        <v>653</v>
      </c>
      <c r="G1323" s="134">
        <v>73</v>
      </c>
      <c r="H1323" s="134">
        <v>0</v>
      </c>
      <c r="I1323" s="200">
        <v>0.114728140817</v>
      </c>
      <c r="J1323" s="134">
        <v>653</v>
      </c>
      <c r="K1323" s="134">
        <v>5691.71604587</v>
      </c>
      <c r="L1323" s="42">
        <v>0.89453337533300004</v>
      </c>
      <c r="M1323" s="42">
        <v>0</v>
      </c>
      <c r="N1323" s="134">
        <v>0</v>
      </c>
      <c r="O1323" s="43" t="s">
        <v>666</v>
      </c>
      <c r="P1323" s="43">
        <f t="shared" si="285"/>
        <v>19.552642111545936</v>
      </c>
      <c r="Q1323" s="43">
        <f t="shared" si="286"/>
        <v>2.9361511E-2</v>
      </c>
      <c r="R1323" s="43">
        <f t="shared" si="287"/>
        <v>1.2752594000000001E-2</v>
      </c>
      <c r="S1323" s="43">
        <f t="shared" si="288"/>
        <v>0.89453337499999996</v>
      </c>
      <c r="T1323" s="43">
        <f t="shared" si="289"/>
        <v>3.7893950709999999</v>
      </c>
      <c r="U1323" s="43">
        <f t="shared" si="290"/>
        <v>14.70919979</v>
      </c>
      <c r="V1323" s="43">
        <f t="shared" si="291"/>
        <v>1.2733449999999999E-3</v>
      </c>
      <c r="W1323" s="230">
        <f t="shared" si="292"/>
        <v>7.971909245253897E-2</v>
      </c>
      <c r="X1323" s="43">
        <f t="shared" si="293"/>
        <v>0.88057570600000001</v>
      </c>
      <c r="Y1323" s="43">
        <v>24.02726345</v>
      </c>
      <c r="Z1323" s="43">
        <f t="shared" si="282"/>
        <v>0</v>
      </c>
      <c r="AA1323" s="43">
        <f t="shared" si="283"/>
        <v>85233</v>
      </c>
      <c r="AB1323" s="43">
        <f t="shared" si="284"/>
        <v>30359</v>
      </c>
      <c r="AC1323" s="43">
        <f t="shared" si="294"/>
        <v>1.7062811181712705E-2</v>
      </c>
      <c r="AD1323" s="43">
        <f t="shared" si="295"/>
        <v>0.87966620448387123</v>
      </c>
      <c r="AF1323" s="43">
        <v>19.552642111545936</v>
      </c>
      <c r="AG1323" s="43">
        <v>2.9361511E-2</v>
      </c>
      <c r="AH1323" s="43">
        <v>1.2752594000000001E-2</v>
      </c>
      <c r="AI1323" s="43">
        <v>0.89453337499999996</v>
      </c>
      <c r="AJ1323" s="43">
        <v>3.7893950709999999</v>
      </c>
      <c r="AK1323" s="43">
        <v>14.70919979</v>
      </c>
      <c r="AL1323" s="43">
        <v>1.2733449999999999E-3</v>
      </c>
      <c r="AM1323" s="230">
        <v>7.971909245253897E-2</v>
      </c>
      <c r="AN1323" s="43">
        <v>0.88057570600000001</v>
      </c>
    </row>
    <row r="1324" spans="1:40" x14ac:dyDescent="0.25">
      <c r="A1324" s="134">
        <v>1314</v>
      </c>
      <c r="B1324" s="134" t="s">
        <v>204</v>
      </c>
      <c r="C1324" s="134" t="s">
        <v>205</v>
      </c>
      <c r="D1324" s="134" t="s">
        <v>62</v>
      </c>
      <c r="E1324" s="134">
        <v>502</v>
      </c>
      <c r="F1324" s="134">
        <v>1444</v>
      </c>
      <c r="G1324" s="134">
        <v>188</v>
      </c>
      <c r="H1324" s="134">
        <v>0</v>
      </c>
      <c r="I1324" s="200">
        <v>0.29392044320299998</v>
      </c>
      <c r="J1324" s="134">
        <v>1444</v>
      </c>
      <c r="K1324" s="134">
        <v>4912.8940616099999</v>
      </c>
      <c r="L1324" s="42">
        <v>0.89793092106700001</v>
      </c>
      <c r="M1324" s="42">
        <v>0</v>
      </c>
      <c r="N1324" s="134">
        <v>0</v>
      </c>
      <c r="O1324" s="43" t="s">
        <v>666</v>
      </c>
      <c r="P1324" s="43">
        <f t="shared" si="285"/>
        <v>17.303627140936552</v>
      </c>
      <c r="Q1324" s="43">
        <f t="shared" si="286"/>
        <v>2.0937469E-2</v>
      </c>
      <c r="R1324" s="43">
        <f t="shared" si="287"/>
        <v>1.3831365999999999E-2</v>
      </c>
      <c r="S1324" s="43">
        <f t="shared" si="288"/>
        <v>0.89793092100000005</v>
      </c>
      <c r="T1324" s="43">
        <f t="shared" si="289"/>
        <v>3.7352205189999999</v>
      </c>
      <c r="U1324" s="43">
        <f t="shared" si="290"/>
        <v>15.125306030000001</v>
      </c>
      <c r="V1324" s="43">
        <f t="shared" si="291"/>
        <v>2.3929849999999998E-3</v>
      </c>
      <c r="W1324" s="230">
        <f t="shared" si="292"/>
        <v>3.5426219083637335E-2</v>
      </c>
      <c r="X1324" s="43">
        <f t="shared" si="293"/>
        <v>0.91063958</v>
      </c>
      <c r="Y1324" s="43">
        <v>109.86565520000001</v>
      </c>
      <c r="Z1324" s="43">
        <f t="shared" si="282"/>
        <v>0</v>
      </c>
      <c r="AA1324" s="43">
        <f t="shared" si="283"/>
        <v>85233</v>
      </c>
      <c r="AB1324" s="43">
        <f t="shared" si="284"/>
        <v>30359</v>
      </c>
      <c r="AC1324" s="43">
        <f t="shared" si="294"/>
        <v>1.7062811181712705E-2</v>
      </c>
      <c r="AD1324" s="43">
        <f t="shared" si="295"/>
        <v>0.87966620448387123</v>
      </c>
      <c r="AF1324" s="43">
        <v>17.303627140936552</v>
      </c>
      <c r="AG1324" s="43">
        <v>2.0937469E-2</v>
      </c>
      <c r="AH1324" s="43">
        <v>1.3831365999999999E-2</v>
      </c>
      <c r="AI1324" s="43">
        <v>0.89793092100000005</v>
      </c>
      <c r="AJ1324" s="43">
        <v>3.7352205189999999</v>
      </c>
      <c r="AK1324" s="43">
        <v>15.125306030000001</v>
      </c>
      <c r="AL1324" s="43">
        <v>2.3929849999999998E-3</v>
      </c>
      <c r="AM1324" s="230">
        <v>3.5426219083637335E-2</v>
      </c>
      <c r="AN1324" s="43">
        <v>0.91063958</v>
      </c>
    </row>
    <row r="1325" spans="1:40" x14ac:dyDescent="0.25">
      <c r="A1325" s="134">
        <v>1315</v>
      </c>
      <c r="B1325" s="134" t="s">
        <v>204</v>
      </c>
      <c r="C1325" s="134" t="s">
        <v>205</v>
      </c>
      <c r="D1325" s="134" t="s">
        <v>62</v>
      </c>
      <c r="E1325" s="134">
        <v>0</v>
      </c>
      <c r="F1325" s="134">
        <v>0</v>
      </c>
      <c r="G1325" s="134">
        <v>130</v>
      </c>
      <c r="H1325" s="134">
        <v>642</v>
      </c>
      <c r="I1325" s="200">
        <v>0.20307338455099999</v>
      </c>
      <c r="J1325" s="134">
        <v>642</v>
      </c>
      <c r="K1325" s="134">
        <v>3161.4187226899999</v>
      </c>
      <c r="L1325" s="42">
        <v>0.97396842166999997</v>
      </c>
      <c r="M1325" s="42">
        <v>1</v>
      </c>
      <c r="N1325" s="134">
        <v>0</v>
      </c>
      <c r="O1325" s="43" t="s">
        <v>666</v>
      </c>
      <c r="P1325" s="43">
        <f t="shared" si="285"/>
        <v>18.660075685256086</v>
      </c>
      <c r="Q1325" s="43">
        <f t="shared" si="286"/>
        <v>2.8467449999999999E-3</v>
      </c>
      <c r="R1325" s="43">
        <f t="shared" si="287"/>
        <v>2.025004E-3</v>
      </c>
      <c r="S1325" s="43">
        <f t="shared" si="288"/>
        <v>0.973968422</v>
      </c>
      <c r="T1325" s="43">
        <f t="shared" si="289"/>
        <v>4.5599999999999996</v>
      </c>
      <c r="U1325" s="43">
        <f t="shared" si="290"/>
        <v>10.138905919999999</v>
      </c>
      <c r="V1325" s="43">
        <f t="shared" si="291"/>
        <v>2.1037650000000001E-3</v>
      </c>
      <c r="W1325" s="230">
        <f t="shared" si="292"/>
        <v>1.6087615629737338E-3</v>
      </c>
      <c r="X1325" s="43">
        <f t="shared" si="293"/>
        <v>0.974043251</v>
      </c>
      <c r="Y1325" s="43">
        <v>37.499939230000003</v>
      </c>
      <c r="Z1325" s="43">
        <f t="shared" si="282"/>
        <v>0</v>
      </c>
      <c r="AA1325" s="43">
        <f t="shared" si="283"/>
        <v>85233</v>
      </c>
      <c r="AB1325" s="43">
        <f t="shared" si="284"/>
        <v>30359</v>
      </c>
      <c r="AC1325" s="43">
        <f t="shared" si="294"/>
        <v>1.7062811181712705E-2</v>
      </c>
      <c r="AD1325" s="43">
        <f t="shared" si="295"/>
        <v>0.87966620448387123</v>
      </c>
      <c r="AF1325" s="43">
        <v>18.660075685256086</v>
      </c>
      <c r="AG1325" s="43">
        <v>2.8467449999999999E-3</v>
      </c>
      <c r="AH1325" s="43">
        <v>2.025004E-3</v>
      </c>
      <c r="AI1325" s="43">
        <v>0.973968422</v>
      </c>
      <c r="AJ1325" s="43">
        <v>4.5599999999999996</v>
      </c>
      <c r="AK1325" s="43">
        <v>10.138905919999999</v>
      </c>
      <c r="AL1325" s="43">
        <v>2.1037650000000001E-3</v>
      </c>
      <c r="AM1325" s="230">
        <v>1.6087615629737338E-3</v>
      </c>
      <c r="AN1325" s="43">
        <v>0.974043251</v>
      </c>
    </row>
    <row r="1326" spans="1:40" x14ac:dyDescent="0.25">
      <c r="A1326" s="134">
        <v>1316</v>
      </c>
      <c r="B1326" s="134" t="s">
        <v>204</v>
      </c>
      <c r="C1326" s="134" t="s">
        <v>205</v>
      </c>
      <c r="D1326" s="134" t="s">
        <v>62</v>
      </c>
      <c r="E1326" s="134">
        <v>0</v>
      </c>
      <c r="F1326" s="134">
        <v>0</v>
      </c>
      <c r="G1326" s="134">
        <v>21</v>
      </c>
      <c r="H1326" s="134">
        <v>0</v>
      </c>
      <c r="I1326" s="200">
        <v>3.2583624657099998E-2</v>
      </c>
      <c r="J1326" s="134">
        <v>0</v>
      </c>
      <c r="K1326" s="134">
        <v>0</v>
      </c>
      <c r="L1326" s="42">
        <v>0.96449026345900002</v>
      </c>
      <c r="M1326" s="42">
        <v>0</v>
      </c>
      <c r="N1326" s="134">
        <v>0</v>
      </c>
      <c r="O1326" s="43" t="s">
        <v>665</v>
      </c>
      <c r="P1326" s="43">
        <f t="shared" si="285"/>
        <v>17.970864213525694</v>
      </c>
      <c r="Q1326" s="43">
        <f t="shared" si="286"/>
        <v>2.8064147000000001E-2</v>
      </c>
      <c r="R1326" s="43">
        <f t="shared" si="287"/>
        <v>5.7273800000000004E-4</v>
      </c>
      <c r="S1326" s="43">
        <f t="shared" si="288"/>
        <v>0.96449026299999996</v>
      </c>
      <c r="T1326" s="43">
        <f t="shared" si="289"/>
        <v>5.5</v>
      </c>
      <c r="U1326" s="43">
        <f t="shared" si="290"/>
        <v>32.599848139999999</v>
      </c>
      <c r="V1326" s="43">
        <f t="shared" si="291"/>
        <v>2.2188896352201251E-3</v>
      </c>
      <c r="W1326" s="230">
        <f t="shared" si="292"/>
        <v>3.7712999565398898E-2</v>
      </c>
      <c r="X1326" s="43">
        <f t="shared" si="293"/>
        <v>0.8985543829482765</v>
      </c>
      <c r="Y1326" s="43">
        <v>37.550377769999997</v>
      </c>
      <c r="Z1326" s="43">
        <f t="shared" si="282"/>
        <v>0</v>
      </c>
      <c r="AA1326" s="43">
        <f t="shared" si="283"/>
        <v>85233</v>
      </c>
      <c r="AB1326" s="43">
        <f t="shared" si="284"/>
        <v>30359</v>
      </c>
      <c r="AC1326" s="43">
        <f t="shared" si="294"/>
        <v>1.7062811181712705E-2</v>
      </c>
      <c r="AD1326" s="43">
        <f t="shared" si="295"/>
        <v>0.87966620448387123</v>
      </c>
      <c r="AF1326" s="43" t="e">
        <v>#DIV/0!</v>
      </c>
      <c r="AG1326" s="43">
        <v>2.8064147000000001E-2</v>
      </c>
      <c r="AH1326" s="43">
        <v>5.7273800000000004E-4</v>
      </c>
      <c r="AI1326" s="43">
        <v>0.96449026299999996</v>
      </c>
      <c r="AJ1326" s="43">
        <v>5.5</v>
      </c>
      <c r="AK1326" s="43">
        <v>32.599848139999999</v>
      </c>
      <c r="AL1326" s="43" t="e">
        <v>#DIV/0!</v>
      </c>
      <c r="AM1326" s="230" t="e">
        <v>#DIV/0!</v>
      </c>
      <c r="AN1326" s="43" t="e">
        <v>#DIV/0!</v>
      </c>
    </row>
    <row r="1327" spans="1:40" x14ac:dyDescent="0.25">
      <c r="A1327" s="134">
        <v>1317</v>
      </c>
      <c r="B1327" s="134" t="s">
        <v>204</v>
      </c>
      <c r="C1327" s="134" t="s">
        <v>205</v>
      </c>
      <c r="D1327" s="134" t="s">
        <v>62</v>
      </c>
      <c r="E1327" s="134">
        <v>1</v>
      </c>
      <c r="F1327" s="134">
        <v>2</v>
      </c>
      <c r="G1327" s="134">
        <v>107</v>
      </c>
      <c r="H1327" s="134">
        <v>1751</v>
      </c>
      <c r="I1327" s="200">
        <v>0.16735806109099999</v>
      </c>
      <c r="J1327" s="134">
        <v>1753</v>
      </c>
      <c r="K1327" s="134">
        <v>10474.5477366</v>
      </c>
      <c r="L1327" s="42">
        <v>0.90909765688099997</v>
      </c>
      <c r="M1327" s="42">
        <v>0.99942922374400001</v>
      </c>
      <c r="N1327" s="134">
        <v>0</v>
      </c>
      <c r="O1327" s="43" t="s">
        <v>666</v>
      </c>
      <c r="P1327" s="43">
        <f t="shared" si="285"/>
        <v>16.696479246712634</v>
      </c>
      <c r="Q1327" s="43">
        <f t="shared" si="286"/>
        <v>6.4205219999999997E-3</v>
      </c>
      <c r="R1327" s="43">
        <f t="shared" si="287"/>
        <v>7.9885400000000006E-3</v>
      </c>
      <c r="S1327" s="43">
        <f t="shared" si="288"/>
        <v>0.909097657</v>
      </c>
      <c r="T1327" s="43">
        <f t="shared" si="289"/>
        <v>2.624767442</v>
      </c>
      <c r="U1327" s="43">
        <f t="shared" si="290"/>
        <v>7.8023783959999999</v>
      </c>
      <c r="V1327" s="43">
        <f t="shared" si="291"/>
        <v>3.2688880000000002E-3</v>
      </c>
      <c r="W1327" s="230">
        <f t="shared" si="292"/>
        <v>8.8781480539302984E-3</v>
      </c>
      <c r="X1327" s="43">
        <f t="shared" si="293"/>
        <v>0.966700585</v>
      </c>
      <c r="Y1327" s="43">
        <v>37.5797721</v>
      </c>
      <c r="Z1327" s="43">
        <f t="shared" si="282"/>
        <v>0</v>
      </c>
      <c r="AA1327" s="43">
        <f t="shared" si="283"/>
        <v>85233</v>
      </c>
      <c r="AB1327" s="43">
        <f t="shared" si="284"/>
        <v>30359</v>
      </c>
      <c r="AC1327" s="43">
        <f t="shared" si="294"/>
        <v>1.7062811181712705E-2</v>
      </c>
      <c r="AD1327" s="43">
        <f t="shared" si="295"/>
        <v>0.87966620448387123</v>
      </c>
      <c r="AF1327" s="43">
        <v>16.696479246712634</v>
      </c>
      <c r="AG1327" s="43">
        <v>6.4205219999999997E-3</v>
      </c>
      <c r="AH1327" s="43">
        <v>7.9885400000000006E-3</v>
      </c>
      <c r="AI1327" s="43">
        <v>0.909097657</v>
      </c>
      <c r="AJ1327" s="43">
        <v>2.624767442</v>
      </c>
      <c r="AK1327" s="43">
        <v>7.8023783959999999</v>
      </c>
      <c r="AL1327" s="43">
        <v>3.2688880000000002E-3</v>
      </c>
      <c r="AM1327" s="230">
        <v>8.8781480539302984E-3</v>
      </c>
      <c r="AN1327" s="43">
        <v>0.966700585</v>
      </c>
    </row>
    <row r="1328" spans="1:40" x14ac:dyDescent="0.25">
      <c r="A1328" s="134">
        <v>1318</v>
      </c>
      <c r="B1328" s="134" t="s">
        <v>204</v>
      </c>
      <c r="C1328" s="134" t="s">
        <v>205</v>
      </c>
      <c r="D1328" s="134" t="s">
        <v>62</v>
      </c>
      <c r="E1328" s="134">
        <v>3</v>
      </c>
      <c r="F1328" s="134">
        <v>10</v>
      </c>
      <c r="G1328" s="134">
        <v>91</v>
      </c>
      <c r="H1328" s="134">
        <v>500</v>
      </c>
      <c r="I1328" s="200">
        <v>0.141800087518</v>
      </c>
      <c r="J1328" s="134">
        <v>510</v>
      </c>
      <c r="K1328" s="134">
        <v>3596.6127308199998</v>
      </c>
      <c r="L1328" s="42">
        <v>0.934354770502</v>
      </c>
      <c r="M1328" s="42">
        <v>0.99403578528799996</v>
      </c>
      <c r="N1328" s="134">
        <v>0</v>
      </c>
      <c r="O1328" s="43" t="s">
        <v>666</v>
      </c>
      <c r="P1328" s="43">
        <f t="shared" si="285"/>
        <v>16.903687275111476</v>
      </c>
      <c r="Q1328" s="43">
        <f t="shared" si="286"/>
        <v>4.8062850000000004E-3</v>
      </c>
      <c r="R1328" s="43">
        <f t="shared" si="287"/>
        <v>6.5872939999999996E-3</v>
      </c>
      <c r="S1328" s="43">
        <f t="shared" si="288"/>
        <v>0.93435477099999997</v>
      </c>
      <c r="T1328" s="43">
        <f t="shared" si="289"/>
        <v>2.9914268220000002</v>
      </c>
      <c r="U1328" s="43">
        <f t="shared" si="290"/>
        <v>9.2440217810000007</v>
      </c>
      <c r="V1328" s="43">
        <f t="shared" si="291"/>
        <v>2.49854E-3</v>
      </c>
      <c r="W1328" s="230">
        <f t="shared" si="292"/>
        <v>3.8289311441365441E-3</v>
      </c>
      <c r="X1328" s="43">
        <f t="shared" si="293"/>
        <v>0.97047180200000005</v>
      </c>
      <c r="Y1328" s="43">
        <v>37.585542390000001</v>
      </c>
      <c r="Z1328" s="43">
        <f t="shared" si="282"/>
        <v>0</v>
      </c>
      <c r="AA1328" s="43">
        <f t="shared" si="283"/>
        <v>85233</v>
      </c>
      <c r="AB1328" s="43">
        <f t="shared" si="284"/>
        <v>30359</v>
      </c>
      <c r="AC1328" s="43">
        <f t="shared" si="294"/>
        <v>1.7062811181712705E-2</v>
      </c>
      <c r="AD1328" s="43">
        <f t="shared" si="295"/>
        <v>0.87966620448387123</v>
      </c>
      <c r="AF1328" s="43">
        <v>16.903687275111476</v>
      </c>
      <c r="AG1328" s="43">
        <v>4.8062850000000004E-3</v>
      </c>
      <c r="AH1328" s="43">
        <v>6.5872939999999996E-3</v>
      </c>
      <c r="AI1328" s="43">
        <v>0.93435477099999997</v>
      </c>
      <c r="AJ1328" s="43">
        <v>2.9914268220000002</v>
      </c>
      <c r="AK1328" s="43">
        <v>9.2440217810000007</v>
      </c>
      <c r="AL1328" s="43">
        <v>2.49854E-3</v>
      </c>
      <c r="AM1328" s="230">
        <v>3.8289311441365441E-3</v>
      </c>
      <c r="AN1328" s="43">
        <v>0.97047180200000005</v>
      </c>
    </row>
    <row r="1329" spans="1:40" x14ac:dyDescent="0.25">
      <c r="A1329" s="134">
        <v>1319</v>
      </c>
      <c r="B1329" s="134" t="s">
        <v>204</v>
      </c>
      <c r="C1329" s="134" t="s">
        <v>205</v>
      </c>
      <c r="D1329" s="134" t="s">
        <v>62</v>
      </c>
      <c r="E1329" s="134">
        <v>1</v>
      </c>
      <c r="F1329" s="134">
        <v>2</v>
      </c>
      <c r="G1329" s="134">
        <v>65</v>
      </c>
      <c r="H1329" s="134">
        <v>300</v>
      </c>
      <c r="I1329" s="200">
        <v>0.10184088915</v>
      </c>
      <c r="J1329" s="134">
        <v>302</v>
      </c>
      <c r="K1329" s="134">
        <v>2965.4100874599999</v>
      </c>
      <c r="L1329" s="42">
        <v>0.90621974830600005</v>
      </c>
      <c r="M1329" s="42">
        <v>0.99667774086399996</v>
      </c>
      <c r="N1329" s="134">
        <v>0</v>
      </c>
      <c r="O1329" s="43" t="s">
        <v>666</v>
      </c>
      <c r="P1329" s="43">
        <f t="shared" si="285"/>
        <v>16.332726006930475</v>
      </c>
      <c r="Q1329" s="43">
        <f t="shared" si="286"/>
        <v>6.0676259999999996E-3</v>
      </c>
      <c r="R1329" s="43">
        <f t="shared" si="287"/>
        <v>6.9665329999999996E-3</v>
      </c>
      <c r="S1329" s="43">
        <f t="shared" si="288"/>
        <v>0.90621974800000005</v>
      </c>
      <c r="T1329" s="43">
        <f t="shared" si="289"/>
        <v>2.6799007439999998</v>
      </c>
      <c r="U1329" s="43">
        <f t="shared" si="290"/>
        <v>8.2884304639999993</v>
      </c>
      <c r="V1329" s="43">
        <f t="shared" si="291"/>
        <v>2.2895620000000002E-3</v>
      </c>
      <c r="W1329" s="230">
        <f t="shared" si="292"/>
        <v>4.781144781144781E-3</v>
      </c>
      <c r="X1329" s="43">
        <f t="shared" si="293"/>
        <v>0.95441077399999996</v>
      </c>
      <c r="Y1329" s="43">
        <v>37.550399800000001</v>
      </c>
      <c r="Z1329" s="43">
        <f t="shared" si="282"/>
        <v>0</v>
      </c>
      <c r="AA1329" s="43">
        <f t="shared" si="283"/>
        <v>85233</v>
      </c>
      <c r="AB1329" s="43">
        <f t="shared" si="284"/>
        <v>30359</v>
      </c>
      <c r="AC1329" s="43">
        <f t="shared" si="294"/>
        <v>1.7062811181712705E-2</v>
      </c>
      <c r="AD1329" s="43">
        <f t="shared" si="295"/>
        <v>0.87966620448387123</v>
      </c>
      <c r="AF1329" s="43">
        <v>16.332726006930475</v>
      </c>
      <c r="AG1329" s="43">
        <v>6.0676259999999996E-3</v>
      </c>
      <c r="AH1329" s="43">
        <v>6.9665329999999996E-3</v>
      </c>
      <c r="AI1329" s="43">
        <v>0.90621974800000005</v>
      </c>
      <c r="AJ1329" s="43">
        <v>2.6799007439999998</v>
      </c>
      <c r="AK1329" s="43">
        <v>8.2884304639999993</v>
      </c>
      <c r="AL1329" s="43">
        <v>2.2895620000000002E-3</v>
      </c>
      <c r="AM1329" s="230">
        <v>4.781144781144781E-3</v>
      </c>
      <c r="AN1329" s="43">
        <v>0.95441077399999996</v>
      </c>
    </row>
    <row r="1330" spans="1:40" x14ac:dyDescent="0.25">
      <c r="A1330" s="134">
        <v>1320</v>
      </c>
      <c r="B1330" s="134" t="s">
        <v>204</v>
      </c>
      <c r="C1330" s="134" t="s">
        <v>205</v>
      </c>
      <c r="D1330" s="134" t="s">
        <v>62</v>
      </c>
      <c r="E1330" s="134">
        <v>537</v>
      </c>
      <c r="F1330" s="134">
        <v>1544</v>
      </c>
      <c r="G1330" s="134">
        <v>165</v>
      </c>
      <c r="H1330" s="134">
        <v>0</v>
      </c>
      <c r="I1330" s="200">
        <v>0.258785895775</v>
      </c>
      <c r="J1330" s="134">
        <v>1544</v>
      </c>
      <c r="K1330" s="134">
        <v>5966.3220647300004</v>
      </c>
      <c r="L1330" s="42">
        <v>0.92451900764499995</v>
      </c>
      <c r="M1330" s="42">
        <v>0</v>
      </c>
      <c r="N1330" s="134">
        <v>0</v>
      </c>
      <c r="O1330" s="43" t="s">
        <v>665</v>
      </c>
      <c r="P1330" s="43">
        <f t="shared" si="285"/>
        <v>19.019154130278739</v>
      </c>
      <c r="Q1330" s="43">
        <f t="shared" si="286"/>
        <v>1.2192738999999999E-2</v>
      </c>
      <c r="R1330" s="43">
        <f t="shared" si="287"/>
        <v>1.3760085999999999E-2</v>
      </c>
      <c r="S1330" s="43">
        <f t="shared" si="288"/>
        <v>0.92451900799999998</v>
      </c>
      <c r="T1330" s="43">
        <f t="shared" si="289"/>
        <v>3.7965751399999998</v>
      </c>
      <c r="U1330" s="43">
        <f t="shared" si="290"/>
        <v>16.0258021</v>
      </c>
      <c r="V1330" s="43">
        <f t="shared" si="291"/>
        <v>2.1010709999999999E-3</v>
      </c>
      <c r="W1330" s="230">
        <f t="shared" si="292"/>
        <v>2.9556109569280464E-2</v>
      </c>
      <c r="X1330" s="43">
        <f t="shared" si="293"/>
        <v>0.94737914899999998</v>
      </c>
      <c r="Y1330" s="43">
        <v>114.995746</v>
      </c>
      <c r="Z1330" s="43">
        <f t="shared" si="282"/>
        <v>0</v>
      </c>
      <c r="AA1330" s="43">
        <f t="shared" si="283"/>
        <v>85233</v>
      </c>
      <c r="AB1330" s="43">
        <f t="shared" si="284"/>
        <v>30359</v>
      </c>
      <c r="AC1330" s="43">
        <f t="shared" si="294"/>
        <v>1.7062811181712705E-2</v>
      </c>
      <c r="AD1330" s="43">
        <f t="shared" si="295"/>
        <v>0.87966620448387123</v>
      </c>
      <c r="AF1330" s="43">
        <v>19.019154130278739</v>
      </c>
      <c r="AG1330" s="43">
        <v>1.2192738999999999E-2</v>
      </c>
      <c r="AH1330" s="43">
        <v>1.3760085999999999E-2</v>
      </c>
      <c r="AI1330" s="43">
        <v>0.92451900799999998</v>
      </c>
      <c r="AJ1330" s="43">
        <v>3.7965751399999998</v>
      </c>
      <c r="AK1330" s="43">
        <v>16.0258021</v>
      </c>
      <c r="AL1330" s="43">
        <v>2.1010709999999999E-3</v>
      </c>
      <c r="AM1330" s="230">
        <v>2.9556109569280464E-2</v>
      </c>
      <c r="AN1330" s="43">
        <v>0.94737914899999998</v>
      </c>
    </row>
    <row r="1331" spans="1:40" x14ac:dyDescent="0.25">
      <c r="A1331" s="134">
        <v>1321</v>
      </c>
      <c r="B1331" s="134" t="s">
        <v>204</v>
      </c>
      <c r="C1331" s="134" t="s">
        <v>205</v>
      </c>
      <c r="D1331" s="134" t="s">
        <v>62</v>
      </c>
      <c r="E1331" s="134">
        <v>570</v>
      </c>
      <c r="F1331" s="134">
        <v>1640</v>
      </c>
      <c r="G1331" s="134">
        <v>138</v>
      </c>
      <c r="H1331" s="134">
        <v>0</v>
      </c>
      <c r="I1331" s="200">
        <v>0.215949456874</v>
      </c>
      <c r="J1331" s="134">
        <v>1640</v>
      </c>
      <c r="K1331" s="134">
        <v>7594.3696443500003</v>
      </c>
      <c r="L1331" s="42">
        <v>0.90431313200800001</v>
      </c>
      <c r="M1331" s="42">
        <v>0</v>
      </c>
      <c r="N1331" s="134">
        <v>0</v>
      </c>
      <c r="O1331" s="43" t="s">
        <v>666</v>
      </c>
      <c r="P1331" s="43">
        <f t="shared" si="285"/>
        <v>19.084880243975771</v>
      </c>
      <c r="Q1331" s="43">
        <f t="shared" si="286"/>
        <v>1.8726162000000001E-2</v>
      </c>
      <c r="R1331" s="43">
        <f t="shared" si="287"/>
        <v>1.3960545E-2</v>
      </c>
      <c r="S1331" s="43">
        <f t="shared" si="288"/>
        <v>0.90431313199999996</v>
      </c>
      <c r="T1331" s="43">
        <f t="shared" si="289"/>
        <v>3.1725361730000001</v>
      </c>
      <c r="U1331" s="43">
        <f t="shared" si="290"/>
        <v>14.75751035</v>
      </c>
      <c r="V1331" s="43">
        <f t="shared" si="291"/>
        <v>2.3184149999999999E-3</v>
      </c>
      <c r="W1331" s="230">
        <f t="shared" si="292"/>
        <v>4.729273661041819E-2</v>
      </c>
      <c r="X1331" s="43">
        <f t="shared" si="293"/>
        <v>0.92958180499999998</v>
      </c>
      <c r="Y1331" s="43">
        <v>37.667425829999999</v>
      </c>
      <c r="Z1331" s="43">
        <f t="shared" si="282"/>
        <v>0</v>
      </c>
      <c r="AA1331" s="43">
        <f t="shared" si="283"/>
        <v>85233</v>
      </c>
      <c r="AB1331" s="43">
        <f t="shared" si="284"/>
        <v>30359</v>
      </c>
      <c r="AC1331" s="43">
        <f t="shared" si="294"/>
        <v>1.7062811181712705E-2</v>
      </c>
      <c r="AD1331" s="43">
        <f t="shared" si="295"/>
        <v>0.87966620448387123</v>
      </c>
      <c r="AF1331" s="43">
        <v>19.084880243975771</v>
      </c>
      <c r="AG1331" s="43">
        <v>1.8726162000000001E-2</v>
      </c>
      <c r="AH1331" s="43">
        <v>1.3960545E-2</v>
      </c>
      <c r="AI1331" s="43">
        <v>0.90431313199999996</v>
      </c>
      <c r="AJ1331" s="43">
        <v>3.1725361730000001</v>
      </c>
      <c r="AK1331" s="43">
        <v>14.75751035</v>
      </c>
      <c r="AL1331" s="43">
        <v>2.3184149999999999E-3</v>
      </c>
      <c r="AM1331" s="230">
        <v>4.729273661041819E-2</v>
      </c>
      <c r="AN1331" s="43">
        <v>0.92958180499999998</v>
      </c>
    </row>
    <row r="1332" spans="1:40" x14ac:dyDescent="0.25">
      <c r="A1332" s="134">
        <v>1322</v>
      </c>
      <c r="B1332" s="134" t="s">
        <v>204</v>
      </c>
      <c r="C1332" s="134" t="s">
        <v>205</v>
      </c>
      <c r="D1332" s="134" t="s">
        <v>62</v>
      </c>
      <c r="E1332" s="134">
        <v>641</v>
      </c>
      <c r="F1332" s="134">
        <v>1844</v>
      </c>
      <c r="G1332" s="134">
        <v>164</v>
      </c>
      <c r="H1332" s="134">
        <v>56</v>
      </c>
      <c r="I1332" s="200">
        <v>0.256964996364</v>
      </c>
      <c r="J1332" s="134">
        <v>1900</v>
      </c>
      <c r="K1332" s="134">
        <v>7394.0031789699997</v>
      </c>
      <c r="L1332" s="42">
        <v>0.88499633540099998</v>
      </c>
      <c r="M1332" s="42">
        <v>8.0344332855099995E-2</v>
      </c>
      <c r="N1332" s="134">
        <v>0</v>
      </c>
      <c r="O1332" s="43" t="s">
        <v>666</v>
      </c>
      <c r="P1332" s="43">
        <f t="shared" si="285"/>
        <v>18.399878077657622</v>
      </c>
      <c r="Q1332" s="43">
        <f t="shared" si="286"/>
        <v>2.2487983E-2</v>
      </c>
      <c r="R1332" s="43">
        <f t="shared" si="287"/>
        <v>1.3127801999999999E-2</v>
      </c>
      <c r="S1332" s="43">
        <f t="shared" si="288"/>
        <v>0.88499633499999997</v>
      </c>
      <c r="T1332" s="43">
        <f t="shared" si="289"/>
        <v>2.7479283309999998</v>
      </c>
      <c r="U1332" s="43">
        <f t="shared" si="290"/>
        <v>13.262493259999999</v>
      </c>
      <c r="V1332" s="43">
        <f t="shared" si="291"/>
        <v>1.8575849999999999E-3</v>
      </c>
      <c r="W1332" s="230">
        <f t="shared" si="292"/>
        <v>3.9312814909245437E-2</v>
      </c>
      <c r="X1332" s="43">
        <f t="shared" si="293"/>
        <v>0.93043161500000005</v>
      </c>
      <c r="Y1332" s="43">
        <v>116.93065439999999</v>
      </c>
      <c r="Z1332" s="43">
        <f t="shared" si="282"/>
        <v>0</v>
      </c>
      <c r="AA1332" s="43">
        <f t="shared" si="283"/>
        <v>85233</v>
      </c>
      <c r="AB1332" s="43">
        <f t="shared" si="284"/>
        <v>30359</v>
      </c>
      <c r="AC1332" s="43">
        <f t="shared" si="294"/>
        <v>1.7062811181712705E-2</v>
      </c>
      <c r="AD1332" s="43">
        <f t="shared" si="295"/>
        <v>0.87966620448387123</v>
      </c>
      <c r="AF1332" s="43">
        <v>18.399878077657622</v>
      </c>
      <c r="AG1332" s="43">
        <v>2.2487983E-2</v>
      </c>
      <c r="AH1332" s="43">
        <v>1.3127801999999999E-2</v>
      </c>
      <c r="AI1332" s="43">
        <v>0.88499633499999997</v>
      </c>
      <c r="AJ1332" s="43">
        <v>2.7479283309999998</v>
      </c>
      <c r="AK1332" s="43">
        <v>13.262493259999999</v>
      </c>
      <c r="AL1332" s="43">
        <v>1.8575849999999999E-3</v>
      </c>
      <c r="AM1332" s="230">
        <v>3.9312814909245437E-2</v>
      </c>
      <c r="AN1332" s="43">
        <v>0.93043161500000005</v>
      </c>
    </row>
    <row r="1333" spans="1:40" x14ac:dyDescent="0.25">
      <c r="A1333" s="134">
        <v>1323</v>
      </c>
      <c r="B1333" s="134" t="s">
        <v>204</v>
      </c>
      <c r="C1333" s="134" t="s">
        <v>205</v>
      </c>
      <c r="D1333" s="134" t="s">
        <v>62</v>
      </c>
      <c r="E1333" s="134">
        <v>280</v>
      </c>
      <c r="F1333" s="134">
        <v>806</v>
      </c>
      <c r="G1333" s="134">
        <v>36</v>
      </c>
      <c r="H1333" s="134">
        <v>0</v>
      </c>
      <c r="I1333" s="200">
        <v>5.6254825953900002E-2</v>
      </c>
      <c r="J1333" s="134">
        <v>806</v>
      </c>
      <c r="K1333" s="134">
        <v>14327.659651100001</v>
      </c>
      <c r="L1333" s="42">
        <v>0.88191198379400004</v>
      </c>
      <c r="M1333" s="42">
        <v>0</v>
      </c>
      <c r="N1333" s="134">
        <v>0</v>
      </c>
      <c r="O1333" s="43" t="s">
        <v>666</v>
      </c>
      <c r="P1333" s="43">
        <f t="shared" si="285"/>
        <v>17.259808941384815</v>
      </c>
      <c r="Q1333" s="43">
        <f t="shared" si="286"/>
        <v>2.9047081999999998E-2</v>
      </c>
      <c r="R1333" s="43">
        <f t="shared" si="287"/>
        <v>1.4480187E-2</v>
      </c>
      <c r="S1333" s="43">
        <f t="shared" si="288"/>
        <v>0.88191198400000004</v>
      </c>
      <c r="T1333" s="43">
        <f t="shared" si="289"/>
        <v>3.1250340510000001</v>
      </c>
      <c r="U1333" s="43">
        <f t="shared" si="290"/>
        <v>14.333002779999999</v>
      </c>
      <c r="V1333" s="43">
        <f t="shared" si="291"/>
        <v>3.5992620000000002E-3</v>
      </c>
      <c r="W1333" s="230">
        <f t="shared" si="292"/>
        <v>4.3815812957344283E-2</v>
      </c>
      <c r="X1333" s="43">
        <f t="shared" si="293"/>
        <v>0.89270628799999996</v>
      </c>
      <c r="Y1333" s="43">
        <v>133.49584960000001</v>
      </c>
      <c r="Z1333" s="43">
        <f t="shared" si="282"/>
        <v>0</v>
      </c>
      <c r="AA1333" s="43">
        <f t="shared" si="283"/>
        <v>85233</v>
      </c>
      <c r="AB1333" s="43">
        <f t="shared" si="284"/>
        <v>30359</v>
      </c>
      <c r="AC1333" s="43">
        <f t="shared" si="294"/>
        <v>1.7062811181712705E-2</v>
      </c>
      <c r="AD1333" s="43">
        <f t="shared" si="295"/>
        <v>0.87966620448387123</v>
      </c>
      <c r="AF1333" s="43">
        <v>17.259808941384815</v>
      </c>
      <c r="AG1333" s="43">
        <v>2.9047081999999998E-2</v>
      </c>
      <c r="AH1333" s="43">
        <v>1.4480187E-2</v>
      </c>
      <c r="AI1333" s="43">
        <v>0.88191198400000004</v>
      </c>
      <c r="AJ1333" s="43">
        <v>3.1250340510000001</v>
      </c>
      <c r="AK1333" s="43">
        <v>14.333002779999999</v>
      </c>
      <c r="AL1333" s="43">
        <v>3.5992620000000002E-3</v>
      </c>
      <c r="AM1333" s="230">
        <v>4.3815812957344283E-2</v>
      </c>
      <c r="AN1333" s="43">
        <v>0.89270628799999996</v>
      </c>
    </row>
    <row r="1334" spans="1:40" x14ac:dyDescent="0.25">
      <c r="A1334" s="134">
        <v>1324</v>
      </c>
      <c r="B1334" s="134" t="s">
        <v>204</v>
      </c>
      <c r="C1334" s="134" t="s">
        <v>205</v>
      </c>
      <c r="D1334" s="134" t="s">
        <v>62</v>
      </c>
      <c r="E1334" s="134">
        <v>0</v>
      </c>
      <c r="F1334" s="134">
        <v>0</v>
      </c>
      <c r="G1334" s="134">
        <v>42</v>
      </c>
      <c r="H1334" s="134">
        <v>231</v>
      </c>
      <c r="I1334" s="200">
        <v>6.6082853736700004E-2</v>
      </c>
      <c r="J1334" s="134">
        <v>231</v>
      </c>
      <c r="K1334" s="134">
        <v>3495.6117500700002</v>
      </c>
      <c r="L1334" s="42">
        <v>0.95900451030900002</v>
      </c>
      <c r="M1334" s="42">
        <v>1</v>
      </c>
      <c r="N1334" s="134">
        <v>0</v>
      </c>
      <c r="O1334" s="43" t="s">
        <v>666</v>
      </c>
      <c r="P1334" s="43">
        <f t="shared" si="285"/>
        <v>17.559192704983747</v>
      </c>
      <c r="Q1334" s="43">
        <f t="shared" si="286"/>
        <v>3.9465209999999997E-3</v>
      </c>
      <c r="R1334" s="43">
        <f t="shared" si="287"/>
        <v>1.6913659999999999E-3</v>
      </c>
      <c r="S1334" s="43">
        <f t="shared" si="288"/>
        <v>0.95900450999999998</v>
      </c>
      <c r="T1334" s="43">
        <f t="shared" si="289"/>
        <v>5.2888888889999999</v>
      </c>
      <c r="U1334" s="43">
        <f t="shared" si="290"/>
        <v>9.4875402050000002</v>
      </c>
      <c r="V1334" s="43">
        <f t="shared" si="291"/>
        <v>1.7522340000000001E-3</v>
      </c>
      <c r="W1334" s="230">
        <f t="shared" si="292"/>
        <v>2.2779043280182231E-3</v>
      </c>
      <c r="X1334" s="43">
        <f t="shared" si="293"/>
        <v>0.95847205199999996</v>
      </c>
      <c r="Y1334" s="43">
        <v>37.497666389999999</v>
      </c>
      <c r="Z1334" s="43">
        <f t="shared" si="282"/>
        <v>0</v>
      </c>
      <c r="AA1334" s="43">
        <f t="shared" si="283"/>
        <v>85233</v>
      </c>
      <c r="AB1334" s="43">
        <f t="shared" si="284"/>
        <v>30359</v>
      </c>
      <c r="AC1334" s="43">
        <f t="shared" si="294"/>
        <v>1.7062811181712705E-2</v>
      </c>
      <c r="AD1334" s="43">
        <f t="shared" si="295"/>
        <v>0.87966620448387123</v>
      </c>
      <c r="AF1334" s="43">
        <v>17.559192704983747</v>
      </c>
      <c r="AG1334" s="43">
        <v>3.9465209999999997E-3</v>
      </c>
      <c r="AH1334" s="43">
        <v>1.6913659999999999E-3</v>
      </c>
      <c r="AI1334" s="43">
        <v>0.95900450999999998</v>
      </c>
      <c r="AJ1334" s="43">
        <v>5.2888888889999999</v>
      </c>
      <c r="AK1334" s="43">
        <v>9.4875402050000002</v>
      </c>
      <c r="AL1334" s="43">
        <v>1.7522340000000001E-3</v>
      </c>
      <c r="AM1334" s="230">
        <v>2.2779043280182231E-3</v>
      </c>
      <c r="AN1334" s="43">
        <v>0.95847205199999996</v>
      </c>
    </row>
    <row r="1335" spans="1:40" x14ac:dyDescent="0.25">
      <c r="A1335" s="134">
        <v>1325</v>
      </c>
      <c r="B1335" s="134" t="s">
        <v>204</v>
      </c>
      <c r="C1335" s="134" t="s">
        <v>205</v>
      </c>
      <c r="D1335" s="134" t="s">
        <v>62</v>
      </c>
      <c r="E1335" s="134">
        <v>9</v>
      </c>
      <c r="F1335" s="134">
        <v>27</v>
      </c>
      <c r="G1335" s="134">
        <v>198</v>
      </c>
      <c r="H1335" s="134">
        <v>621</v>
      </c>
      <c r="I1335" s="200">
        <v>0.30920095075800003</v>
      </c>
      <c r="J1335" s="134">
        <v>648</v>
      </c>
      <c r="K1335" s="134">
        <v>2095.7244743699998</v>
      </c>
      <c r="L1335" s="42">
        <v>0.93638495847400005</v>
      </c>
      <c r="M1335" s="42">
        <v>0.98571428571399999</v>
      </c>
      <c r="N1335" s="134">
        <v>0</v>
      </c>
      <c r="O1335" s="43" t="s">
        <v>666</v>
      </c>
      <c r="P1335" s="43">
        <f t="shared" si="285"/>
        <v>18.146124993913741</v>
      </c>
      <c r="Q1335" s="43">
        <f t="shared" si="286"/>
        <v>3.354737E-3</v>
      </c>
      <c r="R1335" s="43">
        <f t="shared" si="287"/>
        <v>5.8731929999999996E-3</v>
      </c>
      <c r="S1335" s="43">
        <f t="shared" si="288"/>
        <v>0.93638495799999999</v>
      </c>
      <c r="T1335" s="43">
        <f t="shared" si="289"/>
        <v>3.0535861500000001</v>
      </c>
      <c r="U1335" s="43">
        <f t="shared" si="290"/>
        <v>9.9855931879999993</v>
      </c>
      <c r="V1335" s="43">
        <f t="shared" si="291"/>
        <v>2.1558129999999999E-3</v>
      </c>
      <c r="W1335" s="230">
        <f t="shared" si="292"/>
        <v>4.2620675983744668E-3</v>
      </c>
      <c r="X1335" s="43">
        <f t="shared" si="293"/>
        <v>0.96686985800000003</v>
      </c>
      <c r="Y1335" s="43">
        <v>37.393751520000002</v>
      </c>
      <c r="Z1335" s="43">
        <f t="shared" si="282"/>
        <v>0</v>
      </c>
      <c r="AA1335" s="43">
        <f t="shared" si="283"/>
        <v>85233</v>
      </c>
      <c r="AB1335" s="43">
        <f t="shared" si="284"/>
        <v>30359</v>
      </c>
      <c r="AC1335" s="43">
        <f t="shared" si="294"/>
        <v>1.7062811181712705E-2</v>
      </c>
      <c r="AD1335" s="43">
        <f t="shared" si="295"/>
        <v>0.87966620448387123</v>
      </c>
      <c r="AF1335" s="43">
        <v>18.146124993913741</v>
      </c>
      <c r="AG1335" s="43">
        <v>3.354737E-3</v>
      </c>
      <c r="AH1335" s="43">
        <v>5.8731929999999996E-3</v>
      </c>
      <c r="AI1335" s="43">
        <v>0.93638495799999999</v>
      </c>
      <c r="AJ1335" s="43">
        <v>3.0535861500000001</v>
      </c>
      <c r="AK1335" s="43">
        <v>9.9855931879999993</v>
      </c>
      <c r="AL1335" s="43">
        <v>2.1558129999999999E-3</v>
      </c>
      <c r="AM1335" s="230">
        <v>4.2620675983744668E-3</v>
      </c>
      <c r="AN1335" s="43">
        <v>0.96686985800000003</v>
      </c>
    </row>
    <row r="1336" spans="1:40" x14ac:dyDescent="0.25">
      <c r="A1336" s="134">
        <v>1326</v>
      </c>
      <c r="B1336" s="134" t="s">
        <v>204</v>
      </c>
      <c r="C1336" s="134" t="s">
        <v>205</v>
      </c>
      <c r="D1336" s="134" t="s">
        <v>62</v>
      </c>
      <c r="E1336" s="134">
        <v>36</v>
      </c>
      <c r="F1336" s="134">
        <v>100</v>
      </c>
      <c r="G1336" s="134">
        <v>13</v>
      </c>
      <c r="H1336" s="134">
        <v>4</v>
      </c>
      <c r="I1336" s="200">
        <v>1.97250733851E-2</v>
      </c>
      <c r="J1336" s="134">
        <v>104</v>
      </c>
      <c r="K1336" s="134">
        <v>5272.4772156400004</v>
      </c>
      <c r="L1336" s="42">
        <v>0.82347058823499997</v>
      </c>
      <c r="M1336" s="42">
        <v>0.1</v>
      </c>
      <c r="N1336" s="134">
        <v>0</v>
      </c>
      <c r="O1336" s="43" t="s">
        <v>664</v>
      </c>
      <c r="P1336" s="43">
        <f t="shared" si="285"/>
        <v>16.197409440019108</v>
      </c>
      <c r="Q1336" s="43">
        <f t="shared" si="286"/>
        <v>2.5529412000000001E-2</v>
      </c>
      <c r="R1336" s="43">
        <f t="shared" si="287"/>
        <v>1.2470587999999999E-2</v>
      </c>
      <c r="S1336" s="43">
        <f t="shared" si="288"/>
        <v>0.82347058799999995</v>
      </c>
      <c r="T1336" s="43">
        <f t="shared" si="289"/>
        <v>2.062953995</v>
      </c>
      <c r="U1336" s="43">
        <f t="shared" si="290"/>
        <v>8.1058198739999998</v>
      </c>
      <c r="V1336" s="43">
        <f t="shared" si="291"/>
        <v>2.2188896352201251E-3</v>
      </c>
      <c r="W1336" s="230">
        <f t="shared" si="292"/>
        <v>5.8908460872076233E-2</v>
      </c>
      <c r="X1336" s="43">
        <f t="shared" si="293"/>
        <v>0.77851573799999996</v>
      </c>
      <c r="Y1336" s="43">
        <v>121.0149649</v>
      </c>
      <c r="Z1336" s="43">
        <f t="shared" si="282"/>
        <v>0</v>
      </c>
      <c r="AA1336" s="43">
        <f t="shared" si="283"/>
        <v>85233</v>
      </c>
      <c r="AB1336" s="43">
        <f t="shared" si="284"/>
        <v>30359</v>
      </c>
      <c r="AC1336" s="43">
        <f t="shared" si="294"/>
        <v>1.7062811181712705E-2</v>
      </c>
      <c r="AD1336" s="43">
        <f t="shared" si="295"/>
        <v>0.87966620448387123</v>
      </c>
      <c r="AF1336" s="43">
        <v>16.197409440019108</v>
      </c>
      <c r="AG1336" s="43">
        <v>2.5529412000000001E-2</v>
      </c>
      <c r="AH1336" s="43">
        <v>1.2470587999999999E-2</v>
      </c>
      <c r="AI1336" s="43">
        <v>0.82347058799999995</v>
      </c>
      <c r="AJ1336" s="43">
        <v>2.062953995</v>
      </c>
      <c r="AK1336" s="43">
        <v>8.1058198739999998</v>
      </c>
      <c r="AL1336" s="43">
        <v>0</v>
      </c>
      <c r="AM1336" s="230">
        <v>5.8908460872076233E-2</v>
      </c>
      <c r="AN1336" s="43">
        <v>0.77851573799999996</v>
      </c>
    </row>
    <row r="1337" spans="1:40" x14ac:dyDescent="0.25">
      <c r="A1337" s="134">
        <v>1327</v>
      </c>
      <c r="B1337" s="134" t="s">
        <v>204</v>
      </c>
      <c r="C1337" s="134" t="s">
        <v>205</v>
      </c>
      <c r="D1337" s="134" t="s">
        <v>62</v>
      </c>
      <c r="E1337" s="134">
        <v>161</v>
      </c>
      <c r="F1337" s="134">
        <v>447</v>
      </c>
      <c r="G1337" s="134">
        <v>61</v>
      </c>
      <c r="H1337" s="134">
        <v>84</v>
      </c>
      <c r="I1337" s="200">
        <v>9.2650736389499999E-2</v>
      </c>
      <c r="J1337" s="134">
        <v>531</v>
      </c>
      <c r="K1337" s="134">
        <v>5731.2010750500003</v>
      </c>
      <c r="L1337" s="42">
        <v>0.64916311905099999</v>
      </c>
      <c r="M1337" s="42">
        <v>0.34285714285699997</v>
      </c>
      <c r="N1337" s="134">
        <v>0</v>
      </c>
      <c r="O1337" s="43" t="s">
        <v>666</v>
      </c>
      <c r="P1337" s="43">
        <f t="shared" si="285"/>
        <v>16.83283465249594</v>
      </c>
      <c r="Q1337" s="43">
        <f t="shared" si="286"/>
        <v>2.0537574999999999E-2</v>
      </c>
      <c r="R1337" s="43">
        <f t="shared" si="287"/>
        <v>0.19407681800000001</v>
      </c>
      <c r="S1337" s="43">
        <f t="shared" si="288"/>
        <v>0.64916311900000001</v>
      </c>
      <c r="T1337" s="43">
        <f t="shared" si="289"/>
        <v>2.4403219140000001</v>
      </c>
      <c r="U1337" s="43">
        <f t="shared" si="290"/>
        <v>8.2372298619999995</v>
      </c>
      <c r="V1337" s="43">
        <f t="shared" si="291"/>
        <v>3.0112239999999998E-3</v>
      </c>
      <c r="W1337" s="230">
        <f t="shared" si="292"/>
        <v>5.7213249384067882E-2</v>
      </c>
      <c r="X1337" s="43">
        <f t="shared" si="293"/>
        <v>0.86417556299999998</v>
      </c>
      <c r="Y1337" s="43">
        <v>120.8888309</v>
      </c>
      <c r="Z1337" s="43">
        <f t="shared" si="282"/>
        <v>0</v>
      </c>
      <c r="AA1337" s="43">
        <f t="shared" si="283"/>
        <v>85233</v>
      </c>
      <c r="AB1337" s="43">
        <f t="shared" si="284"/>
        <v>30359</v>
      </c>
      <c r="AC1337" s="43">
        <f t="shared" si="294"/>
        <v>1.7062811181712705E-2</v>
      </c>
      <c r="AD1337" s="43">
        <f t="shared" si="295"/>
        <v>0.87966620448387123</v>
      </c>
      <c r="AF1337" s="43">
        <v>16.83283465249594</v>
      </c>
      <c r="AG1337" s="43">
        <v>2.0537574999999999E-2</v>
      </c>
      <c r="AH1337" s="43">
        <v>0.19407681800000001</v>
      </c>
      <c r="AI1337" s="43">
        <v>0.64916311900000001</v>
      </c>
      <c r="AJ1337" s="43">
        <v>2.4403219140000001</v>
      </c>
      <c r="AK1337" s="43">
        <v>8.2372298619999995</v>
      </c>
      <c r="AL1337" s="43">
        <v>3.0112239999999998E-3</v>
      </c>
      <c r="AM1337" s="230">
        <v>5.7213249384067882E-2</v>
      </c>
      <c r="AN1337" s="43">
        <v>0.86417556299999998</v>
      </c>
    </row>
    <row r="1338" spans="1:40" x14ac:dyDescent="0.25">
      <c r="A1338" s="134">
        <v>1328</v>
      </c>
      <c r="B1338" s="134" t="s">
        <v>204</v>
      </c>
      <c r="C1338" s="134" t="s">
        <v>205</v>
      </c>
      <c r="D1338" s="134" t="s">
        <v>62</v>
      </c>
      <c r="E1338" s="134">
        <v>944</v>
      </c>
      <c r="F1338" s="134">
        <v>2618</v>
      </c>
      <c r="G1338" s="134">
        <v>171</v>
      </c>
      <c r="H1338" s="134">
        <v>0</v>
      </c>
      <c r="I1338" s="200">
        <v>0.26026104053999999</v>
      </c>
      <c r="J1338" s="134">
        <v>2618</v>
      </c>
      <c r="K1338" s="134">
        <v>10059.1313804</v>
      </c>
      <c r="L1338" s="42">
        <v>0.86238834180400004</v>
      </c>
      <c r="M1338" s="42">
        <v>0</v>
      </c>
      <c r="N1338" s="134">
        <v>0</v>
      </c>
      <c r="O1338" s="43" t="s">
        <v>666</v>
      </c>
      <c r="P1338" s="43">
        <f t="shared" si="285"/>
        <v>18.621476216990125</v>
      </c>
      <c r="Q1338" s="43">
        <f t="shared" si="286"/>
        <v>3.2257092000000001E-2</v>
      </c>
      <c r="R1338" s="43">
        <f t="shared" si="287"/>
        <v>1.4386753E-2</v>
      </c>
      <c r="S1338" s="43">
        <f t="shared" si="288"/>
        <v>0.86238834200000003</v>
      </c>
      <c r="T1338" s="43">
        <f t="shared" si="289"/>
        <v>2.516577727</v>
      </c>
      <c r="U1338" s="43">
        <f t="shared" si="290"/>
        <v>12.26274873</v>
      </c>
      <c r="V1338" s="43">
        <f t="shared" si="291"/>
        <v>2.8085390000000001E-3</v>
      </c>
      <c r="W1338" s="230">
        <f t="shared" si="292"/>
        <v>7.9760366498296723E-2</v>
      </c>
      <c r="X1338" s="43">
        <f t="shared" si="293"/>
        <v>0.88748758599999999</v>
      </c>
      <c r="Y1338" s="43">
        <v>110.22039340000001</v>
      </c>
      <c r="Z1338" s="43">
        <f t="shared" si="282"/>
        <v>0</v>
      </c>
      <c r="AA1338" s="43">
        <f t="shared" si="283"/>
        <v>85233</v>
      </c>
      <c r="AB1338" s="43">
        <f t="shared" si="284"/>
        <v>30359</v>
      </c>
      <c r="AC1338" s="43">
        <f t="shared" si="294"/>
        <v>1.7062811181712705E-2</v>
      </c>
      <c r="AD1338" s="43">
        <f t="shared" si="295"/>
        <v>0.87966620448387123</v>
      </c>
      <c r="AF1338" s="43">
        <v>18.621476216990125</v>
      </c>
      <c r="AG1338" s="43">
        <v>3.2257092000000001E-2</v>
      </c>
      <c r="AH1338" s="43">
        <v>1.4386753E-2</v>
      </c>
      <c r="AI1338" s="43">
        <v>0.86238834200000003</v>
      </c>
      <c r="AJ1338" s="43">
        <v>2.516577727</v>
      </c>
      <c r="AK1338" s="43">
        <v>12.26274873</v>
      </c>
      <c r="AL1338" s="43">
        <v>2.8085390000000001E-3</v>
      </c>
      <c r="AM1338" s="230">
        <v>7.9760366498296723E-2</v>
      </c>
      <c r="AN1338" s="43">
        <v>0.88748758599999999</v>
      </c>
    </row>
    <row r="1339" spans="1:40" x14ac:dyDescent="0.25">
      <c r="A1339" s="134">
        <v>1329</v>
      </c>
      <c r="B1339" s="134" t="s">
        <v>204</v>
      </c>
      <c r="C1339" s="134" t="s">
        <v>205</v>
      </c>
      <c r="D1339" s="134" t="s">
        <v>62</v>
      </c>
      <c r="E1339" s="134">
        <v>420</v>
      </c>
      <c r="F1339" s="134">
        <v>1164</v>
      </c>
      <c r="G1339" s="134">
        <v>98</v>
      </c>
      <c r="H1339" s="134">
        <v>0</v>
      </c>
      <c r="I1339" s="200">
        <v>0.150055958218</v>
      </c>
      <c r="J1339" s="134">
        <v>1164</v>
      </c>
      <c r="K1339" s="134">
        <v>7757.1061744299996</v>
      </c>
      <c r="L1339" s="42">
        <v>0.88150584546199995</v>
      </c>
      <c r="M1339" s="42">
        <v>0</v>
      </c>
      <c r="N1339" s="134">
        <v>0</v>
      </c>
      <c r="O1339" s="43" t="s">
        <v>666</v>
      </c>
      <c r="P1339" s="43">
        <f t="shared" si="285"/>
        <v>19.063099491044337</v>
      </c>
      <c r="Q1339" s="43">
        <f t="shared" si="286"/>
        <v>2.5699580999999999E-2</v>
      </c>
      <c r="R1339" s="43">
        <f t="shared" si="287"/>
        <v>1.4752832E-2</v>
      </c>
      <c r="S1339" s="43">
        <f t="shared" si="288"/>
        <v>0.88150584499999995</v>
      </c>
      <c r="T1339" s="43">
        <f t="shared" si="289"/>
        <v>2.7872095259999998</v>
      </c>
      <c r="U1339" s="43">
        <f t="shared" si="290"/>
        <v>13.759202030000001</v>
      </c>
      <c r="V1339" s="43">
        <f t="shared" si="291"/>
        <v>2.5099549999999999E-3</v>
      </c>
      <c r="W1339" s="230">
        <f t="shared" si="292"/>
        <v>5.0898998431277903E-2</v>
      </c>
      <c r="X1339" s="43">
        <f t="shared" si="293"/>
        <v>0.91422710299999999</v>
      </c>
      <c r="Y1339" s="43">
        <v>92.890902600000004</v>
      </c>
      <c r="Z1339" s="43">
        <f t="shared" si="282"/>
        <v>0</v>
      </c>
      <c r="AA1339" s="43">
        <f t="shared" si="283"/>
        <v>85233</v>
      </c>
      <c r="AB1339" s="43">
        <f t="shared" si="284"/>
        <v>30359</v>
      </c>
      <c r="AC1339" s="43">
        <f t="shared" si="294"/>
        <v>1.7062811181712705E-2</v>
      </c>
      <c r="AD1339" s="43">
        <f t="shared" si="295"/>
        <v>0.87966620448387123</v>
      </c>
      <c r="AF1339" s="43">
        <v>19.063099491044337</v>
      </c>
      <c r="AG1339" s="43">
        <v>2.5699580999999999E-2</v>
      </c>
      <c r="AH1339" s="43">
        <v>1.4752832E-2</v>
      </c>
      <c r="AI1339" s="43">
        <v>0.88150584499999995</v>
      </c>
      <c r="AJ1339" s="43">
        <v>2.7872095259999998</v>
      </c>
      <c r="AK1339" s="43">
        <v>13.759202030000001</v>
      </c>
      <c r="AL1339" s="43">
        <v>2.5099549999999999E-3</v>
      </c>
      <c r="AM1339" s="230">
        <v>5.0898998431277903E-2</v>
      </c>
      <c r="AN1339" s="43">
        <v>0.91422710299999999</v>
      </c>
    </row>
    <row r="1340" spans="1:40" x14ac:dyDescent="0.25">
      <c r="A1340" s="134">
        <v>1330</v>
      </c>
      <c r="B1340" s="134" t="s">
        <v>204</v>
      </c>
      <c r="C1340" s="134" t="s">
        <v>205</v>
      </c>
      <c r="D1340" s="134" t="s">
        <v>62</v>
      </c>
      <c r="E1340" s="134">
        <v>490</v>
      </c>
      <c r="F1340" s="134">
        <v>1359</v>
      </c>
      <c r="G1340" s="134">
        <v>157</v>
      </c>
      <c r="H1340" s="134">
        <v>581</v>
      </c>
      <c r="I1340" s="200">
        <v>0.23932145739800001</v>
      </c>
      <c r="J1340" s="134">
        <v>1940</v>
      </c>
      <c r="K1340" s="134">
        <v>8106.2518216799999</v>
      </c>
      <c r="L1340" s="42">
        <v>0.85860502599199995</v>
      </c>
      <c r="M1340" s="42">
        <v>0.54248366013100002</v>
      </c>
      <c r="N1340" s="134">
        <v>0</v>
      </c>
      <c r="O1340" s="43" t="s">
        <v>666</v>
      </c>
      <c r="P1340" s="43">
        <f t="shared" si="285"/>
        <v>17.911422602758808</v>
      </c>
      <c r="Q1340" s="43">
        <f t="shared" si="286"/>
        <v>2.2128983000000001E-2</v>
      </c>
      <c r="R1340" s="43">
        <f t="shared" si="287"/>
        <v>1.1514287E-2</v>
      </c>
      <c r="S1340" s="43">
        <f t="shared" si="288"/>
        <v>0.85860502599999999</v>
      </c>
      <c r="T1340" s="43">
        <f t="shared" si="289"/>
        <v>2.3053101840000001</v>
      </c>
      <c r="U1340" s="43">
        <f t="shared" si="290"/>
        <v>10.16409578</v>
      </c>
      <c r="V1340" s="43">
        <f t="shared" si="291"/>
        <v>3.6798740000000001E-3</v>
      </c>
      <c r="W1340" s="230">
        <f t="shared" si="292"/>
        <v>4.6715885947046842E-2</v>
      </c>
      <c r="X1340" s="43">
        <f t="shared" si="293"/>
        <v>0.89608405899999999</v>
      </c>
      <c r="Y1340" s="43">
        <v>93.887115499999993</v>
      </c>
      <c r="Z1340" s="43">
        <f t="shared" si="282"/>
        <v>0</v>
      </c>
      <c r="AA1340" s="43">
        <f t="shared" si="283"/>
        <v>85233</v>
      </c>
      <c r="AB1340" s="43">
        <f t="shared" si="284"/>
        <v>30359</v>
      </c>
      <c r="AC1340" s="43">
        <f t="shared" si="294"/>
        <v>1.7062811181712705E-2</v>
      </c>
      <c r="AD1340" s="43">
        <f t="shared" si="295"/>
        <v>0.87966620448387123</v>
      </c>
      <c r="AF1340" s="43">
        <v>17.911422602758808</v>
      </c>
      <c r="AG1340" s="43">
        <v>2.2128983000000001E-2</v>
      </c>
      <c r="AH1340" s="43">
        <v>1.1514287E-2</v>
      </c>
      <c r="AI1340" s="43">
        <v>0.85860502599999999</v>
      </c>
      <c r="AJ1340" s="43">
        <v>2.3053101840000001</v>
      </c>
      <c r="AK1340" s="43">
        <v>10.16409578</v>
      </c>
      <c r="AL1340" s="43">
        <v>3.6798740000000001E-3</v>
      </c>
      <c r="AM1340" s="230">
        <v>4.6715885947046842E-2</v>
      </c>
      <c r="AN1340" s="43">
        <v>0.89608405899999999</v>
      </c>
    </row>
    <row r="1341" spans="1:40" x14ac:dyDescent="0.25">
      <c r="A1341" s="134">
        <v>1331</v>
      </c>
      <c r="B1341" s="134" t="s">
        <v>204</v>
      </c>
      <c r="C1341" s="134" t="s">
        <v>205</v>
      </c>
      <c r="D1341" s="134" t="s">
        <v>62</v>
      </c>
      <c r="E1341" s="134">
        <v>50</v>
      </c>
      <c r="F1341" s="134">
        <v>139</v>
      </c>
      <c r="G1341" s="134">
        <v>40</v>
      </c>
      <c r="H1341" s="134">
        <v>0</v>
      </c>
      <c r="I1341" s="200">
        <v>6.1040942525699998E-2</v>
      </c>
      <c r="J1341" s="134">
        <v>139</v>
      </c>
      <c r="K1341" s="134">
        <v>2277.1601198899998</v>
      </c>
      <c r="L1341" s="42">
        <v>0.83913924050599997</v>
      </c>
      <c r="M1341" s="42">
        <v>0</v>
      </c>
      <c r="N1341" s="134">
        <v>0</v>
      </c>
      <c r="O1341" s="43" t="s">
        <v>666</v>
      </c>
      <c r="P1341" s="43">
        <f t="shared" si="285"/>
        <v>17.199509040604038</v>
      </c>
      <c r="Q1341" s="43">
        <f t="shared" si="286"/>
        <v>2.435443E-2</v>
      </c>
      <c r="R1341" s="43">
        <f t="shared" si="287"/>
        <v>1.5037975E-2</v>
      </c>
      <c r="S1341" s="43">
        <f t="shared" si="288"/>
        <v>0.83913924100000004</v>
      </c>
      <c r="T1341" s="43">
        <f t="shared" si="289"/>
        <v>2.304857621</v>
      </c>
      <c r="U1341" s="43">
        <f t="shared" si="290"/>
        <v>10.086466440000001</v>
      </c>
      <c r="V1341" s="43">
        <f t="shared" si="291"/>
        <v>1.169591E-3</v>
      </c>
      <c r="W1341" s="230">
        <f t="shared" si="292"/>
        <v>6.3625730994152058E-2</v>
      </c>
      <c r="X1341" s="43">
        <f t="shared" si="293"/>
        <v>0.83742690099999995</v>
      </c>
      <c r="Y1341" s="43">
        <v>92.629618300000004</v>
      </c>
      <c r="Z1341" s="43">
        <f t="shared" si="282"/>
        <v>0</v>
      </c>
      <c r="AA1341" s="43">
        <f t="shared" si="283"/>
        <v>85233</v>
      </c>
      <c r="AB1341" s="43">
        <f t="shared" si="284"/>
        <v>30359</v>
      </c>
      <c r="AC1341" s="43">
        <f t="shared" si="294"/>
        <v>1.7062811181712705E-2</v>
      </c>
      <c r="AD1341" s="43">
        <f t="shared" si="295"/>
        <v>0.87966620448387123</v>
      </c>
      <c r="AF1341" s="43">
        <v>17.199509040604038</v>
      </c>
      <c r="AG1341" s="43">
        <v>2.435443E-2</v>
      </c>
      <c r="AH1341" s="43">
        <v>1.5037975E-2</v>
      </c>
      <c r="AI1341" s="43">
        <v>0.83913924100000004</v>
      </c>
      <c r="AJ1341" s="43">
        <v>2.304857621</v>
      </c>
      <c r="AK1341" s="43">
        <v>10.086466440000001</v>
      </c>
      <c r="AL1341" s="43">
        <v>1.169591E-3</v>
      </c>
      <c r="AM1341" s="230">
        <v>6.3625730994152058E-2</v>
      </c>
      <c r="AN1341" s="43">
        <v>0.83742690099999995</v>
      </c>
    </row>
    <row r="1342" spans="1:40" x14ac:dyDescent="0.25">
      <c r="A1342" s="134">
        <v>1332</v>
      </c>
      <c r="B1342" s="134" t="s">
        <v>204</v>
      </c>
      <c r="C1342" s="134" t="s">
        <v>205</v>
      </c>
      <c r="D1342" s="134" t="s">
        <v>62</v>
      </c>
      <c r="E1342" s="134">
        <v>52</v>
      </c>
      <c r="F1342" s="134">
        <v>144</v>
      </c>
      <c r="G1342" s="134">
        <v>21</v>
      </c>
      <c r="H1342" s="134">
        <v>115</v>
      </c>
      <c r="I1342" s="200">
        <v>3.1426579151799999E-2</v>
      </c>
      <c r="J1342" s="134">
        <v>259</v>
      </c>
      <c r="K1342" s="134">
        <v>8241.4315203900005</v>
      </c>
      <c r="L1342" s="42">
        <v>0.84800201530399999</v>
      </c>
      <c r="M1342" s="42">
        <v>0.68862275449099997</v>
      </c>
      <c r="N1342" s="134">
        <v>0</v>
      </c>
      <c r="O1342" s="43" t="s">
        <v>666</v>
      </c>
      <c r="P1342" s="43">
        <f t="shared" si="285"/>
        <v>15.202205975262576</v>
      </c>
      <c r="Q1342" s="43">
        <f t="shared" si="286"/>
        <v>1.6720723E-2</v>
      </c>
      <c r="R1342" s="43">
        <f t="shared" si="287"/>
        <v>1.1099915E-2</v>
      </c>
      <c r="S1342" s="43">
        <f t="shared" si="288"/>
        <v>0.84800201500000005</v>
      </c>
      <c r="T1342" s="43">
        <f t="shared" si="289"/>
        <v>2.0106990009999999</v>
      </c>
      <c r="U1342" s="43">
        <f t="shared" si="290"/>
        <v>7.1116269150000004</v>
      </c>
      <c r="V1342" s="43">
        <f t="shared" si="291"/>
        <v>2.803907E-3</v>
      </c>
      <c r="W1342" s="230">
        <f t="shared" si="292"/>
        <v>3.2199710564399416E-2</v>
      </c>
      <c r="X1342" s="43">
        <f t="shared" si="293"/>
        <v>0.85772431299999996</v>
      </c>
      <c r="Y1342" s="43">
        <v>100.0249371</v>
      </c>
      <c r="Z1342" s="43">
        <f t="shared" si="282"/>
        <v>0</v>
      </c>
      <c r="AA1342" s="43">
        <f t="shared" si="283"/>
        <v>85233</v>
      </c>
      <c r="AB1342" s="43">
        <f t="shared" si="284"/>
        <v>30359</v>
      </c>
      <c r="AC1342" s="43">
        <f t="shared" si="294"/>
        <v>1.7062811181712705E-2</v>
      </c>
      <c r="AD1342" s="43">
        <f t="shared" si="295"/>
        <v>0.87966620448387123</v>
      </c>
      <c r="AF1342" s="43">
        <v>15.202205975262576</v>
      </c>
      <c r="AG1342" s="43">
        <v>1.6720723E-2</v>
      </c>
      <c r="AH1342" s="43">
        <v>1.1099915E-2</v>
      </c>
      <c r="AI1342" s="43">
        <v>0.84800201500000005</v>
      </c>
      <c r="AJ1342" s="43">
        <v>2.0106990009999999</v>
      </c>
      <c r="AK1342" s="43">
        <v>7.1116269150000004</v>
      </c>
      <c r="AL1342" s="43">
        <v>2.803907E-3</v>
      </c>
      <c r="AM1342" s="230">
        <v>3.2199710564399416E-2</v>
      </c>
      <c r="AN1342" s="43">
        <v>0.85772431299999996</v>
      </c>
    </row>
    <row r="1343" spans="1:40" x14ac:dyDescent="0.25">
      <c r="A1343" s="134">
        <v>1333</v>
      </c>
      <c r="B1343" s="134" t="s">
        <v>204</v>
      </c>
      <c r="C1343" s="134" t="s">
        <v>205</v>
      </c>
      <c r="D1343" s="134" t="s">
        <v>62</v>
      </c>
      <c r="E1343" s="134">
        <v>52</v>
      </c>
      <c r="F1343" s="134">
        <v>145</v>
      </c>
      <c r="G1343" s="134">
        <v>117</v>
      </c>
      <c r="H1343" s="134">
        <v>1262</v>
      </c>
      <c r="I1343" s="200">
        <v>0.17887578810599999</v>
      </c>
      <c r="J1343" s="134">
        <v>1407</v>
      </c>
      <c r="K1343" s="134">
        <v>7865.7934363300001</v>
      </c>
      <c r="L1343" s="42">
        <v>0.91275632939200002</v>
      </c>
      <c r="M1343" s="42">
        <v>0.96042617960400001</v>
      </c>
      <c r="N1343" s="134">
        <v>0</v>
      </c>
      <c r="O1343" s="43" t="s">
        <v>666</v>
      </c>
      <c r="P1343" s="43">
        <f t="shared" si="285"/>
        <v>16.03805208887302</v>
      </c>
      <c r="Q1343" s="43">
        <f t="shared" si="286"/>
        <v>6.8391179999999999E-3</v>
      </c>
      <c r="R1343" s="43">
        <f t="shared" si="287"/>
        <v>8.2986180000000007E-3</v>
      </c>
      <c r="S1343" s="43">
        <f t="shared" si="288"/>
        <v>0.91275632900000003</v>
      </c>
      <c r="T1343" s="43">
        <f t="shared" si="289"/>
        <v>2.5501653800000001</v>
      </c>
      <c r="U1343" s="43">
        <f t="shared" si="290"/>
        <v>9.1206810629999993</v>
      </c>
      <c r="V1343" s="43">
        <f t="shared" si="291"/>
        <v>3.824301E-3</v>
      </c>
      <c r="W1343" s="230">
        <f t="shared" si="292"/>
        <v>1.0125291375291376E-2</v>
      </c>
      <c r="X1343" s="43">
        <f t="shared" si="293"/>
        <v>0.94820804199999997</v>
      </c>
      <c r="Y1343" s="43">
        <v>93.23053693</v>
      </c>
      <c r="Z1343" s="43">
        <f t="shared" si="282"/>
        <v>0</v>
      </c>
      <c r="AA1343" s="43">
        <f t="shared" si="283"/>
        <v>85233</v>
      </c>
      <c r="AB1343" s="43">
        <f t="shared" si="284"/>
        <v>30359</v>
      </c>
      <c r="AC1343" s="43">
        <f t="shared" si="294"/>
        <v>1.7062811181712705E-2</v>
      </c>
      <c r="AD1343" s="43">
        <f t="shared" si="295"/>
        <v>0.87966620448387123</v>
      </c>
      <c r="AF1343" s="43">
        <v>16.03805208887302</v>
      </c>
      <c r="AG1343" s="43">
        <v>6.8391179999999999E-3</v>
      </c>
      <c r="AH1343" s="43">
        <v>8.2986180000000007E-3</v>
      </c>
      <c r="AI1343" s="43">
        <v>0.91275632900000003</v>
      </c>
      <c r="AJ1343" s="43">
        <v>2.5501653800000001</v>
      </c>
      <c r="AK1343" s="43">
        <v>9.1206810629999993</v>
      </c>
      <c r="AL1343" s="43">
        <v>3.824301E-3</v>
      </c>
      <c r="AM1343" s="230">
        <v>1.0125291375291376E-2</v>
      </c>
      <c r="AN1343" s="43">
        <v>0.94820804199999997</v>
      </c>
    </row>
    <row r="1344" spans="1:40" x14ac:dyDescent="0.25">
      <c r="A1344" s="134">
        <v>1334</v>
      </c>
      <c r="B1344" s="134" t="s">
        <v>204</v>
      </c>
      <c r="C1344" s="134" t="s">
        <v>205</v>
      </c>
      <c r="D1344" s="134" t="s">
        <v>62</v>
      </c>
      <c r="E1344" s="134">
        <v>7</v>
      </c>
      <c r="F1344" s="134">
        <v>19</v>
      </c>
      <c r="G1344" s="134">
        <v>94</v>
      </c>
      <c r="H1344" s="134">
        <v>10</v>
      </c>
      <c r="I1344" s="200">
        <v>0.1536925784</v>
      </c>
      <c r="J1344" s="134">
        <v>29</v>
      </c>
      <c r="K1344" s="134">
        <v>188.68835634000001</v>
      </c>
      <c r="L1344" s="42">
        <v>0.87385864051399997</v>
      </c>
      <c r="M1344" s="42">
        <v>0.58823529411800002</v>
      </c>
      <c r="N1344" s="134">
        <v>0</v>
      </c>
      <c r="O1344" s="43" t="s">
        <v>666</v>
      </c>
      <c r="P1344" s="43">
        <f t="shared" si="285"/>
        <v>15.379846609951018</v>
      </c>
      <c r="Q1344" s="43">
        <f t="shared" si="286"/>
        <v>7.7781539999999998E-3</v>
      </c>
      <c r="R1344" s="43">
        <f t="shared" si="287"/>
        <v>9.469056E-3</v>
      </c>
      <c r="S1344" s="43">
        <f t="shared" si="288"/>
        <v>0.87385864099999999</v>
      </c>
      <c r="T1344" s="43">
        <f t="shared" si="289"/>
        <v>4.1052631579999996</v>
      </c>
      <c r="U1344" s="43">
        <f t="shared" si="290"/>
        <v>9.5976108139999994</v>
      </c>
      <c r="V1344" s="43">
        <f t="shared" si="291"/>
        <v>2.2188896352201251E-3</v>
      </c>
      <c r="W1344" s="230">
        <f t="shared" si="292"/>
        <v>2.6136363636363635E-2</v>
      </c>
      <c r="X1344" s="43">
        <f t="shared" si="293"/>
        <v>0.78977272700000001</v>
      </c>
      <c r="Y1344" s="43">
        <v>63.519561799999998</v>
      </c>
      <c r="Z1344" s="43">
        <f t="shared" si="282"/>
        <v>0</v>
      </c>
      <c r="AA1344" s="43">
        <f t="shared" si="283"/>
        <v>85233</v>
      </c>
      <c r="AB1344" s="43">
        <f t="shared" si="284"/>
        <v>30359</v>
      </c>
      <c r="AC1344" s="43">
        <f t="shared" si="294"/>
        <v>1.7062811181712705E-2</v>
      </c>
      <c r="AD1344" s="43">
        <f t="shared" si="295"/>
        <v>0.87966620448387123</v>
      </c>
      <c r="AF1344" s="43">
        <v>15.379846609951018</v>
      </c>
      <c r="AG1344" s="43">
        <v>7.7781539999999998E-3</v>
      </c>
      <c r="AH1344" s="43">
        <v>9.469056E-3</v>
      </c>
      <c r="AI1344" s="43">
        <v>0.87385864099999999</v>
      </c>
      <c r="AJ1344" s="43">
        <v>4.1052631579999996</v>
      </c>
      <c r="AK1344" s="43">
        <v>9.5976108139999994</v>
      </c>
      <c r="AL1344" s="43">
        <v>0</v>
      </c>
      <c r="AM1344" s="230">
        <v>2.6136363636363635E-2</v>
      </c>
      <c r="AN1344" s="43">
        <v>0.78977272700000001</v>
      </c>
    </row>
    <row r="1345" spans="1:40" x14ac:dyDescent="0.25">
      <c r="A1345" s="134">
        <v>1335</v>
      </c>
      <c r="B1345" s="134" t="s">
        <v>204</v>
      </c>
      <c r="C1345" s="134" t="s">
        <v>205</v>
      </c>
      <c r="D1345" s="134" t="s">
        <v>62</v>
      </c>
      <c r="E1345" s="134">
        <v>98</v>
      </c>
      <c r="F1345" s="134">
        <v>263</v>
      </c>
      <c r="G1345" s="134">
        <v>42</v>
      </c>
      <c r="H1345" s="134">
        <v>0</v>
      </c>
      <c r="I1345" s="200">
        <v>6.8037656746500003E-2</v>
      </c>
      <c r="J1345" s="134">
        <v>263</v>
      </c>
      <c r="K1345" s="134">
        <v>3865.5064353500002</v>
      </c>
      <c r="L1345" s="42">
        <v>0.86576204216399999</v>
      </c>
      <c r="M1345" s="42">
        <v>0</v>
      </c>
      <c r="N1345" s="134">
        <v>0</v>
      </c>
      <c r="O1345" s="43" t="s">
        <v>666</v>
      </c>
      <c r="P1345" s="43">
        <f t="shared" si="285"/>
        <v>18.925552879701552</v>
      </c>
      <c r="Q1345" s="43">
        <f t="shared" si="286"/>
        <v>2.6800800999999999E-2</v>
      </c>
      <c r="R1345" s="43">
        <f t="shared" si="287"/>
        <v>1.2815514E-2</v>
      </c>
      <c r="S1345" s="43">
        <f t="shared" si="288"/>
        <v>0.86576204199999995</v>
      </c>
      <c r="T1345" s="43">
        <f t="shared" si="289"/>
        <v>2.7756147539999998</v>
      </c>
      <c r="U1345" s="43">
        <f t="shared" si="290"/>
        <v>11.930017769999999</v>
      </c>
      <c r="V1345" s="43">
        <f t="shared" si="291"/>
        <v>8.9468299999999996E-4</v>
      </c>
      <c r="W1345" s="230">
        <f t="shared" si="292"/>
        <v>7.6431492842535781E-2</v>
      </c>
      <c r="X1345" s="43">
        <f t="shared" si="293"/>
        <v>0.825281186</v>
      </c>
      <c r="Y1345" s="43">
        <v>69.000319450000006</v>
      </c>
      <c r="Z1345" s="43">
        <f t="shared" si="282"/>
        <v>0</v>
      </c>
      <c r="AA1345" s="43">
        <f t="shared" si="283"/>
        <v>85233</v>
      </c>
      <c r="AB1345" s="43">
        <f t="shared" si="284"/>
        <v>30359</v>
      </c>
      <c r="AC1345" s="43">
        <f t="shared" si="294"/>
        <v>1.7062811181712705E-2</v>
      </c>
      <c r="AD1345" s="43">
        <f t="shared" si="295"/>
        <v>0.87966620448387123</v>
      </c>
      <c r="AF1345" s="43">
        <v>18.925552879701552</v>
      </c>
      <c r="AG1345" s="43">
        <v>2.6800800999999999E-2</v>
      </c>
      <c r="AH1345" s="43">
        <v>1.2815514E-2</v>
      </c>
      <c r="AI1345" s="43">
        <v>0.86576204199999995</v>
      </c>
      <c r="AJ1345" s="43">
        <v>2.7756147539999998</v>
      </c>
      <c r="AK1345" s="43">
        <v>11.930017769999999</v>
      </c>
      <c r="AL1345" s="43">
        <v>8.9468299999999996E-4</v>
      </c>
      <c r="AM1345" s="230">
        <v>7.6431492842535781E-2</v>
      </c>
      <c r="AN1345" s="43">
        <v>0.825281186</v>
      </c>
    </row>
    <row r="1346" spans="1:40" x14ac:dyDescent="0.25">
      <c r="A1346" s="134">
        <v>1336</v>
      </c>
      <c r="B1346" s="134" t="s">
        <v>204</v>
      </c>
      <c r="C1346" s="134" t="s">
        <v>205</v>
      </c>
      <c r="D1346" s="134" t="s">
        <v>62</v>
      </c>
      <c r="E1346" s="134">
        <v>190</v>
      </c>
      <c r="F1346" s="134">
        <v>510</v>
      </c>
      <c r="G1346" s="134">
        <v>479</v>
      </c>
      <c r="H1346" s="134">
        <v>2493</v>
      </c>
      <c r="I1346" s="200">
        <v>0.78148979691700005</v>
      </c>
      <c r="J1346" s="134">
        <v>3003</v>
      </c>
      <c r="K1346" s="134">
        <v>3842.6605335700001</v>
      </c>
      <c r="L1346" s="42">
        <v>0.92091768906399996</v>
      </c>
      <c r="M1346" s="42">
        <v>0.92918374953399996</v>
      </c>
      <c r="N1346" s="134">
        <v>0</v>
      </c>
      <c r="O1346" s="43" t="s">
        <v>666</v>
      </c>
      <c r="P1346" s="43">
        <f t="shared" si="285"/>
        <v>17.999560300245669</v>
      </c>
      <c r="Q1346" s="43">
        <f t="shared" si="286"/>
        <v>1.3405366E-2</v>
      </c>
      <c r="R1346" s="43">
        <f t="shared" si="287"/>
        <v>7.1672539999999996E-3</v>
      </c>
      <c r="S1346" s="43">
        <f t="shared" si="288"/>
        <v>0.92091768900000004</v>
      </c>
      <c r="T1346" s="43">
        <f t="shared" si="289"/>
        <v>3.2256159640000002</v>
      </c>
      <c r="U1346" s="43">
        <f t="shared" si="290"/>
        <v>11.556369419999999</v>
      </c>
      <c r="V1346" s="43">
        <f t="shared" si="291"/>
        <v>3.091164E-3</v>
      </c>
      <c r="W1346" s="230">
        <f t="shared" si="292"/>
        <v>1.0486481047753734E-2</v>
      </c>
      <c r="X1346" s="43">
        <f t="shared" si="293"/>
        <v>0.95527594100000002</v>
      </c>
      <c r="Y1346" s="43">
        <v>63.401606649999998</v>
      </c>
      <c r="Z1346" s="43">
        <f t="shared" si="282"/>
        <v>0</v>
      </c>
      <c r="AA1346" s="43">
        <f t="shared" si="283"/>
        <v>85233</v>
      </c>
      <c r="AB1346" s="43">
        <f t="shared" si="284"/>
        <v>30359</v>
      </c>
      <c r="AC1346" s="43">
        <f t="shared" si="294"/>
        <v>1.7062811181712705E-2</v>
      </c>
      <c r="AD1346" s="43">
        <f t="shared" si="295"/>
        <v>0.87966620448387123</v>
      </c>
      <c r="AF1346" s="43">
        <v>17.999560300245669</v>
      </c>
      <c r="AG1346" s="43">
        <v>1.3405366E-2</v>
      </c>
      <c r="AH1346" s="43">
        <v>7.1672539999999996E-3</v>
      </c>
      <c r="AI1346" s="43">
        <v>0.92091768900000004</v>
      </c>
      <c r="AJ1346" s="43">
        <v>3.2256159640000002</v>
      </c>
      <c r="AK1346" s="43">
        <v>11.556369419999999</v>
      </c>
      <c r="AL1346" s="43">
        <v>3.091164E-3</v>
      </c>
      <c r="AM1346" s="230">
        <v>1.0486481047753734E-2</v>
      </c>
      <c r="AN1346" s="43">
        <v>0.95527594100000002</v>
      </c>
    </row>
    <row r="1347" spans="1:40" x14ac:dyDescent="0.25">
      <c r="A1347" s="134">
        <v>1337</v>
      </c>
      <c r="B1347" s="134" t="s">
        <v>204</v>
      </c>
      <c r="C1347" s="134" t="s">
        <v>205</v>
      </c>
      <c r="D1347" s="134" t="s">
        <v>62</v>
      </c>
      <c r="E1347" s="134">
        <v>612</v>
      </c>
      <c r="F1347" s="134">
        <v>1642</v>
      </c>
      <c r="G1347" s="134">
        <v>267</v>
      </c>
      <c r="H1347" s="134">
        <v>62</v>
      </c>
      <c r="I1347" s="200">
        <v>0.435529872757</v>
      </c>
      <c r="J1347" s="134">
        <v>1704</v>
      </c>
      <c r="K1347" s="134">
        <v>3912.4755994699999</v>
      </c>
      <c r="L1347" s="42">
        <v>0.87206023262400001</v>
      </c>
      <c r="M1347" s="42">
        <v>9.1988130563799994E-2</v>
      </c>
      <c r="N1347" s="134">
        <v>0</v>
      </c>
      <c r="O1347" s="43" t="s">
        <v>665</v>
      </c>
      <c r="P1347" s="43">
        <f t="shared" si="285"/>
        <v>18.332635607239549</v>
      </c>
      <c r="Q1347" s="43">
        <f t="shared" si="286"/>
        <v>2.4650228999999999E-2</v>
      </c>
      <c r="R1347" s="43">
        <f t="shared" si="287"/>
        <v>1.2401837000000001E-2</v>
      </c>
      <c r="S1347" s="43">
        <f t="shared" si="288"/>
        <v>0.87206023300000002</v>
      </c>
      <c r="T1347" s="43">
        <f t="shared" si="289"/>
        <v>2.605097287</v>
      </c>
      <c r="U1347" s="43">
        <f t="shared" si="290"/>
        <v>11.79353308</v>
      </c>
      <c r="V1347" s="43">
        <f t="shared" si="291"/>
        <v>1.3250009999999999E-3</v>
      </c>
      <c r="W1347" s="230">
        <f t="shared" si="292"/>
        <v>6.3170334294257738E-2</v>
      </c>
      <c r="X1347" s="43">
        <f t="shared" si="293"/>
        <v>0.89724077400000002</v>
      </c>
      <c r="Y1347" s="43">
        <v>63.57674342</v>
      </c>
      <c r="Z1347" s="43">
        <f t="shared" si="282"/>
        <v>0</v>
      </c>
      <c r="AA1347" s="43">
        <f t="shared" si="283"/>
        <v>85233</v>
      </c>
      <c r="AB1347" s="43">
        <f t="shared" si="284"/>
        <v>30359</v>
      </c>
      <c r="AC1347" s="43">
        <f t="shared" si="294"/>
        <v>1.7062811181712705E-2</v>
      </c>
      <c r="AD1347" s="43">
        <f t="shared" si="295"/>
        <v>0.87966620448387123</v>
      </c>
      <c r="AF1347" s="43">
        <v>18.332635607239549</v>
      </c>
      <c r="AG1347" s="43">
        <v>2.4650228999999999E-2</v>
      </c>
      <c r="AH1347" s="43">
        <v>1.2401837000000001E-2</v>
      </c>
      <c r="AI1347" s="43">
        <v>0.87206023300000002</v>
      </c>
      <c r="AJ1347" s="43">
        <v>2.605097287</v>
      </c>
      <c r="AK1347" s="43">
        <v>11.79353308</v>
      </c>
      <c r="AL1347" s="43">
        <v>1.3250009999999999E-3</v>
      </c>
      <c r="AM1347" s="230">
        <v>6.3170334294257738E-2</v>
      </c>
      <c r="AN1347" s="43">
        <v>0.89724077400000002</v>
      </c>
    </row>
    <row r="1348" spans="1:40" x14ac:dyDescent="0.25">
      <c r="A1348" s="134">
        <v>1338</v>
      </c>
      <c r="B1348" s="134" t="s">
        <v>204</v>
      </c>
      <c r="C1348" s="134" t="s">
        <v>205</v>
      </c>
      <c r="D1348" s="134" t="s">
        <v>62</v>
      </c>
      <c r="E1348" s="134">
        <v>52</v>
      </c>
      <c r="F1348" s="134">
        <v>140</v>
      </c>
      <c r="G1348" s="134">
        <v>151</v>
      </c>
      <c r="H1348" s="134">
        <v>16</v>
      </c>
      <c r="I1348" s="200">
        <v>0.246222207059</v>
      </c>
      <c r="J1348" s="134">
        <v>156</v>
      </c>
      <c r="K1348" s="134">
        <v>633.57404623800005</v>
      </c>
      <c r="L1348" s="42">
        <v>0.899313395696</v>
      </c>
      <c r="M1348" s="42">
        <v>0.23529411764700001</v>
      </c>
      <c r="N1348" s="134">
        <v>0</v>
      </c>
      <c r="O1348" s="43" t="s">
        <v>665</v>
      </c>
      <c r="P1348" s="43">
        <f t="shared" si="285"/>
        <v>17.683287122612445</v>
      </c>
      <c r="Q1348" s="43">
        <f t="shared" si="286"/>
        <v>1.3547763000000001E-2</v>
      </c>
      <c r="R1348" s="43">
        <f t="shared" si="287"/>
        <v>1.2902630999999999E-2</v>
      </c>
      <c r="S1348" s="43">
        <f t="shared" si="288"/>
        <v>0.89931339600000004</v>
      </c>
      <c r="T1348" s="43">
        <f t="shared" si="289"/>
        <v>3.5629496399999998</v>
      </c>
      <c r="U1348" s="43">
        <f t="shared" si="290"/>
        <v>13.22719977</v>
      </c>
      <c r="V1348" s="43">
        <f t="shared" si="291"/>
        <v>1.9428800000000001E-4</v>
      </c>
      <c r="W1348" s="230">
        <f t="shared" si="292"/>
        <v>2.214882455799495E-2</v>
      </c>
      <c r="X1348" s="43">
        <f t="shared" si="293"/>
        <v>0.88575869399999996</v>
      </c>
      <c r="Y1348" s="43">
        <v>63.519561799999998</v>
      </c>
      <c r="Z1348" s="43">
        <f t="shared" si="282"/>
        <v>0</v>
      </c>
      <c r="AA1348" s="43">
        <f t="shared" si="283"/>
        <v>85233</v>
      </c>
      <c r="AB1348" s="43">
        <f t="shared" si="284"/>
        <v>30359</v>
      </c>
      <c r="AC1348" s="43">
        <f t="shared" si="294"/>
        <v>1.7062811181712705E-2</v>
      </c>
      <c r="AD1348" s="43">
        <f t="shared" si="295"/>
        <v>0.87966620448387123</v>
      </c>
      <c r="AF1348" s="43">
        <v>17.683287122612445</v>
      </c>
      <c r="AG1348" s="43">
        <v>1.3547763000000001E-2</v>
      </c>
      <c r="AH1348" s="43">
        <v>1.2902630999999999E-2</v>
      </c>
      <c r="AI1348" s="43">
        <v>0.89931339600000004</v>
      </c>
      <c r="AJ1348" s="43">
        <v>3.5629496399999998</v>
      </c>
      <c r="AK1348" s="43">
        <v>13.22719977</v>
      </c>
      <c r="AL1348" s="43">
        <v>1.9428800000000001E-4</v>
      </c>
      <c r="AM1348" s="230">
        <v>2.214882455799495E-2</v>
      </c>
      <c r="AN1348" s="43">
        <v>0.88575869399999996</v>
      </c>
    </row>
    <row r="1349" spans="1:40" x14ac:dyDescent="0.25">
      <c r="A1349" s="134">
        <v>1339</v>
      </c>
      <c r="B1349" s="134" t="s">
        <v>204</v>
      </c>
      <c r="C1349" s="134" t="s">
        <v>205</v>
      </c>
      <c r="D1349" s="134" t="s">
        <v>62</v>
      </c>
      <c r="E1349" s="134">
        <v>610</v>
      </c>
      <c r="F1349" s="134">
        <v>1636</v>
      </c>
      <c r="G1349" s="134">
        <v>104</v>
      </c>
      <c r="H1349" s="134">
        <v>460</v>
      </c>
      <c r="I1349" s="200">
        <v>0.16970010065499999</v>
      </c>
      <c r="J1349" s="134">
        <v>2096</v>
      </c>
      <c r="K1349" s="134">
        <v>12351.200688200001</v>
      </c>
      <c r="L1349" s="42">
        <v>0.86354841245400005</v>
      </c>
      <c r="M1349" s="42">
        <v>0.42990654205599999</v>
      </c>
      <c r="N1349" s="134">
        <v>0</v>
      </c>
      <c r="O1349" s="43" t="s">
        <v>666</v>
      </c>
      <c r="P1349" s="43">
        <f t="shared" si="285"/>
        <v>17.865698037915156</v>
      </c>
      <c r="Q1349" s="43">
        <f t="shared" si="286"/>
        <v>2.7838748E-2</v>
      </c>
      <c r="R1349" s="43">
        <f t="shared" si="287"/>
        <v>1.1863515E-2</v>
      </c>
      <c r="S1349" s="43">
        <f t="shared" si="288"/>
        <v>0.86354841199999999</v>
      </c>
      <c r="T1349" s="43">
        <f t="shared" si="289"/>
        <v>2.491778203</v>
      </c>
      <c r="U1349" s="43">
        <f t="shared" si="290"/>
        <v>11.206161870000001</v>
      </c>
      <c r="V1349" s="43">
        <f t="shared" si="291"/>
        <v>4.3276970000000001E-3</v>
      </c>
      <c r="W1349" s="230">
        <f t="shared" si="292"/>
        <v>6.178291062801932E-2</v>
      </c>
      <c r="X1349" s="43">
        <f t="shared" si="293"/>
        <v>0.88185638099999997</v>
      </c>
      <c r="Y1349" s="43">
        <v>68.67537188</v>
      </c>
      <c r="Z1349" s="43">
        <f t="shared" si="282"/>
        <v>0</v>
      </c>
      <c r="AA1349" s="43">
        <f t="shared" si="283"/>
        <v>85233</v>
      </c>
      <c r="AB1349" s="43">
        <f t="shared" si="284"/>
        <v>30359</v>
      </c>
      <c r="AC1349" s="43">
        <f t="shared" si="294"/>
        <v>1.7062811181712705E-2</v>
      </c>
      <c r="AD1349" s="43">
        <f t="shared" si="295"/>
        <v>0.87966620448387123</v>
      </c>
      <c r="AF1349" s="43">
        <v>17.865698037915156</v>
      </c>
      <c r="AG1349" s="43">
        <v>2.7838748E-2</v>
      </c>
      <c r="AH1349" s="43">
        <v>1.1863515E-2</v>
      </c>
      <c r="AI1349" s="43">
        <v>0.86354841199999999</v>
      </c>
      <c r="AJ1349" s="43">
        <v>2.491778203</v>
      </c>
      <c r="AK1349" s="43">
        <v>11.206161870000001</v>
      </c>
      <c r="AL1349" s="43">
        <v>4.3276970000000001E-3</v>
      </c>
      <c r="AM1349" s="230">
        <v>6.178291062801932E-2</v>
      </c>
      <c r="AN1349" s="43">
        <v>0.88185638099999997</v>
      </c>
    </row>
    <row r="1350" spans="1:40" x14ac:dyDescent="0.25">
      <c r="A1350" s="134">
        <v>1340</v>
      </c>
      <c r="B1350" s="134" t="s">
        <v>204</v>
      </c>
      <c r="C1350" s="134" t="s">
        <v>205</v>
      </c>
      <c r="D1350" s="134" t="s">
        <v>62</v>
      </c>
      <c r="E1350" s="134">
        <v>238</v>
      </c>
      <c r="F1350" s="134">
        <v>639</v>
      </c>
      <c r="G1350" s="134">
        <v>45</v>
      </c>
      <c r="H1350" s="134">
        <v>502</v>
      </c>
      <c r="I1350" s="200">
        <v>7.2892950689700003E-2</v>
      </c>
      <c r="J1350" s="134">
        <v>1141</v>
      </c>
      <c r="K1350" s="134">
        <v>15653.0911316</v>
      </c>
      <c r="L1350" s="42">
        <v>0.86006258016000003</v>
      </c>
      <c r="M1350" s="42">
        <v>0.67837837837799997</v>
      </c>
      <c r="N1350" s="134">
        <v>0</v>
      </c>
      <c r="O1350" s="43" t="s">
        <v>664</v>
      </c>
      <c r="P1350" s="43">
        <f t="shared" si="285"/>
        <v>16.787355753720874</v>
      </c>
      <c r="Q1350" s="43">
        <f t="shared" si="286"/>
        <v>2.3401221E-2</v>
      </c>
      <c r="R1350" s="43">
        <f t="shared" si="287"/>
        <v>1.0713812E-2</v>
      </c>
      <c r="S1350" s="43">
        <f t="shared" si="288"/>
        <v>0.86006258000000002</v>
      </c>
      <c r="T1350" s="43">
        <f t="shared" si="289"/>
        <v>2.2901889720000002</v>
      </c>
      <c r="U1350" s="43">
        <f t="shared" si="290"/>
        <v>9.8507206059999994</v>
      </c>
      <c r="V1350" s="43">
        <f t="shared" si="291"/>
        <v>4.2128219999999997E-3</v>
      </c>
      <c r="W1350" s="230">
        <f t="shared" si="292"/>
        <v>4.2855309866986012E-2</v>
      </c>
      <c r="X1350" s="43">
        <f t="shared" si="293"/>
        <v>0.88289636900000001</v>
      </c>
      <c r="Y1350" s="43">
        <v>70.176681579999993</v>
      </c>
      <c r="Z1350" s="43">
        <f t="shared" si="282"/>
        <v>0</v>
      </c>
      <c r="AA1350" s="43">
        <f t="shared" si="283"/>
        <v>85233</v>
      </c>
      <c r="AB1350" s="43">
        <f t="shared" si="284"/>
        <v>30359</v>
      </c>
      <c r="AC1350" s="43">
        <f t="shared" si="294"/>
        <v>1.7062811181712705E-2</v>
      </c>
      <c r="AD1350" s="43">
        <f t="shared" si="295"/>
        <v>0.87966620448387123</v>
      </c>
      <c r="AF1350" s="43">
        <v>16.787355753720874</v>
      </c>
      <c r="AG1350" s="43">
        <v>2.3401221E-2</v>
      </c>
      <c r="AH1350" s="43">
        <v>1.0713812E-2</v>
      </c>
      <c r="AI1350" s="43">
        <v>0.86006258000000002</v>
      </c>
      <c r="AJ1350" s="43">
        <v>2.2901889720000002</v>
      </c>
      <c r="AK1350" s="43">
        <v>9.8507206059999994</v>
      </c>
      <c r="AL1350" s="43">
        <v>4.2128219999999997E-3</v>
      </c>
      <c r="AM1350" s="230">
        <v>4.2855309866986012E-2</v>
      </c>
      <c r="AN1350" s="43">
        <v>0.88289636900000001</v>
      </c>
    </row>
    <row r="1351" spans="1:40" x14ac:dyDescent="0.25">
      <c r="A1351" s="134">
        <v>1341</v>
      </c>
      <c r="B1351" s="134" t="s">
        <v>204</v>
      </c>
      <c r="C1351" s="134" t="s">
        <v>205</v>
      </c>
      <c r="D1351" s="134" t="s">
        <v>62</v>
      </c>
      <c r="E1351" s="134">
        <v>2</v>
      </c>
      <c r="F1351" s="134">
        <v>6</v>
      </c>
      <c r="G1351" s="134">
        <v>371</v>
      </c>
      <c r="H1351" s="134">
        <v>1132</v>
      </c>
      <c r="I1351" s="200">
        <v>0.58114257085200005</v>
      </c>
      <c r="J1351" s="134">
        <v>1138</v>
      </c>
      <c r="K1351" s="134">
        <v>1958.2113874900001</v>
      </c>
      <c r="L1351" s="42">
        <v>0.93631921951800001</v>
      </c>
      <c r="M1351" s="42">
        <v>0.99823633157000002</v>
      </c>
      <c r="N1351" s="134">
        <v>0</v>
      </c>
      <c r="O1351" s="43" t="s">
        <v>666</v>
      </c>
      <c r="P1351" s="43">
        <f t="shared" si="285"/>
        <v>19.583679242143361</v>
      </c>
      <c r="Q1351" s="43">
        <f t="shared" si="286"/>
        <v>6.3523929999999996E-3</v>
      </c>
      <c r="R1351" s="43">
        <f t="shared" si="287"/>
        <v>5.0348600000000004E-3</v>
      </c>
      <c r="S1351" s="43">
        <f t="shared" si="288"/>
        <v>0.93631922000000001</v>
      </c>
      <c r="T1351" s="43">
        <f t="shared" si="289"/>
        <v>3.4422927959999998</v>
      </c>
      <c r="U1351" s="43">
        <f t="shared" si="290"/>
        <v>11.91046087</v>
      </c>
      <c r="V1351" s="43">
        <f t="shared" si="291"/>
        <v>2.3843029999999999E-3</v>
      </c>
      <c r="W1351" s="230">
        <f t="shared" si="292"/>
        <v>3.0466098186935999E-3</v>
      </c>
      <c r="X1351" s="43">
        <f t="shared" si="293"/>
        <v>0.97912078800000002</v>
      </c>
      <c r="Y1351" s="43">
        <v>5.4708082549999997</v>
      </c>
      <c r="Z1351" s="43">
        <f t="shared" si="282"/>
        <v>0</v>
      </c>
      <c r="AA1351" s="43">
        <f t="shared" si="283"/>
        <v>85233</v>
      </c>
      <c r="AB1351" s="43">
        <f t="shared" si="284"/>
        <v>30359</v>
      </c>
      <c r="AC1351" s="43">
        <f t="shared" si="294"/>
        <v>1.7062811181712705E-2</v>
      </c>
      <c r="AD1351" s="43">
        <f t="shared" si="295"/>
        <v>0.87966620448387123</v>
      </c>
      <c r="AF1351" s="43">
        <v>19.583679242143361</v>
      </c>
      <c r="AG1351" s="43">
        <v>6.3523929999999996E-3</v>
      </c>
      <c r="AH1351" s="43">
        <v>5.0348600000000004E-3</v>
      </c>
      <c r="AI1351" s="43">
        <v>0.93631922000000001</v>
      </c>
      <c r="AJ1351" s="43">
        <v>3.4422927959999998</v>
      </c>
      <c r="AK1351" s="43">
        <v>11.91046087</v>
      </c>
      <c r="AL1351" s="43">
        <v>2.3843029999999999E-3</v>
      </c>
      <c r="AM1351" s="230">
        <v>3.0466098186935999E-3</v>
      </c>
      <c r="AN1351" s="43">
        <v>0.97912078800000002</v>
      </c>
    </row>
    <row r="1352" spans="1:40" x14ac:dyDescent="0.25">
      <c r="A1352" s="134">
        <v>1342</v>
      </c>
      <c r="B1352" s="134" t="s">
        <v>204</v>
      </c>
      <c r="C1352" s="134" t="s">
        <v>205</v>
      </c>
      <c r="D1352" s="134" t="s">
        <v>62</v>
      </c>
      <c r="E1352" s="134">
        <v>0</v>
      </c>
      <c r="F1352" s="134">
        <v>0</v>
      </c>
      <c r="G1352" s="134">
        <v>175</v>
      </c>
      <c r="H1352" s="134">
        <v>1540</v>
      </c>
      <c r="I1352" s="200">
        <v>0.27383020446799999</v>
      </c>
      <c r="J1352" s="134">
        <v>1540</v>
      </c>
      <c r="K1352" s="134">
        <v>5623.9230547699999</v>
      </c>
      <c r="L1352" s="42">
        <v>0.92789641165900005</v>
      </c>
      <c r="M1352" s="42">
        <v>1</v>
      </c>
      <c r="N1352" s="134">
        <v>0</v>
      </c>
      <c r="O1352" s="43" t="s">
        <v>666</v>
      </c>
      <c r="P1352" s="43">
        <f t="shared" si="285"/>
        <v>18.483889600495683</v>
      </c>
      <c r="Q1352" s="43">
        <f t="shared" si="286"/>
        <v>1.0742342E-2</v>
      </c>
      <c r="R1352" s="43">
        <f t="shared" si="287"/>
        <v>5.1409289999999998E-3</v>
      </c>
      <c r="S1352" s="43">
        <f t="shared" si="288"/>
        <v>0.92789641199999995</v>
      </c>
      <c r="T1352" s="43">
        <f t="shared" si="289"/>
        <v>3.0131926120000001</v>
      </c>
      <c r="U1352" s="43">
        <f t="shared" si="290"/>
        <v>10.77573143</v>
      </c>
      <c r="V1352" s="43">
        <f t="shared" si="291"/>
        <v>2.7025920000000002E-3</v>
      </c>
      <c r="W1352" s="230">
        <f t="shared" si="292"/>
        <v>8.7083521013335535E-3</v>
      </c>
      <c r="X1352" s="43">
        <f t="shared" si="293"/>
        <v>0.96669533100000005</v>
      </c>
      <c r="Y1352" s="43">
        <v>16.687391040000001</v>
      </c>
      <c r="Z1352" s="43">
        <f t="shared" si="282"/>
        <v>0</v>
      </c>
      <c r="AA1352" s="43">
        <f t="shared" si="283"/>
        <v>85233</v>
      </c>
      <c r="AB1352" s="43">
        <f t="shared" si="284"/>
        <v>30359</v>
      </c>
      <c r="AC1352" s="43">
        <f t="shared" si="294"/>
        <v>1.7062811181712705E-2</v>
      </c>
      <c r="AD1352" s="43">
        <f t="shared" si="295"/>
        <v>0.87966620448387123</v>
      </c>
      <c r="AF1352" s="43">
        <v>18.483889600495683</v>
      </c>
      <c r="AG1352" s="43">
        <v>1.0742342E-2</v>
      </c>
      <c r="AH1352" s="43">
        <v>5.1409289999999998E-3</v>
      </c>
      <c r="AI1352" s="43">
        <v>0.92789641199999995</v>
      </c>
      <c r="AJ1352" s="43">
        <v>3.0131926120000001</v>
      </c>
      <c r="AK1352" s="43">
        <v>10.77573143</v>
      </c>
      <c r="AL1352" s="43">
        <v>2.7025920000000002E-3</v>
      </c>
      <c r="AM1352" s="230">
        <v>8.7083521013335535E-3</v>
      </c>
      <c r="AN1352" s="43">
        <v>0.96669533100000005</v>
      </c>
    </row>
    <row r="1353" spans="1:40" x14ac:dyDescent="0.25">
      <c r="A1353" s="134">
        <v>1343</v>
      </c>
      <c r="B1353" s="134" t="s">
        <v>204</v>
      </c>
      <c r="C1353" s="134" t="s">
        <v>205</v>
      </c>
      <c r="D1353" s="134" t="s">
        <v>62</v>
      </c>
      <c r="E1353" s="134">
        <v>0</v>
      </c>
      <c r="F1353" s="134">
        <v>0</v>
      </c>
      <c r="G1353" s="134">
        <v>172</v>
      </c>
      <c r="H1353" s="134">
        <v>1716</v>
      </c>
      <c r="I1353" s="200">
        <v>0.26962128413899999</v>
      </c>
      <c r="J1353" s="134">
        <v>1716</v>
      </c>
      <c r="K1353" s="134">
        <v>6364.4827057299999</v>
      </c>
      <c r="L1353" s="42">
        <v>0.946874792267</v>
      </c>
      <c r="M1353" s="42">
        <v>1</v>
      </c>
      <c r="N1353" s="134">
        <v>0</v>
      </c>
      <c r="O1353" s="43" t="s">
        <v>666</v>
      </c>
      <c r="P1353" s="43">
        <f t="shared" si="285"/>
        <v>20.262426822169978</v>
      </c>
      <c r="Q1353" s="43">
        <f t="shared" si="286"/>
        <v>3.0215699999999999E-5</v>
      </c>
      <c r="R1353" s="43">
        <f t="shared" si="287"/>
        <v>4.816379E-3</v>
      </c>
      <c r="S1353" s="43">
        <f t="shared" si="288"/>
        <v>0.94687479200000002</v>
      </c>
      <c r="T1353" s="43">
        <f t="shared" si="289"/>
        <v>3.5907093529999998</v>
      </c>
      <c r="U1353" s="43">
        <f t="shared" si="290"/>
        <v>11.813562409999999</v>
      </c>
      <c r="V1353" s="43">
        <f t="shared" si="291"/>
        <v>2.2260270000000002E-3</v>
      </c>
      <c r="W1353" s="230">
        <f t="shared" si="292"/>
        <v>6.1154598825831699E-5</v>
      </c>
      <c r="X1353" s="43">
        <f t="shared" si="293"/>
        <v>0.98729207399999996</v>
      </c>
      <c r="Y1353" s="43">
        <v>16.412698720000002</v>
      </c>
      <c r="Z1353" s="43">
        <f t="shared" si="282"/>
        <v>0</v>
      </c>
      <c r="AA1353" s="43">
        <f t="shared" si="283"/>
        <v>85233</v>
      </c>
      <c r="AB1353" s="43">
        <f t="shared" si="284"/>
        <v>30359</v>
      </c>
      <c r="AC1353" s="43">
        <f t="shared" si="294"/>
        <v>1.7062811181712705E-2</v>
      </c>
      <c r="AD1353" s="43">
        <f t="shared" si="295"/>
        <v>0.87966620448387123</v>
      </c>
      <c r="AF1353" s="43">
        <v>20.262426822169978</v>
      </c>
      <c r="AG1353" s="201">
        <v>3.0215699999999999E-5</v>
      </c>
      <c r="AH1353" s="43">
        <v>4.816379E-3</v>
      </c>
      <c r="AI1353" s="43">
        <v>0.94687479200000002</v>
      </c>
      <c r="AJ1353" s="43">
        <v>3.5907093529999998</v>
      </c>
      <c r="AK1353" s="43">
        <v>11.813562409999999</v>
      </c>
      <c r="AL1353" s="43">
        <v>2.2260270000000002E-3</v>
      </c>
      <c r="AM1353" s="230">
        <v>6.1154598825831699E-5</v>
      </c>
      <c r="AN1353" s="43">
        <v>0.98729207399999996</v>
      </c>
    </row>
    <row r="1354" spans="1:40" x14ac:dyDescent="0.25">
      <c r="A1354" s="134">
        <v>1344</v>
      </c>
      <c r="B1354" s="134" t="s">
        <v>204</v>
      </c>
      <c r="C1354" s="134" t="s">
        <v>205</v>
      </c>
      <c r="D1354" s="134" t="s">
        <v>62</v>
      </c>
      <c r="E1354" s="134">
        <v>0</v>
      </c>
      <c r="F1354" s="134">
        <v>0</v>
      </c>
      <c r="G1354" s="134">
        <v>186</v>
      </c>
      <c r="H1354" s="134">
        <v>1716</v>
      </c>
      <c r="I1354" s="200">
        <v>0.291661532848</v>
      </c>
      <c r="J1354" s="134">
        <v>1716</v>
      </c>
      <c r="K1354" s="134">
        <v>5883.5321313900004</v>
      </c>
      <c r="L1354" s="42">
        <v>0.92655701636400001</v>
      </c>
      <c r="M1354" s="42">
        <v>1</v>
      </c>
      <c r="N1354" s="134">
        <v>0</v>
      </c>
      <c r="O1354" s="43" t="s">
        <v>666</v>
      </c>
      <c r="P1354" s="43">
        <f t="shared" si="285"/>
        <v>18.434098355547402</v>
      </c>
      <c r="Q1354" s="43">
        <f t="shared" si="286"/>
        <v>7.5511629999999996E-3</v>
      </c>
      <c r="R1354" s="43">
        <f t="shared" si="287"/>
        <v>5.1596630000000001E-3</v>
      </c>
      <c r="S1354" s="43">
        <f t="shared" si="288"/>
        <v>0.92655701599999996</v>
      </c>
      <c r="T1354" s="43">
        <f t="shared" si="289"/>
        <v>3.1221198160000001</v>
      </c>
      <c r="U1354" s="43">
        <f t="shared" si="290"/>
        <v>10.915704270000001</v>
      </c>
      <c r="V1354" s="43">
        <f t="shared" si="291"/>
        <v>2.4613949999999999E-3</v>
      </c>
      <c r="W1354" s="230">
        <f t="shared" si="292"/>
        <v>5.8657131311152201E-3</v>
      </c>
      <c r="X1354" s="43">
        <f t="shared" si="293"/>
        <v>0.96119322600000001</v>
      </c>
      <c r="Y1354" s="43">
        <v>16.676559399999999</v>
      </c>
      <c r="Z1354" s="43">
        <f t="shared" si="282"/>
        <v>0</v>
      </c>
      <c r="AA1354" s="43">
        <f t="shared" si="283"/>
        <v>85233</v>
      </c>
      <c r="AB1354" s="43">
        <f t="shared" si="284"/>
        <v>30359</v>
      </c>
      <c r="AC1354" s="43">
        <f t="shared" si="294"/>
        <v>1.7062811181712705E-2</v>
      </c>
      <c r="AD1354" s="43">
        <f t="shared" si="295"/>
        <v>0.87966620448387123</v>
      </c>
      <c r="AF1354" s="43">
        <v>18.434098355547402</v>
      </c>
      <c r="AG1354" s="43">
        <v>7.5511629999999996E-3</v>
      </c>
      <c r="AH1354" s="43">
        <v>5.1596630000000001E-3</v>
      </c>
      <c r="AI1354" s="43">
        <v>0.92655701599999996</v>
      </c>
      <c r="AJ1354" s="43">
        <v>3.1221198160000001</v>
      </c>
      <c r="AK1354" s="43">
        <v>10.915704270000001</v>
      </c>
      <c r="AL1354" s="43">
        <v>2.4613949999999999E-3</v>
      </c>
      <c r="AM1354" s="230">
        <v>5.8657131311152201E-3</v>
      </c>
      <c r="AN1354" s="43">
        <v>0.96119322600000001</v>
      </c>
    </row>
    <row r="1355" spans="1:40" x14ac:dyDescent="0.25">
      <c r="A1355" s="134">
        <v>1345</v>
      </c>
      <c r="B1355" s="134" t="s">
        <v>204</v>
      </c>
      <c r="C1355" s="134" t="s">
        <v>205</v>
      </c>
      <c r="D1355" s="134" t="s">
        <v>62</v>
      </c>
      <c r="E1355" s="134">
        <v>0</v>
      </c>
      <c r="F1355" s="134">
        <v>0</v>
      </c>
      <c r="G1355" s="134">
        <v>182</v>
      </c>
      <c r="H1355" s="134">
        <v>1716</v>
      </c>
      <c r="I1355" s="200">
        <v>0.28502005792200003</v>
      </c>
      <c r="J1355" s="134">
        <v>1716</v>
      </c>
      <c r="K1355" s="134">
        <v>6020.62890771</v>
      </c>
      <c r="L1355" s="42">
        <v>0.95043107371000002</v>
      </c>
      <c r="M1355" s="42">
        <v>1</v>
      </c>
      <c r="N1355" s="134">
        <v>0</v>
      </c>
      <c r="O1355" s="43" t="s">
        <v>666</v>
      </c>
      <c r="P1355" s="43">
        <f t="shared" si="285"/>
        <v>20.261060981369472</v>
      </c>
      <c r="Q1355" s="43">
        <f t="shared" si="286"/>
        <v>6.0671900000000003E-6</v>
      </c>
      <c r="R1355" s="43">
        <f t="shared" si="287"/>
        <v>4.5261219999999996E-3</v>
      </c>
      <c r="S1355" s="43">
        <f t="shared" si="288"/>
        <v>0.95043107400000004</v>
      </c>
      <c r="T1355" s="43">
        <f t="shared" si="289"/>
        <v>3.8205980070000001</v>
      </c>
      <c r="U1355" s="43">
        <f t="shared" si="290"/>
        <v>12.079952479999999</v>
      </c>
      <c r="V1355" s="43">
        <f t="shared" si="291"/>
        <v>1.897115E-3</v>
      </c>
      <c r="W1355" s="230">
        <f t="shared" si="292"/>
        <v>1.2239452651677418E-5</v>
      </c>
      <c r="X1355" s="43">
        <f t="shared" si="293"/>
        <v>0.98837251999999998</v>
      </c>
      <c r="Y1355" s="43">
        <v>16.549606740000002</v>
      </c>
      <c r="Z1355" s="43">
        <f t="shared" ref="Z1355:Z1418" si="296">IF(B1355="Berkeley",1,0)</f>
        <v>0</v>
      </c>
      <c r="AA1355" s="43">
        <f t="shared" ref="AA1355:AA1418" si="297">SUMIFS(F:F,B:B,B1355)</f>
        <v>85233</v>
      </c>
      <c r="AB1355" s="43">
        <f t="shared" ref="AB1355:AB1418" si="298">SUMIFS(E:E,B:B,B1355)</f>
        <v>30359</v>
      </c>
      <c r="AC1355" s="43">
        <f t="shared" si="294"/>
        <v>1.7062811181712705E-2</v>
      </c>
      <c r="AD1355" s="43">
        <f t="shared" si="295"/>
        <v>0.87966620448387123</v>
      </c>
      <c r="AF1355" s="43">
        <v>20.261060981369472</v>
      </c>
      <c r="AG1355" s="201">
        <v>6.0671900000000003E-6</v>
      </c>
      <c r="AH1355" s="43">
        <v>4.5261219999999996E-3</v>
      </c>
      <c r="AI1355" s="43">
        <v>0.95043107400000004</v>
      </c>
      <c r="AJ1355" s="43">
        <v>3.8205980070000001</v>
      </c>
      <c r="AK1355" s="43">
        <v>12.079952479999999</v>
      </c>
      <c r="AL1355" s="43">
        <v>1.897115E-3</v>
      </c>
      <c r="AM1355" s="230">
        <v>1.2239452651677418E-5</v>
      </c>
      <c r="AN1355" s="43">
        <v>0.98837251999999998</v>
      </c>
    </row>
    <row r="1356" spans="1:40" x14ac:dyDescent="0.25">
      <c r="A1356" s="134">
        <v>1346</v>
      </c>
      <c r="B1356" s="134" t="s">
        <v>204</v>
      </c>
      <c r="C1356" s="134" t="s">
        <v>205</v>
      </c>
      <c r="D1356" s="134" t="s">
        <v>62</v>
      </c>
      <c r="E1356" s="134">
        <v>0</v>
      </c>
      <c r="F1356" s="134">
        <v>0</v>
      </c>
      <c r="G1356" s="134">
        <v>1813</v>
      </c>
      <c r="H1356" s="134">
        <v>54</v>
      </c>
      <c r="I1356" s="200">
        <v>2.8445673442000001</v>
      </c>
      <c r="J1356" s="134">
        <v>54</v>
      </c>
      <c r="K1356" s="134">
        <v>18.983554778599999</v>
      </c>
      <c r="L1356" s="42">
        <v>0.91763874160500003</v>
      </c>
      <c r="M1356" s="42">
        <v>1</v>
      </c>
      <c r="N1356" s="134">
        <v>0</v>
      </c>
      <c r="O1356" s="43" t="s">
        <v>665</v>
      </c>
      <c r="P1356" s="43">
        <f t="shared" ref="P1356:P1419" si="299">IF(OR(IFERROR(AF1356=0,TRUE),ISERROR(AF1356)),AVERAGEIFS(AF:AF,$B:$B,$B1356,AF:AF,"&gt;0"),AF1356)</f>
        <v>17.408504251541768</v>
      </c>
      <c r="Q1356" s="43">
        <f t="shared" ref="Q1356:Q1419" si="300">IF(OR(IFERROR(AG1356=0,TRUE),ISERROR(AG1356)),AVERAGEIFS(AG:AG,$B:$B,$B1356,AG:AG,"&gt;0"),AG1356)</f>
        <v>1.7062811181712708E-2</v>
      </c>
      <c r="R1356" s="43">
        <f t="shared" ref="R1356:R1419" si="301">IF(OR(IFERROR(AH1356=0,TRUE),ISERROR(AH1356)),AVERAGEIFS(AH:AH,$B:$B,$B1356,AH:AH,"&gt;0"),AH1356)</f>
        <v>1.2281927743016759E-2</v>
      </c>
      <c r="S1356" s="43">
        <f t="shared" ref="S1356:S1419" si="302">IF(OR(IFERROR(AI1356=0,TRUE),ISERROR(AI1356)),AVERAGEIFS(AI:AI,$B:$B,$B1356,AI:AI,"&gt;0"),AI1356)</f>
        <v>0.91763874199999995</v>
      </c>
      <c r="T1356" s="43">
        <f t="shared" ref="T1356:T1419" si="303">IF(OR(IFERROR(AJ1356=0,TRUE),ISERROR(AJ1356)),AVERAGEIFS(AJ:AJ,$B:$B,$B1356,AJ:AJ,"&gt;0"),AJ1356)</f>
        <v>19</v>
      </c>
      <c r="U1356" s="43">
        <f t="shared" ref="U1356:U1419" si="304">IF(OR(IFERROR(AK1356=0,TRUE),ISERROR(AK1356)),AVERAGEIFS(AK:AK,$B:$B,$B1356,AK:AK,"&gt;0"),AK1356)</f>
        <v>8.6613306360000006</v>
      </c>
      <c r="V1356" s="43">
        <f t="shared" ref="V1356:V1419" si="305">IF(OR(IFERROR(AL1356=0,TRUE),ISERROR(AL1356)),AVERAGEIFS(AL:AL,$B:$B,$B1356,AL:AL,"&gt;0"),AL1356)</f>
        <v>2.2188896352201251E-3</v>
      </c>
      <c r="W1356" s="230">
        <f t="shared" ref="W1356:W1419" si="306">IF(OR(IFERROR(AM1356=0,TRUE),ISERROR(AM1356)),AVERAGEIFS(AM:AM,$B:$B,$B1356,AM:AM,"&gt;0"),AM1356)</f>
        <v>3.7712999565398898E-2</v>
      </c>
      <c r="X1356" s="43">
        <f t="shared" ref="X1356:X1419" si="307">IF(OR(IFERROR(AN1356=0,TRUE),ISERROR(AN1356)),AVERAGEIFS(AN:AN,$B:$B,$B1356,AN:AN,"&gt;0"),AN1356)</f>
        <v>0.91763874199999995</v>
      </c>
      <c r="Y1356" s="43">
        <v>4.6982654310000003</v>
      </c>
      <c r="Z1356" s="43">
        <f t="shared" si="296"/>
        <v>0</v>
      </c>
      <c r="AA1356" s="43">
        <f t="shared" si="297"/>
        <v>85233</v>
      </c>
      <c r="AB1356" s="43">
        <f t="shared" si="298"/>
        <v>30359</v>
      </c>
      <c r="AC1356" s="43">
        <f t="shared" ref="AC1356:AC1419" si="308">AVERAGEIFS(Q:Q,B:B,B1356,N:N,0,Q:Q,"&gt;0")</f>
        <v>1.7062811181712705E-2</v>
      </c>
      <c r="AD1356" s="43">
        <f t="shared" ref="AD1356:AD1419" si="309">AVERAGEIFS(S:S,B:B,B1356,N:N,0,S:S,"&gt;0")</f>
        <v>0.87966620448387123</v>
      </c>
      <c r="AF1356" s="43">
        <v>17.408504251541768</v>
      </c>
      <c r="AG1356" s="43">
        <v>0</v>
      </c>
      <c r="AH1356" s="43">
        <v>0</v>
      </c>
      <c r="AI1356" s="43">
        <v>0.91763874199999995</v>
      </c>
      <c r="AJ1356" s="43">
        <v>19</v>
      </c>
      <c r="AK1356" s="43">
        <v>8.6613306360000006</v>
      </c>
      <c r="AL1356" s="43">
        <v>0</v>
      </c>
      <c r="AM1356" s="230">
        <v>0</v>
      </c>
      <c r="AN1356" s="43">
        <v>0.91763874199999995</v>
      </c>
    </row>
    <row r="1357" spans="1:40" x14ac:dyDescent="0.25">
      <c r="A1357" s="134">
        <v>1347</v>
      </c>
      <c r="B1357" s="134" t="s">
        <v>204</v>
      </c>
      <c r="C1357" s="134" t="s">
        <v>205</v>
      </c>
      <c r="D1357" s="134" t="s">
        <v>62</v>
      </c>
      <c r="E1357" s="134">
        <v>13</v>
      </c>
      <c r="F1357" s="134">
        <v>39</v>
      </c>
      <c r="G1357" s="134">
        <v>576</v>
      </c>
      <c r="H1357" s="134">
        <v>37</v>
      </c>
      <c r="I1357" s="200">
        <v>0.90387259817999999</v>
      </c>
      <c r="J1357" s="134">
        <v>76</v>
      </c>
      <c r="K1357" s="134">
        <v>84.082646329900001</v>
      </c>
      <c r="L1357" s="42">
        <v>0.93460372455600005</v>
      </c>
      <c r="M1357" s="42">
        <v>0.74</v>
      </c>
      <c r="N1357" s="134">
        <v>0</v>
      </c>
      <c r="O1357" s="43" t="s">
        <v>665</v>
      </c>
      <c r="P1357" s="43">
        <f t="shared" si="299"/>
        <v>17.796883207844512</v>
      </c>
      <c r="Q1357" s="43">
        <f t="shared" si="300"/>
        <v>2.3819840000000002E-3</v>
      </c>
      <c r="R1357" s="43">
        <f t="shared" si="301"/>
        <v>5.1970549999999999E-3</v>
      </c>
      <c r="S1357" s="43">
        <f t="shared" si="302"/>
        <v>0.934603725</v>
      </c>
      <c r="T1357" s="43">
        <f t="shared" si="303"/>
        <v>6.242105263</v>
      </c>
      <c r="U1357" s="43">
        <f t="shared" si="304"/>
        <v>12.225595119999999</v>
      </c>
      <c r="V1357" s="43">
        <f t="shared" si="305"/>
        <v>2.2188896352201251E-3</v>
      </c>
      <c r="W1357" s="230">
        <f t="shared" si="306"/>
        <v>5.4243777919591582E-3</v>
      </c>
      <c r="X1357" s="43">
        <f t="shared" si="307"/>
        <v>0.88353541800000002</v>
      </c>
      <c r="Y1357" s="43">
        <v>5.5567226019999998</v>
      </c>
      <c r="Z1357" s="43">
        <f t="shared" si="296"/>
        <v>0</v>
      </c>
      <c r="AA1357" s="43">
        <f t="shared" si="297"/>
        <v>85233</v>
      </c>
      <c r="AB1357" s="43">
        <f t="shared" si="298"/>
        <v>30359</v>
      </c>
      <c r="AC1357" s="43">
        <f t="shared" si="308"/>
        <v>1.7062811181712705E-2</v>
      </c>
      <c r="AD1357" s="43">
        <f t="shared" si="309"/>
        <v>0.87966620448387123</v>
      </c>
      <c r="AF1357" s="43">
        <v>17.796883207844512</v>
      </c>
      <c r="AG1357" s="43">
        <v>2.3819840000000002E-3</v>
      </c>
      <c r="AH1357" s="43">
        <v>5.1970549999999999E-3</v>
      </c>
      <c r="AI1357" s="43">
        <v>0.934603725</v>
      </c>
      <c r="AJ1357" s="43">
        <v>6.242105263</v>
      </c>
      <c r="AK1357" s="43">
        <v>12.225595119999999</v>
      </c>
      <c r="AL1357" s="43">
        <v>0</v>
      </c>
      <c r="AM1357" s="230">
        <v>5.4243777919591582E-3</v>
      </c>
      <c r="AN1357" s="43">
        <v>0.88353541800000002</v>
      </c>
    </row>
    <row r="1358" spans="1:40" x14ac:dyDescent="0.25">
      <c r="A1358" s="134">
        <v>1348</v>
      </c>
      <c r="B1358" s="134" t="s">
        <v>204</v>
      </c>
      <c r="C1358" s="134" t="s">
        <v>205</v>
      </c>
      <c r="D1358" s="134" t="s">
        <v>62</v>
      </c>
      <c r="E1358" s="134">
        <v>13</v>
      </c>
      <c r="F1358" s="134">
        <v>40</v>
      </c>
      <c r="G1358" s="134">
        <v>45</v>
      </c>
      <c r="H1358" s="134">
        <v>260</v>
      </c>
      <c r="I1358" s="200">
        <v>7.0974734785599999E-2</v>
      </c>
      <c r="J1358" s="134">
        <v>300</v>
      </c>
      <c r="K1358" s="134">
        <v>4226.8562313900002</v>
      </c>
      <c r="L1358" s="42">
        <v>0.89277498046699999</v>
      </c>
      <c r="M1358" s="42">
        <v>0.95238095238099996</v>
      </c>
      <c r="N1358" s="134">
        <v>0</v>
      </c>
      <c r="O1358" s="43" t="s">
        <v>666</v>
      </c>
      <c r="P1358" s="43">
        <f t="shared" si="299"/>
        <v>17.060568557732754</v>
      </c>
      <c r="Q1358" s="43">
        <f t="shared" si="300"/>
        <v>6.0118070000000001E-3</v>
      </c>
      <c r="R1358" s="43">
        <f t="shared" si="301"/>
        <v>7.5201840000000001E-3</v>
      </c>
      <c r="S1358" s="43">
        <f t="shared" si="302"/>
        <v>0.89277498</v>
      </c>
      <c r="T1358" s="43">
        <f t="shared" si="303"/>
        <v>2.4341142019999999</v>
      </c>
      <c r="U1358" s="43">
        <f t="shared" si="304"/>
        <v>8.1491237739999995</v>
      </c>
      <c r="V1358" s="43">
        <f t="shared" si="305"/>
        <v>2.068365E-3</v>
      </c>
      <c r="W1358" s="230">
        <f t="shared" si="306"/>
        <v>9.5797953407359034E-3</v>
      </c>
      <c r="X1358" s="43">
        <f t="shared" si="307"/>
        <v>0.92907685600000001</v>
      </c>
      <c r="Y1358" s="43">
        <v>113.54898439999999</v>
      </c>
      <c r="Z1358" s="43">
        <f t="shared" si="296"/>
        <v>0</v>
      </c>
      <c r="AA1358" s="43">
        <f t="shared" si="297"/>
        <v>85233</v>
      </c>
      <c r="AB1358" s="43">
        <f t="shared" si="298"/>
        <v>30359</v>
      </c>
      <c r="AC1358" s="43">
        <f t="shared" si="308"/>
        <v>1.7062811181712705E-2</v>
      </c>
      <c r="AD1358" s="43">
        <f t="shared" si="309"/>
        <v>0.87966620448387123</v>
      </c>
      <c r="AF1358" s="43">
        <v>17.060568557732754</v>
      </c>
      <c r="AG1358" s="43">
        <v>6.0118070000000001E-3</v>
      </c>
      <c r="AH1358" s="43">
        <v>7.5201840000000001E-3</v>
      </c>
      <c r="AI1358" s="43">
        <v>0.89277498</v>
      </c>
      <c r="AJ1358" s="43">
        <v>2.4341142019999999</v>
      </c>
      <c r="AK1358" s="43">
        <v>8.1491237739999995</v>
      </c>
      <c r="AL1358" s="43">
        <v>2.068365E-3</v>
      </c>
      <c r="AM1358" s="230">
        <v>9.5797953407359034E-3</v>
      </c>
      <c r="AN1358" s="43">
        <v>0.92907685600000001</v>
      </c>
    </row>
    <row r="1359" spans="1:40" x14ac:dyDescent="0.25">
      <c r="A1359" s="134">
        <v>1349</v>
      </c>
      <c r="B1359" s="134" t="s">
        <v>204</v>
      </c>
      <c r="C1359" s="134" t="s">
        <v>205</v>
      </c>
      <c r="D1359" s="134" t="s">
        <v>62</v>
      </c>
      <c r="E1359" s="134">
        <v>1</v>
      </c>
      <c r="F1359" s="134">
        <v>2</v>
      </c>
      <c r="G1359" s="134">
        <v>82</v>
      </c>
      <c r="H1359" s="134">
        <v>0</v>
      </c>
      <c r="I1359" s="200">
        <v>0.128332350308</v>
      </c>
      <c r="J1359" s="134">
        <v>2</v>
      </c>
      <c r="K1359" s="134">
        <v>15.584534960999999</v>
      </c>
      <c r="L1359" s="42">
        <v>0.80219780219799997</v>
      </c>
      <c r="M1359" s="42">
        <v>0</v>
      </c>
      <c r="N1359" s="134">
        <v>0</v>
      </c>
      <c r="O1359" s="43" t="s">
        <v>666</v>
      </c>
      <c r="P1359" s="43">
        <f t="shared" si="299"/>
        <v>17.970864213525694</v>
      </c>
      <c r="Q1359" s="43">
        <f t="shared" si="300"/>
        <v>1.7062811181712708E-2</v>
      </c>
      <c r="R1359" s="43">
        <f t="shared" si="301"/>
        <v>1.2281927743016759E-2</v>
      </c>
      <c r="S1359" s="43">
        <f t="shared" si="302"/>
        <v>0.80219780200000002</v>
      </c>
      <c r="T1359" s="43">
        <f t="shared" si="303"/>
        <v>3.4720153019613269</v>
      </c>
      <c r="U1359" s="43">
        <f t="shared" si="304"/>
        <v>7.6063829790000002</v>
      </c>
      <c r="V1359" s="43">
        <f t="shared" si="305"/>
        <v>2.2188896352201251E-3</v>
      </c>
      <c r="W1359" s="230">
        <f t="shared" si="306"/>
        <v>3.7712999565398898E-2</v>
      </c>
      <c r="X1359" s="43">
        <f t="shared" si="307"/>
        <v>0.8985543829482765</v>
      </c>
      <c r="Y1359" s="43">
        <v>4.6067885999999998</v>
      </c>
      <c r="Z1359" s="43">
        <f t="shared" si="296"/>
        <v>0</v>
      </c>
      <c r="AA1359" s="43">
        <f t="shared" si="297"/>
        <v>85233</v>
      </c>
      <c r="AB1359" s="43">
        <f t="shared" si="298"/>
        <v>30359</v>
      </c>
      <c r="AC1359" s="43">
        <f t="shared" si="308"/>
        <v>1.7062811181712705E-2</v>
      </c>
      <c r="AD1359" s="43">
        <f t="shared" si="309"/>
        <v>0.87966620448387123</v>
      </c>
      <c r="AF1359" s="43" t="e">
        <v>#DIV/0!</v>
      </c>
      <c r="AG1359" s="43">
        <v>0</v>
      </c>
      <c r="AH1359" s="43">
        <v>0</v>
      </c>
      <c r="AI1359" s="43">
        <v>0.80219780200000002</v>
      </c>
      <c r="AJ1359" s="43" t="e">
        <v>#DIV/0!</v>
      </c>
      <c r="AK1359" s="43">
        <v>7.6063829790000002</v>
      </c>
      <c r="AL1359" s="43" t="e">
        <v>#DIV/0!</v>
      </c>
      <c r="AM1359" s="230" t="e">
        <v>#DIV/0!</v>
      </c>
      <c r="AN1359" s="43" t="e">
        <v>#DIV/0!</v>
      </c>
    </row>
    <row r="1360" spans="1:40" x14ac:dyDescent="0.25">
      <c r="A1360" s="134">
        <v>1350</v>
      </c>
      <c r="B1360" s="134" t="s">
        <v>204</v>
      </c>
      <c r="C1360" s="134" t="s">
        <v>205</v>
      </c>
      <c r="D1360" s="134" t="s">
        <v>62</v>
      </c>
      <c r="E1360" s="134">
        <v>4</v>
      </c>
      <c r="F1360" s="134">
        <v>12</v>
      </c>
      <c r="G1360" s="134">
        <v>148</v>
      </c>
      <c r="H1360" s="134">
        <v>3</v>
      </c>
      <c r="I1360" s="200">
        <v>0.231656525094</v>
      </c>
      <c r="J1360" s="134">
        <v>15</v>
      </c>
      <c r="K1360" s="134">
        <v>64.751036017399997</v>
      </c>
      <c r="L1360" s="42">
        <v>0.81921979067600004</v>
      </c>
      <c r="M1360" s="42">
        <v>0.428571428571</v>
      </c>
      <c r="N1360" s="134">
        <v>0</v>
      </c>
      <c r="O1360" s="43" t="s">
        <v>666</v>
      </c>
      <c r="P1360" s="43">
        <f t="shared" si="299"/>
        <v>18.535528453370375</v>
      </c>
      <c r="Q1360" s="43">
        <f t="shared" si="300"/>
        <v>4.757374E-3</v>
      </c>
      <c r="R1360" s="43">
        <f t="shared" si="301"/>
        <v>1.6175070999999999E-2</v>
      </c>
      <c r="S1360" s="43">
        <f t="shared" si="302"/>
        <v>0.81921979099999997</v>
      </c>
      <c r="T1360" s="43">
        <f t="shared" si="303"/>
        <v>5.5294117649999999</v>
      </c>
      <c r="U1360" s="43">
        <f t="shared" si="304"/>
        <v>10.17137293</v>
      </c>
      <c r="V1360" s="43">
        <f t="shared" si="305"/>
        <v>2.2188896352201251E-3</v>
      </c>
      <c r="W1360" s="230">
        <f t="shared" si="306"/>
        <v>4.5558086560364471E-3</v>
      </c>
      <c r="X1360" s="43">
        <f t="shared" si="307"/>
        <v>0.75398633299999995</v>
      </c>
      <c r="Y1360" s="43">
        <v>4.6067885999999998</v>
      </c>
      <c r="Z1360" s="43">
        <f t="shared" si="296"/>
        <v>0</v>
      </c>
      <c r="AA1360" s="43">
        <f t="shared" si="297"/>
        <v>85233</v>
      </c>
      <c r="AB1360" s="43">
        <f t="shared" si="298"/>
        <v>30359</v>
      </c>
      <c r="AC1360" s="43">
        <f t="shared" si="308"/>
        <v>1.7062811181712705E-2</v>
      </c>
      <c r="AD1360" s="43">
        <f t="shared" si="309"/>
        <v>0.87966620448387123</v>
      </c>
      <c r="AF1360" s="43">
        <v>18.535528453370375</v>
      </c>
      <c r="AG1360" s="43">
        <v>4.757374E-3</v>
      </c>
      <c r="AH1360" s="43">
        <v>1.6175070999999999E-2</v>
      </c>
      <c r="AI1360" s="43">
        <v>0.81921979099999997</v>
      </c>
      <c r="AJ1360" s="43">
        <v>5.5294117649999999</v>
      </c>
      <c r="AK1360" s="43">
        <v>10.17137293</v>
      </c>
      <c r="AL1360" s="43">
        <v>0</v>
      </c>
      <c r="AM1360" s="230">
        <v>4.5558086560364471E-3</v>
      </c>
      <c r="AN1360" s="43">
        <v>0.75398633299999995</v>
      </c>
    </row>
    <row r="1361" spans="1:40" x14ac:dyDescent="0.25">
      <c r="A1361" s="134">
        <v>1351</v>
      </c>
      <c r="B1361" s="134" t="s">
        <v>204</v>
      </c>
      <c r="C1361" s="134" t="s">
        <v>205</v>
      </c>
      <c r="D1361" s="134" t="s">
        <v>62</v>
      </c>
      <c r="E1361" s="134">
        <v>60</v>
      </c>
      <c r="F1361" s="134">
        <v>183</v>
      </c>
      <c r="G1361" s="134">
        <v>76</v>
      </c>
      <c r="H1361" s="134">
        <v>1</v>
      </c>
      <c r="I1361" s="200">
        <v>0.11885987024</v>
      </c>
      <c r="J1361" s="134">
        <v>184</v>
      </c>
      <c r="K1361" s="134">
        <v>1548.04140059</v>
      </c>
      <c r="L1361" s="42">
        <v>0.914390951708</v>
      </c>
      <c r="M1361" s="42">
        <v>1.6393442623E-2</v>
      </c>
      <c r="N1361" s="134">
        <v>0</v>
      </c>
      <c r="O1361" s="43" t="s">
        <v>666</v>
      </c>
      <c r="P1361" s="43">
        <f t="shared" si="299"/>
        <v>20.395861582272836</v>
      </c>
      <c r="Q1361" s="43">
        <f t="shared" si="300"/>
        <v>9.9337750000000006E-3</v>
      </c>
      <c r="R1361" s="43">
        <f t="shared" si="301"/>
        <v>1.0305826000000001E-2</v>
      </c>
      <c r="S1361" s="43">
        <f t="shared" si="302"/>
        <v>0.91439095199999998</v>
      </c>
      <c r="T1361" s="43">
        <f t="shared" si="303"/>
        <v>5.4025270760000002</v>
      </c>
      <c r="U1361" s="43">
        <f t="shared" si="304"/>
        <v>18.030135179999998</v>
      </c>
      <c r="V1361" s="43">
        <f t="shared" si="305"/>
        <v>2.2188896352201251E-3</v>
      </c>
      <c r="W1361" s="230">
        <f t="shared" si="306"/>
        <v>3.3729881035689295E-2</v>
      </c>
      <c r="X1361" s="43">
        <f t="shared" si="307"/>
        <v>0.88663400999999997</v>
      </c>
      <c r="Y1361" s="43">
        <v>4.6067885999999998</v>
      </c>
      <c r="Z1361" s="43">
        <f t="shared" si="296"/>
        <v>0</v>
      </c>
      <c r="AA1361" s="43">
        <f t="shared" si="297"/>
        <v>85233</v>
      </c>
      <c r="AB1361" s="43">
        <f t="shared" si="298"/>
        <v>30359</v>
      </c>
      <c r="AC1361" s="43">
        <f t="shared" si="308"/>
        <v>1.7062811181712705E-2</v>
      </c>
      <c r="AD1361" s="43">
        <f t="shared" si="309"/>
        <v>0.87966620448387123</v>
      </c>
      <c r="AF1361" s="43">
        <v>20.395861582272836</v>
      </c>
      <c r="AG1361" s="43">
        <v>9.9337750000000006E-3</v>
      </c>
      <c r="AH1361" s="43">
        <v>1.0305826000000001E-2</v>
      </c>
      <c r="AI1361" s="43">
        <v>0.91439095199999998</v>
      </c>
      <c r="AJ1361" s="43">
        <v>5.4025270760000002</v>
      </c>
      <c r="AK1361" s="43">
        <v>18.030135179999998</v>
      </c>
      <c r="AL1361" s="43">
        <v>0</v>
      </c>
      <c r="AM1361" s="230">
        <v>3.3729881035689295E-2</v>
      </c>
      <c r="AN1361" s="43">
        <v>0.88663400999999997</v>
      </c>
    </row>
    <row r="1362" spans="1:40" x14ac:dyDescent="0.25">
      <c r="A1362" s="134">
        <v>1352</v>
      </c>
      <c r="B1362" s="134" t="s">
        <v>204</v>
      </c>
      <c r="C1362" s="134" t="s">
        <v>205</v>
      </c>
      <c r="D1362" s="134" t="s">
        <v>62</v>
      </c>
      <c r="E1362" s="134">
        <v>351</v>
      </c>
      <c r="F1362" s="134">
        <v>1077</v>
      </c>
      <c r="G1362" s="134">
        <v>89</v>
      </c>
      <c r="H1362" s="134">
        <v>95</v>
      </c>
      <c r="I1362" s="200">
        <v>0.13963093854600001</v>
      </c>
      <c r="J1362" s="134">
        <v>1172</v>
      </c>
      <c r="K1362" s="134">
        <v>8393.5552693699992</v>
      </c>
      <c r="L1362" s="42">
        <v>0.88275951766000005</v>
      </c>
      <c r="M1362" s="42">
        <v>0.21300448430499999</v>
      </c>
      <c r="N1362" s="134">
        <v>0</v>
      </c>
      <c r="O1362" s="43" t="s">
        <v>666</v>
      </c>
      <c r="P1362" s="43">
        <f t="shared" si="299"/>
        <v>19.116870102705192</v>
      </c>
      <c r="Q1362" s="43">
        <f t="shared" si="300"/>
        <v>1.7312016E-2</v>
      </c>
      <c r="R1362" s="43">
        <f t="shared" si="301"/>
        <v>1.0158673999999999E-2</v>
      </c>
      <c r="S1362" s="43">
        <f t="shared" si="302"/>
        <v>0.88275951799999997</v>
      </c>
      <c r="T1362" s="43">
        <f t="shared" si="303"/>
        <v>3.5122341640000001</v>
      </c>
      <c r="U1362" s="43">
        <f t="shared" si="304"/>
        <v>11.85401705</v>
      </c>
      <c r="V1362" s="43">
        <f t="shared" si="305"/>
        <v>2.117149E-3</v>
      </c>
      <c r="W1362" s="230">
        <f t="shared" si="306"/>
        <v>4.7710136314675175E-2</v>
      </c>
      <c r="X1362" s="43">
        <f t="shared" si="307"/>
        <v>0.90192400500000003</v>
      </c>
      <c r="Y1362" s="43">
        <v>112.9003278</v>
      </c>
      <c r="Z1362" s="43">
        <f t="shared" si="296"/>
        <v>0</v>
      </c>
      <c r="AA1362" s="43">
        <f t="shared" si="297"/>
        <v>85233</v>
      </c>
      <c r="AB1362" s="43">
        <f t="shared" si="298"/>
        <v>30359</v>
      </c>
      <c r="AC1362" s="43">
        <f t="shared" si="308"/>
        <v>1.7062811181712705E-2</v>
      </c>
      <c r="AD1362" s="43">
        <f t="shared" si="309"/>
        <v>0.87966620448387123</v>
      </c>
      <c r="AF1362" s="43">
        <v>19.116870102705192</v>
      </c>
      <c r="AG1362" s="43">
        <v>1.7312016E-2</v>
      </c>
      <c r="AH1362" s="43">
        <v>1.0158673999999999E-2</v>
      </c>
      <c r="AI1362" s="43">
        <v>0.88275951799999997</v>
      </c>
      <c r="AJ1362" s="43">
        <v>3.5122341640000001</v>
      </c>
      <c r="AK1362" s="43">
        <v>11.85401705</v>
      </c>
      <c r="AL1362" s="43">
        <v>2.117149E-3</v>
      </c>
      <c r="AM1362" s="230">
        <v>4.7710136314675175E-2</v>
      </c>
      <c r="AN1362" s="43">
        <v>0.90192400500000003</v>
      </c>
    </row>
    <row r="1363" spans="1:40" x14ac:dyDescent="0.25">
      <c r="A1363" s="134">
        <v>1353</v>
      </c>
      <c r="B1363" s="134" t="s">
        <v>204</v>
      </c>
      <c r="C1363" s="134" t="s">
        <v>205</v>
      </c>
      <c r="D1363" s="134" t="s">
        <v>62</v>
      </c>
      <c r="E1363" s="134">
        <v>475</v>
      </c>
      <c r="F1363" s="134">
        <v>1455</v>
      </c>
      <c r="G1363" s="134">
        <v>66</v>
      </c>
      <c r="H1363" s="134">
        <v>0</v>
      </c>
      <c r="I1363" s="200">
        <v>0.103623840474</v>
      </c>
      <c r="J1363" s="134">
        <v>1455</v>
      </c>
      <c r="K1363" s="134">
        <v>14041.1703846</v>
      </c>
      <c r="L1363" s="42">
        <v>0.87845883446399997</v>
      </c>
      <c r="M1363" s="42">
        <v>0</v>
      </c>
      <c r="N1363" s="134">
        <v>0</v>
      </c>
      <c r="O1363" s="43" t="s">
        <v>666</v>
      </c>
      <c r="P1363" s="43">
        <f t="shared" si="299"/>
        <v>19.188420390288208</v>
      </c>
      <c r="Q1363" s="43">
        <f t="shared" si="300"/>
        <v>2.8314822E-2</v>
      </c>
      <c r="R1363" s="43">
        <f t="shared" si="301"/>
        <v>1.2178962E-2</v>
      </c>
      <c r="S1363" s="43">
        <f t="shared" si="302"/>
        <v>0.87845883400000002</v>
      </c>
      <c r="T1363" s="43">
        <f t="shared" si="303"/>
        <v>3.7795334839999999</v>
      </c>
      <c r="U1363" s="43">
        <f t="shared" si="304"/>
        <v>12.88925967</v>
      </c>
      <c r="V1363" s="43">
        <f t="shared" si="305"/>
        <v>3.1018410000000001E-3</v>
      </c>
      <c r="W1363" s="230">
        <f t="shared" si="306"/>
        <v>7.7596324737601016E-2</v>
      </c>
      <c r="X1363" s="43">
        <f t="shared" si="307"/>
        <v>0.87919586900000002</v>
      </c>
      <c r="Y1363" s="43">
        <v>113.90806619999999</v>
      </c>
      <c r="Z1363" s="43">
        <f t="shared" si="296"/>
        <v>0</v>
      </c>
      <c r="AA1363" s="43">
        <f t="shared" si="297"/>
        <v>85233</v>
      </c>
      <c r="AB1363" s="43">
        <f t="shared" si="298"/>
        <v>30359</v>
      </c>
      <c r="AC1363" s="43">
        <f t="shared" si="308"/>
        <v>1.7062811181712705E-2</v>
      </c>
      <c r="AD1363" s="43">
        <f t="shared" si="309"/>
        <v>0.87966620448387123</v>
      </c>
      <c r="AF1363" s="43">
        <v>19.188420390288208</v>
      </c>
      <c r="AG1363" s="43">
        <v>2.8314822E-2</v>
      </c>
      <c r="AH1363" s="43">
        <v>1.2178962E-2</v>
      </c>
      <c r="AI1363" s="43">
        <v>0.87845883400000002</v>
      </c>
      <c r="AJ1363" s="43">
        <v>3.7795334839999999</v>
      </c>
      <c r="AK1363" s="43">
        <v>12.88925967</v>
      </c>
      <c r="AL1363" s="43">
        <v>3.1018410000000001E-3</v>
      </c>
      <c r="AM1363" s="230">
        <v>7.7596324737601016E-2</v>
      </c>
      <c r="AN1363" s="43">
        <v>0.87919586900000002</v>
      </c>
    </row>
    <row r="1364" spans="1:40" x14ac:dyDescent="0.25">
      <c r="A1364" s="134">
        <v>1354</v>
      </c>
      <c r="B1364" s="134" t="s">
        <v>204</v>
      </c>
      <c r="C1364" s="134" t="s">
        <v>205</v>
      </c>
      <c r="D1364" s="134" t="s">
        <v>62</v>
      </c>
      <c r="E1364" s="134">
        <v>0</v>
      </c>
      <c r="F1364" s="134">
        <v>0</v>
      </c>
      <c r="G1364" s="134">
        <v>65</v>
      </c>
      <c r="H1364" s="134">
        <v>1</v>
      </c>
      <c r="I1364" s="200">
        <v>0.101847239102</v>
      </c>
      <c r="J1364" s="134">
        <v>1</v>
      </c>
      <c r="K1364" s="134">
        <v>9.8186264921300008</v>
      </c>
      <c r="L1364" s="42">
        <v>0.96413934426199999</v>
      </c>
      <c r="M1364" s="42">
        <v>1</v>
      </c>
      <c r="N1364" s="134">
        <v>0</v>
      </c>
      <c r="O1364" s="43" t="s">
        <v>666</v>
      </c>
      <c r="P1364" s="43">
        <f t="shared" si="299"/>
        <v>17.970864213525694</v>
      </c>
      <c r="Q1364" s="43">
        <f t="shared" si="300"/>
        <v>2.7663934000000001E-2</v>
      </c>
      <c r="R1364" s="43">
        <f t="shared" si="301"/>
        <v>5.1229499999999996E-4</v>
      </c>
      <c r="S1364" s="43">
        <f t="shared" si="302"/>
        <v>0.96413934400000001</v>
      </c>
      <c r="T1364" s="43">
        <f t="shared" si="303"/>
        <v>10</v>
      </c>
      <c r="U1364" s="43">
        <f t="shared" si="304"/>
        <v>28.214656290000001</v>
      </c>
      <c r="V1364" s="43">
        <f t="shared" si="305"/>
        <v>2.2188896352201251E-3</v>
      </c>
      <c r="W1364" s="230">
        <f t="shared" si="306"/>
        <v>3.7712999565398898E-2</v>
      </c>
      <c r="X1364" s="43">
        <f t="shared" si="307"/>
        <v>0.8985543829482765</v>
      </c>
      <c r="Y1364" s="43">
        <v>5.8778736250000003</v>
      </c>
      <c r="Z1364" s="43">
        <f t="shared" si="296"/>
        <v>0</v>
      </c>
      <c r="AA1364" s="43">
        <f t="shared" si="297"/>
        <v>85233</v>
      </c>
      <c r="AB1364" s="43">
        <f t="shared" si="298"/>
        <v>30359</v>
      </c>
      <c r="AC1364" s="43">
        <f t="shared" si="308"/>
        <v>1.7062811181712705E-2</v>
      </c>
      <c r="AD1364" s="43">
        <f t="shared" si="309"/>
        <v>0.87966620448387123</v>
      </c>
      <c r="AF1364" s="43" t="e">
        <v>#DIV/0!</v>
      </c>
      <c r="AG1364" s="43">
        <v>2.7663934000000001E-2</v>
      </c>
      <c r="AH1364" s="43">
        <v>5.1229499999999996E-4</v>
      </c>
      <c r="AI1364" s="43">
        <v>0.96413934400000001</v>
      </c>
      <c r="AJ1364" s="43">
        <v>10</v>
      </c>
      <c r="AK1364" s="43">
        <v>28.214656290000001</v>
      </c>
      <c r="AL1364" s="43" t="e">
        <v>#DIV/0!</v>
      </c>
      <c r="AM1364" s="230" t="e">
        <v>#DIV/0!</v>
      </c>
      <c r="AN1364" s="43" t="e">
        <v>#DIV/0!</v>
      </c>
    </row>
    <row r="1365" spans="1:40" x14ac:dyDescent="0.25">
      <c r="A1365" s="134">
        <v>1355</v>
      </c>
      <c r="B1365" s="134" t="s">
        <v>204</v>
      </c>
      <c r="C1365" s="134" t="s">
        <v>205</v>
      </c>
      <c r="D1365" s="134" t="s">
        <v>62</v>
      </c>
      <c r="E1365" s="134">
        <v>331</v>
      </c>
      <c r="F1365" s="134">
        <v>1013</v>
      </c>
      <c r="G1365" s="134">
        <v>161</v>
      </c>
      <c r="H1365" s="134">
        <v>71</v>
      </c>
      <c r="I1365" s="200">
        <v>0.25265540025799998</v>
      </c>
      <c r="J1365" s="134">
        <v>1084</v>
      </c>
      <c r="K1365" s="134">
        <v>4290.42877727</v>
      </c>
      <c r="L1365" s="42">
        <v>0.90080785300699995</v>
      </c>
      <c r="M1365" s="42">
        <v>0.17661691542300001</v>
      </c>
      <c r="N1365" s="134">
        <v>0</v>
      </c>
      <c r="O1365" s="43" t="s">
        <v>665</v>
      </c>
      <c r="P1365" s="43">
        <f t="shared" si="299"/>
        <v>19.31140948031338</v>
      </c>
      <c r="Q1365" s="43">
        <f t="shared" si="300"/>
        <v>1.4751625000000001E-2</v>
      </c>
      <c r="R1365" s="43">
        <f t="shared" si="301"/>
        <v>9.9361020000000005E-3</v>
      </c>
      <c r="S1365" s="43">
        <f t="shared" si="302"/>
        <v>0.90080785299999999</v>
      </c>
      <c r="T1365" s="43">
        <f t="shared" si="303"/>
        <v>3.9727722769999998</v>
      </c>
      <c r="U1365" s="43">
        <f t="shared" si="304"/>
        <v>13.714843610000001</v>
      </c>
      <c r="V1365" s="43">
        <f t="shared" si="305"/>
        <v>1.4796239999999999E-3</v>
      </c>
      <c r="W1365" s="230">
        <f t="shared" si="306"/>
        <v>3.316824561764041E-2</v>
      </c>
      <c r="X1365" s="43">
        <f t="shared" si="307"/>
        <v>0.92963564300000001</v>
      </c>
      <c r="Y1365" s="43">
        <v>4.6497737240000001</v>
      </c>
      <c r="Z1365" s="43">
        <f t="shared" si="296"/>
        <v>0</v>
      </c>
      <c r="AA1365" s="43">
        <f t="shared" si="297"/>
        <v>85233</v>
      </c>
      <c r="AB1365" s="43">
        <f t="shared" si="298"/>
        <v>30359</v>
      </c>
      <c r="AC1365" s="43">
        <f t="shared" si="308"/>
        <v>1.7062811181712705E-2</v>
      </c>
      <c r="AD1365" s="43">
        <f t="shared" si="309"/>
        <v>0.87966620448387123</v>
      </c>
      <c r="AF1365" s="43">
        <v>19.31140948031338</v>
      </c>
      <c r="AG1365" s="43">
        <v>1.4751625000000001E-2</v>
      </c>
      <c r="AH1365" s="43">
        <v>9.9361020000000005E-3</v>
      </c>
      <c r="AI1365" s="43">
        <v>0.90080785299999999</v>
      </c>
      <c r="AJ1365" s="43">
        <v>3.9727722769999998</v>
      </c>
      <c r="AK1365" s="43">
        <v>13.714843610000001</v>
      </c>
      <c r="AL1365" s="43">
        <v>1.4796239999999999E-3</v>
      </c>
      <c r="AM1365" s="230">
        <v>3.316824561764041E-2</v>
      </c>
      <c r="AN1365" s="43">
        <v>0.92963564300000001</v>
      </c>
    </row>
    <row r="1366" spans="1:40" x14ac:dyDescent="0.25">
      <c r="A1366" s="134">
        <v>1356</v>
      </c>
      <c r="B1366" s="134" t="s">
        <v>204</v>
      </c>
      <c r="C1366" s="134" t="s">
        <v>205</v>
      </c>
      <c r="D1366" s="134" t="s">
        <v>62</v>
      </c>
      <c r="E1366" s="134">
        <v>331</v>
      </c>
      <c r="F1366" s="134">
        <v>1013</v>
      </c>
      <c r="G1366" s="134">
        <v>76</v>
      </c>
      <c r="H1366" s="134">
        <v>0</v>
      </c>
      <c r="I1366" s="200">
        <v>0.118435159118</v>
      </c>
      <c r="J1366" s="134">
        <v>1013</v>
      </c>
      <c r="K1366" s="134">
        <v>8553.2033523299997</v>
      </c>
      <c r="L1366" s="42">
        <v>0.90267467892099995</v>
      </c>
      <c r="M1366" s="42">
        <v>0</v>
      </c>
      <c r="N1366" s="134">
        <v>0</v>
      </c>
      <c r="O1366" s="43" t="s">
        <v>666</v>
      </c>
      <c r="P1366" s="43">
        <f t="shared" si="299"/>
        <v>19.774349689927455</v>
      </c>
      <c r="Q1366" s="43">
        <f t="shared" si="300"/>
        <v>1.7988296000000001E-2</v>
      </c>
      <c r="R1366" s="43">
        <f t="shared" si="301"/>
        <v>1.1383423E-2</v>
      </c>
      <c r="S1366" s="43">
        <f t="shared" si="302"/>
        <v>0.90267467899999998</v>
      </c>
      <c r="T1366" s="43">
        <f t="shared" si="303"/>
        <v>4.3095581870000004</v>
      </c>
      <c r="U1366" s="43">
        <f t="shared" si="304"/>
        <v>14.893508519999999</v>
      </c>
      <c r="V1366" s="43">
        <f t="shared" si="305"/>
        <v>2.1989710000000001E-3</v>
      </c>
      <c r="W1366" s="230">
        <f t="shared" si="306"/>
        <v>4.0693038204093472E-2</v>
      </c>
      <c r="X1366" s="43">
        <f t="shared" si="307"/>
        <v>0.92612908699999996</v>
      </c>
      <c r="Y1366" s="43">
        <v>4.6067885999999998</v>
      </c>
      <c r="Z1366" s="43">
        <f t="shared" si="296"/>
        <v>0</v>
      </c>
      <c r="AA1366" s="43">
        <f t="shared" si="297"/>
        <v>85233</v>
      </c>
      <c r="AB1366" s="43">
        <f t="shared" si="298"/>
        <v>30359</v>
      </c>
      <c r="AC1366" s="43">
        <f t="shared" si="308"/>
        <v>1.7062811181712705E-2</v>
      </c>
      <c r="AD1366" s="43">
        <f t="shared" si="309"/>
        <v>0.87966620448387123</v>
      </c>
      <c r="AF1366" s="43">
        <v>19.774349689927455</v>
      </c>
      <c r="AG1366" s="43">
        <v>1.7988296000000001E-2</v>
      </c>
      <c r="AH1366" s="43">
        <v>1.1383423E-2</v>
      </c>
      <c r="AI1366" s="43">
        <v>0.90267467899999998</v>
      </c>
      <c r="AJ1366" s="43">
        <v>4.3095581870000004</v>
      </c>
      <c r="AK1366" s="43">
        <v>14.893508519999999</v>
      </c>
      <c r="AL1366" s="43">
        <v>2.1989710000000001E-3</v>
      </c>
      <c r="AM1366" s="230">
        <v>4.0693038204093472E-2</v>
      </c>
      <c r="AN1366" s="43">
        <v>0.92612908699999996</v>
      </c>
    </row>
    <row r="1367" spans="1:40" x14ac:dyDescent="0.25">
      <c r="A1367" s="134">
        <v>1357</v>
      </c>
      <c r="B1367" s="134" t="s">
        <v>204</v>
      </c>
      <c r="C1367" s="134" t="s">
        <v>205</v>
      </c>
      <c r="D1367" s="134" t="s">
        <v>62</v>
      </c>
      <c r="E1367" s="134">
        <v>0</v>
      </c>
      <c r="F1367" s="134">
        <v>0</v>
      </c>
      <c r="G1367" s="134">
        <v>56</v>
      </c>
      <c r="H1367" s="134">
        <v>814</v>
      </c>
      <c r="I1367" s="200">
        <v>8.7524490950499995E-2</v>
      </c>
      <c r="J1367" s="134">
        <v>814</v>
      </c>
      <c r="K1367" s="134">
        <v>9300.2540335899994</v>
      </c>
      <c r="L1367" s="42">
        <v>0.97590078941199998</v>
      </c>
      <c r="M1367" s="42">
        <v>1</v>
      </c>
      <c r="N1367" s="134">
        <v>0</v>
      </c>
      <c r="O1367" s="43" t="s">
        <v>666</v>
      </c>
      <c r="P1367" s="43">
        <f t="shared" si="299"/>
        <v>19.526390144193172</v>
      </c>
      <c r="Q1367" s="43">
        <f t="shared" si="300"/>
        <v>4.4550969999999999E-3</v>
      </c>
      <c r="R1367" s="43">
        <f t="shared" si="301"/>
        <v>1.5631919999999999E-3</v>
      </c>
      <c r="S1367" s="43">
        <f t="shared" si="302"/>
        <v>0.97590078899999999</v>
      </c>
      <c r="T1367" s="43">
        <f t="shared" si="303"/>
        <v>5.0724637680000004</v>
      </c>
      <c r="U1367" s="43">
        <f t="shared" si="304"/>
        <v>9.6136459510000005</v>
      </c>
      <c r="V1367" s="43">
        <f t="shared" si="305"/>
        <v>1.620308E-3</v>
      </c>
      <c r="W1367" s="230">
        <f t="shared" si="306"/>
        <v>3.8887388603834725E-3</v>
      </c>
      <c r="X1367" s="43">
        <f t="shared" si="307"/>
        <v>0.97596543300000005</v>
      </c>
      <c r="Y1367" s="43">
        <v>4.6067885999999998</v>
      </c>
      <c r="Z1367" s="43">
        <f t="shared" si="296"/>
        <v>0</v>
      </c>
      <c r="AA1367" s="43">
        <f t="shared" si="297"/>
        <v>85233</v>
      </c>
      <c r="AB1367" s="43">
        <f t="shared" si="298"/>
        <v>30359</v>
      </c>
      <c r="AC1367" s="43">
        <f t="shared" si="308"/>
        <v>1.7062811181712705E-2</v>
      </c>
      <c r="AD1367" s="43">
        <f t="shared" si="309"/>
        <v>0.87966620448387123</v>
      </c>
      <c r="AF1367" s="43">
        <v>19.526390144193172</v>
      </c>
      <c r="AG1367" s="43">
        <v>4.4550969999999999E-3</v>
      </c>
      <c r="AH1367" s="43">
        <v>1.5631919999999999E-3</v>
      </c>
      <c r="AI1367" s="43">
        <v>0.97590078899999999</v>
      </c>
      <c r="AJ1367" s="43">
        <v>5.0724637680000004</v>
      </c>
      <c r="AK1367" s="43">
        <v>9.6136459510000005</v>
      </c>
      <c r="AL1367" s="43">
        <v>1.620308E-3</v>
      </c>
      <c r="AM1367" s="230">
        <v>3.8887388603834725E-3</v>
      </c>
      <c r="AN1367" s="43">
        <v>0.97596543300000005</v>
      </c>
    </row>
    <row r="1368" spans="1:40" x14ac:dyDescent="0.25">
      <c r="A1368" s="134">
        <v>1358</v>
      </c>
      <c r="B1368" s="134" t="s">
        <v>204</v>
      </c>
      <c r="C1368" s="134" t="s">
        <v>205</v>
      </c>
      <c r="D1368" s="134" t="s">
        <v>62</v>
      </c>
      <c r="E1368" s="134">
        <v>0</v>
      </c>
      <c r="F1368" s="134">
        <v>0</v>
      </c>
      <c r="G1368" s="134">
        <v>85</v>
      </c>
      <c r="H1368" s="134">
        <v>1154</v>
      </c>
      <c r="I1368" s="200">
        <v>0.132780076868</v>
      </c>
      <c r="J1368" s="134">
        <v>1154</v>
      </c>
      <c r="K1368" s="134">
        <v>8691.0629005800001</v>
      </c>
      <c r="L1368" s="42">
        <v>0.94879806690799995</v>
      </c>
      <c r="M1368" s="42">
        <v>1</v>
      </c>
      <c r="N1368" s="134">
        <v>0</v>
      </c>
      <c r="O1368" s="43" t="s">
        <v>666</v>
      </c>
      <c r="P1368" s="43">
        <f t="shared" si="299"/>
        <v>18.959281866813157</v>
      </c>
      <c r="Q1368" s="43">
        <f t="shared" si="300"/>
        <v>3.7807769999999999E-3</v>
      </c>
      <c r="R1368" s="43">
        <f t="shared" si="301"/>
        <v>4.3640379999999998E-3</v>
      </c>
      <c r="S1368" s="43">
        <f t="shared" si="302"/>
        <v>0.94879806700000002</v>
      </c>
      <c r="T1368" s="43">
        <f t="shared" si="303"/>
        <v>3.4096385539999998</v>
      </c>
      <c r="U1368" s="43">
        <f t="shared" si="304"/>
        <v>9.4282567549999996</v>
      </c>
      <c r="V1368" s="43">
        <f t="shared" si="305"/>
        <v>1.784426E-3</v>
      </c>
      <c r="W1368" s="230">
        <f t="shared" si="306"/>
        <v>4.7837807054178219E-3</v>
      </c>
      <c r="X1368" s="43">
        <f t="shared" si="307"/>
        <v>0.97543566599999998</v>
      </c>
      <c r="Y1368" s="43">
        <v>4.6067885999999998</v>
      </c>
      <c r="Z1368" s="43">
        <f t="shared" si="296"/>
        <v>0</v>
      </c>
      <c r="AA1368" s="43">
        <f t="shared" si="297"/>
        <v>85233</v>
      </c>
      <c r="AB1368" s="43">
        <f t="shared" si="298"/>
        <v>30359</v>
      </c>
      <c r="AC1368" s="43">
        <f t="shared" si="308"/>
        <v>1.7062811181712705E-2</v>
      </c>
      <c r="AD1368" s="43">
        <f t="shared" si="309"/>
        <v>0.87966620448387123</v>
      </c>
      <c r="AF1368" s="43">
        <v>18.959281866813157</v>
      </c>
      <c r="AG1368" s="43">
        <v>3.7807769999999999E-3</v>
      </c>
      <c r="AH1368" s="43">
        <v>4.3640379999999998E-3</v>
      </c>
      <c r="AI1368" s="43">
        <v>0.94879806700000002</v>
      </c>
      <c r="AJ1368" s="43">
        <v>3.4096385539999998</v>
      </c>
      <c r="AK1368" s="43">
        <v>9.4282567549999996</v>
      </c>
      <c r="AL1368" s="43">
        <v>1.784426E-3</v>
      </c>
      <c r="AM1368" s="230">
        <v>4.7837807054178219E-3</v>
      </c>
      <c r="AN1368" s="43">
        <v>0.97543566599999998</v>
      </c>
    </row>
    <row r="1369" spans="1:40" x14ac:dyDescent="0.25">
      <c r="A1369" s="134">
        <v>1359</v>
      </c>
      <c r="B1369" s="134" t="s">
        <v>204</v>
      </c>
      <c r="C1369" s="134" t="s">
        <v>205</v>
      </c>
      <c r="D1369" s="134" t="s">
        <v>62</v>
      </c>
      <c r="E1369" s="134">
        <v>0</v>
      </c>
      <c r="F1369" s="134">
        <v>0</v>
      </c>
      <c r="G1369" s="134">
        <v>98</v>
      </c>
      <c r="H1369" s="134">
        <v>2055</v>
      </c>
      <c r="I1369" s="200">
        <v>0.15367385302299999</v>
      </c>
      <c r="J1369" s="134">
        <v>2055</v>
      </c>
      <c r="K1369" s="134">
        <v>13372.476576700001</v>
      </c>
      <c r="L1369" s="42">
        <v>0.93388857313600004</v>
      </c>
      <c r="M1369" s="42">
        <v>1</v>
      </c>
      <c r="N1369" s="134">
        <v>0</v>
      </c>
      <c r="O1369" s="43" t="s">
        <v>666</v>
      </c>
      <c r="P1369" s="43">
        <f t="shared" si="299"/>
        <v>19.943737297574767</v>
      </c>
      <c r="Q1369" s="43">
        <f t="shared" si="300"/>
        <v>3.027587E-3</v>
      </c>
      <c r="R1369" s="43">
        <f t="shared" si="301"/>
        <v>5.348373E-3</v>
      </c>
      <c r="S1369" s="43">
        <f t="shared" si="302"/>
        <v>0.93388857300000006</v>
      </c>
      <c r="T1369" s="43">
        <f t="shared" si="303"/>
        <v>3.4490282990000001</v>
      </c>
      <c r="U1369" s="43">
        <f t="shared" si="304"/>
        <v>10.74386395</v>
      </c>
      <c r="V1369" s="43">
        <f t="shared" si="305"/>
        <v>1.7442309999999999E-3</v>
      </c>
      <c r="W1369" s="230">
        <f t="shared" si="306"/>
        <v>4.4216817944473449E-3</v>
      </c>
      <c r="X1369" s="43">
        <f t="shared" si="307"/>
        <v>0.98267989499999997</v>
      </c>
      <c r="Y1369" s="43">
        <v>4.6067885999999998</v>
      </c>
      <c r="Z1369" s="43">
        <f t="shared" si="296"/>
        <v>0</v>
      </c>
      <c r="AA1369" s="43">
        <f t="shared" si="297"/>
        <v>85233</v>
      </c>
      <c r="AB1369" s="43">
        <f t="shared" si="298"/>
        <v>30359</v>
      </c>
      <c r="AC1369" s="43">
        <f t="shared" si="308"/>
        <v>1.7062811181712705E-2</v>
      </c>
      <c r="AD1369" s="43">
        <f t="shared" si="309"/>
        <v>0.87966620448387123</v>
      </c>
      <c r="AF1369" s="43">
        <v>19.943737297574767</v>
      </c>
      <c r="AG1369" s="43">
        <v>3.027587E-3</v>
      </c>
      <c r="AH1369" s="43">
        <v>5.348373E-3</v>
      </c>
      <c r="AI1369" s="43">
        <v>0.93388857300000006</v>
      </c>
      <c r="AJ1369" s="43">
        <v>3.4490282990000001</v>
      </c>
      <c r="AK1369" s="43">
        <v>10.74386395</v>
      </c>
      <c r="AL1369" s="43">
        <v>1.7442309999999999E-3</v>
      </c>
      <c r="AM1369" s="230">
        <v>4.4216817944473449E-3</v>
      </c>
      <c r="AN1369" s="43">
        <v>0.98267989499999997</v>
      </c>
    </row>
    <row r="1370" spans="1:40" x14ac:dyDescent="0.25">
      <c r="A1370" s="134">
        <v>1360</v>
      </c>
      <c r="B1370" s="134" t="s">
        <v>204</v>
      </c>
      <c r="C1370" s="134" t="s">
        <v>205</v>
      </c>
      <c r="D1370" s="134" t="s">
        <v>62</v>
      </c>
      <c r="E1370" s="134">
        <v>0</v>
      </c>
      <c r="F1370" s="134">
        <v>0</v>
      </c>
      <c r="G1370" s="134">
        <v>31</v>
      </c>
      <c r="H1370" s="134">
        <v>274</v>
      </c>
      <c r="I1370" s="200">
        <v>4.8192995758700001E-2</v>
      </c>
      <c r="J1370" s="134">
        <v>274</v>
      </c>
      <c r="K1370" s="134">
        <v>5685.4734943699996</v>
      </c>
      <c r="L1370" s="42">
        <v>0.92827309818699999</v>
      </c>
      <c r="M1370" s="42">
        <v>1</v>
      </c>
      <c r="N1370" s="134">
        <v>0</v>
      </c>
      <c r="O1370" s="43" t="s">
        <v>666</v>
      </c>
      <c r="P1370" s="43">
        <f t="shared" si="299"/>
        <v>19.465760838408098</v>
      </c>
      <c r="Q1370" s="43">
        <f t="shared" si="300"/>
        <v>1.5451099999999999E-3</v>
      </c>
      <c r="R1370" s="43">
        <f t="shared" si="301"/>
        <v>4.7560420000000003E-3</v>
      </c>
      <c r="S1370" s="43">
        <f t="shared" si="302"/>
        <v>0.92827309800000002</v>
      </c>
      <c r="T1370" s="43">
        <f t="shared" si="303"/>
        <v>3.5227272730000001</v>
      </c>
      <c r="U1370" s="43">
        <f t="shared" si="304"/>
        <v>10.96385439</v>
      </c>
      <c r="V1370" s="43">
        <f t="shared" si="305"/>
        <v>7.0290499999999998E-4</v>
      </c>
      <c r="W1370" s="230">
        <f t="shared" si="306"/>
        <v>6.2480474851608881E-4</v>
      </c>
      <c r="X1370" s="43">
        <f t="shared" si="307"/>
        <v>0.97008747299999998</v>
      </c>
      <c r="Y1370" s="43">
        <v>4.6067885999999998</v>
      </c>
      <c r="Z1370" s="43">
        <f t="shared" si="296"/>
        <v>0</v>
      </c>
      <c r="AA1370" s="43">
        <f t="shared" si="297"/>
        <v>85233</v>
      </c>
      <c r="AB1370" s="43">
        <f t="shared" si="298"/>
        <v>30359</v>
      </c>
      <c r="AC1370" s="43">
        <f t="shared" si="308"/>
        <v>1.7062811181712705E-2</v>
      </c>
      <c r="AD1370" s="43">
        <f t="shared" si="309"/>
        <v>0.87966620448387123</v>
      </c>
      <c r="AF1370" s="43">
        <v>19.465760838408098</v>
      </c>
      <c r="AG1370" s="43">
        <v>1.5451099999999999E-3</v>
      </c>
      <c r="AH1370" s="43">
        <v>4.7560420000000003E-3</v>
      </c>
      <c r="AI1370" s="43">
        <v>0.92827309800000002</v>
      </c>
      <c r="AJ1370" s="43">
        <v>3.5227272730000001</v>
      </c>
      <c r="AK1370" s="43">
        <v>10.96385439</v>
      </c>
      <c r="AL1370" s="43">
        <v>7.0290499999999998E-4</v>
      </c>
      <c r="AM1370" s="230">
        <v>6.2480474851608881E-4</v>
      </c>
      <c r="AN1370" s="43">
        <v>0.97008747299999998</v>
      </c>
    </row>
    <row r="1371" spans="1:40" x14ac:dyDescent="0.25">
      <c r="A1371" s="134">
        <v>1361</v>
      </c>
      <c r="B1371" s="134" t="s">
        <v>204</v>
      </c>
      <c r="C1371" s="134" t="s">
        <v>205</v>
      </c>
      <c r="D1371" s="134" t="s">
        <v>62</v>
      </c>
      <c r="E1371" s="134">
        <v>86</v>
      </c>
      <c r="F1371" s="134">
        <v>262</v>
      </c>
      <c r="G1371" s="134">
        <v>74</v>
      </c>
      <c r="H1371" s="134">
        <v>958</v>
      </c>
      <c r="I1371" s="200">
        <v>0.11570282814000001</v>
      </c>
      <c r="J1371" s="134">
        <v>1220</v>
      </c>
      <c r="K1371" s="134">
        <v>10544.253927199999</v>
      </c>
      <c r="L1371" s="42">
        <v>0.91539266020200005</v>
      </c>
      <c r="M1371" s="42">
        <v>0.91762452107299997</v>
      </c>
      <c r="N1371" s="134">
        <v>0</v>
      </c>
      <c r="O1371" s="43" t="s">
        <v>666</v>
      </c>
      <c r="P1371" s="43">
        <f t="shared" si="299"/>
        <v>18.36402138346206</v>
      </c>
      <c r="Q1371" s="43">
        <f t="shared" si="300"/>
        <v>5.0770110000000002E-3</v>
      </c>
      <c r="R1371" s="43">
        <f t="shared" si="301"/>
        <v>7.346137E-3</v>
      </c>
      <c r="S1371" s="43">
        <f t="shared" si="302"/>
        <v>0.91539265999999997</v>
      </c>
      <c r="T1371" s="43">
        <f t="shared" si="303"/>
        <v>2.9162881249999999</v>
      </c>
      <c r="U1371" s="43">
        <f t="shared" si="304"/>
        <v>9.5389632229999997</v>
      </c>
      <c r="V1371" s="43">
        <f t="shared" si="305"/>
        <v>2.4959729999999999E-3</v>
      </c>
      <c r="W1371" s="230">
        <f t="shared" si="306"/>
        <v>1.294423241572463E-2</v>
      </c>
      <c r="X1371" s="43">
        <f t="shared" si="307"/>
        <v>0.94730884800000004</v>
      </c>
      <c r="Y1371" s="43">
        <v>4.6205837250000004</v>
      </c>
      <c r="Z1371" s="43">
        <f t="shared" si="296"/>
        <v>0</v>
      </c>
      <c r="AA1371" s="43">
        <f t="shared" si="297"/>
        <v>85233</v>
      </c>
      <c r="AB1371" s="43">
        <f t="shared" si="298"/>
        <v>30359</v>
      </c>
      <c r="AC1371" s="43">
        <f t="shared" si="308"/>
        <v>1.7062811181712705E-2</v>
      </c>
      <c r="AD1371" s="43">
        <f t="shared" si="309"/>
        <v>0.87966620448387123</v>
      </c>
      <c r="AF1371" s="43">
        <v>18.36402138346206</v>
      </c>
      <c r="AG1371" s="43">
        <v>5.0770110000000002E-3</v>
      </c>
      <c r="AH1371" s="43">
        <v>7.346137E-3</v>
      </c>
      <c r="AI1371" s="43">
        <v>0.91539265999999997</v>
      </c>
      <c r="AJ1371" s="43">
        <v>2.9162881249999999</v>
      </c>
      <c r="AK1371" s="43">
        <v>9.5389632229999997</v>
      </c>
      <c r="AL1371" s="43">
        <v>2.4959729999999999E-3</v>
      </c>
      <c r="AM1371" s="230">
        <v>1.294423241572463E-2</v>
      </c>
      <c r="AN1371" s="43">
        <v>0.94730884800000004</v>
      </c>
    </row>
    <row r="1372" spans="1:40" x14ac:dyDescent="0.25">
      <c r="A1372" s="134">
        <v>1362</v>
      </c>
      <c r="B1372" s="134" t="s">
        <v>204</v>
      </c>
      <c r="C1372" s="134" t="s">
        <v>205</v>
      </c>
      <c r="D1372" s="134" t="s">
        <v>62</v>
      </c>
      <c r="E1372" s="134">
        <v>0</v>
      </c>
      <c r="F1372" s="134">
        <v>0</v>
      </c>
      <c r="G1372" s="134">
        <v>149</v>
      </c>
      <c r="H1372" s="134">
        <v>1591</v>
      </c>
      <c r="I1372" s="200">
        <v>0.23372423743199999</v>
      </c>
      <c r="J1372" s="134">
        <v>1591</v>
      </c>
      <c r="K1372" s="134">
        <v>6807.1673587599998</v>
      </c>
      <c r="L1372" s="42">
        <v>0.98280806061199999</v>
      </c>
      <c r="M1372" s="42">
        <v>1</v>
      </c>
      <c r="N1372" s="134">
        <v>0</v>
      </c>
      <c r="O1372" s="43" t="s">
        <v>666</v>
      </c>
      <c r="P1372" s="43">
        <f t="shared" si="299"/>
        <v>19.310856027261277</v>
      </c>
      <c r="Q1372" s="43">
        <f t="shared" si="300"/>
        <v>1.578449E-3</v>
      </c>
      <c r="R1372" s="43">
        <f t="shared" si="301"/>
        <v>2.0651369999999999E-3</v>
      </c>
      <c r="S1372" s="43">
        <f t="shared" si="302"/>
        <v>0.98280806099999996</v>
      </c>
      <c r="T1372" s="43">
        <f t="shared" si="303"/>
        <v>4.8395061730000002</v>
      </c>
      <c r="U1372" s="43">
        <f t="shared" si="304"/>
        <v>9.7529845999999996</v>
      </c>
      <c r="V1372" s="43">
        <f t="shared" si="305"/>
        <v>2.0746889999999998E-3</v>
      </c>
      <c r="W1372" s="230">
        <f t="shared" si="306"/>
        <v>1.546105663768269E-3</v>
      </c>
      <c r="X1372" s="43">
        <f t="shared" si="307"/>
        <v>0.98282104800000003</v>
      </c>
      <c r="Y1372" s="43">
        <v>16.352762739999999</v>
      </c>
      <c r="Z1372" s="43">
        <f t="shared" si="296"/>
        <v>0</v>
      </c>
      <c r="AA1372" s="43">
        <f t="shared" si="297"/>
        <v>85233</v>
      </c>
      <c r="AB1372" s="43">
        <f t="shared" si="298"/>
        <v>30359</v>
      </c>
      <c r="AC1372" s="43">
        <f t="shared" si="308"/>
        <v>1.7062811181712705E-2</v>
      </c>
      <c r="AD1372" s="43">
        <f t="shared" si="309"/>
        <v>0.87966620448387123</v>
      </c>
      <c r="AF1372" s="43">
        <v>19.310856027261277</v>
      </c>
      <c r="AG1372" s="43">
        <v>1.578449E-3</v>
      </c>
      <c r="AH1372" s="43">
        <v>2.0651369999999999E-3</v>
      </c>
      <c r="AI1372" s="43">
        <v>0.98280806099999996</v>
      </c>
      <c r="AJ1372" s="43">
        <v>4.8395061730000002</v>
      </c>
      <c r="AK1372" s="43">
        <v>9.7529845999999996</v>
      </c>
      <c r="AL1372" s="43">
        <v>2.0746889999999998E-3</v>
      </c>
      <c r="AM1372" s="230">
        <v>1.546105663768269E-3</v>
      </c>
      <c r="AN1372" s="43">
        <v>0.98282104800000003</v>
      </c>
    </row>
    <row r="1373" spans="1:40" x14ac:dyDescent="0.25">
      <c r="A1373" s="134">
        <v>1363</v>
      </c>
      <c r="B1373" s="134" t="s">
        <v>204</v>
      </c>
      <c r="C1373" s="134" t="s">
        <v>205</v>
      </c>
      <c r="D1373" s="134" t="s">
        <v>62</v>
      </c>
      <c r="E1373" s="134">
        <v>0</v>
      </c>
      <c r="F1373" s="134">
        <v>0</v>
      </c>
      <c r="G1373" s="134">
        <v>132</v>
      </c>
      <c r="H1373" s="134">
        <v>0</v>
      </c>
      <c r="I1373" s="200">
        <v>0.206984068765</v>
      </c>
      <c r="J1373" s="134">
        <v>0</v>
      </c>
      <c r="K1373" s="134">
        <v>0</v>
      </c>
      <c r="L1373" s="42">
        <v>0.99135446685899997</v>
      </c>
      <c r="M1373" s="42">
        <v>0</v>
      </c>
      <c r="N1373" s="134">
        <v>0</v>
      </c>
      <c r="O1373" s="43" t="s">
        <v>666</v>
      </c>
      <c r="P1373" s="43">
        <f t="shared" si="299"/>
        <v>17.970864213525694</v>
      </c>
      <c r="Q1373" s="43">
        <f t="shared" si="300"/>
        <v>1.7062811181712708E-2</v>
      </c>
      <c r="R1373" s="43">
        <f t="shared" si="301"/>
        <v>1.2281927743016759E-2</v>
      </c>
      <c r="S1373" s="43">
        <f t="shared" si="302"/>
        <v>0.99135446699999996</v>
      </c>
      <c r="T1373" s="43">
        <f t="shared" si="303"/>
        <v>3.4720153019613269</v>
      </c>
      <c r="U1373" s="43">
        <f t="shared" si="304"/>
        <v>36.07992565</v>
      </c>
      <c r="V1373" s="43">
        <f t="shared" si="305"/>
        <v>2.2188896352201251E-3</v>
      </c>
      <c r="W1373" s="230">
        <f t="shared" si="306"/>
        <v>3.7712999565398898E-2</v>
      </c>
      <c r="X1373" s="43">
        <f t="shared" si="307"/>
        <v>0.8985543829482765</v>
      </c>
      <c r="Y1373" s="43">
        <v>16.65674971</v>
      </c>
      <c r="Z1373" s="43">
        <f t="shared" si="296"/>
        <v>0</v>
      </c>
      <c r="AA1373" s="43">
        <f t="shared" si="297"/>
        <v>85233</v>
      </c>
      <c r="AB1373" s="43">
        <f t="shared" si="298"/>
        <v>30359</v>
      </c>
      <c r="AC1373" s="43">
        <f t="shared" si="308"/>
        <v>1.7062811181712705E-2</v>
      </c>
      <c r="AD1373" s="43">
        <f t="shared" si="309"/>
        <v>0.87966620448387123</v>
      </c>
      <c r="AF1373" s="43" t="e">
        <v>#DIV/0!</v>
      </c>
      <c r="AG1373" s="43">
        <v>0</v>
      </c>
      <c r="AH1373" s="43">
        <v>0</v>
      </c>
      <c r="AI1373" s="43">
        <v>0.99135446699999996</v>
      </c>
      <c r="AJ1373" s="43" t="e">
        <v>#DIV/0!</v>
      </c>
      <c r="AK1373" s="43">
        <v>36.07992565</v>
      </c>
      <c r="AL1373" s="43" t="e">
        <v>#DIV/0!</v>
      </c>
      <c r="AM1373" s="230" t="e">
        <v>#DIV/0!</v>
      </c>
      <c r="AN1373" s="43" t="e">
        <v>#DIV/0!</v>
      </c>
    </row>
    <row r="1374" spans="1:40" x14ac:dyDescent="0.25">
      <c r="A1374" s="134">
        <v>1364</v>
      </c>
      <c r="B1374" s="134" t="s">
        <v>204</v>
      </c>
      <c r="C1374" s="134" t="s">
        <v>205</v>
      </c>
      <c r="D1374" s="134" t="s">
        <v>62</v>
      </c>
      <c r="E1374" s="134">
        <v>0</v>
      </c>
      <c r="F1374" s="134">
        <v>0</v>
      </c>
      <c r="G1374" s="134">
        <v>130</v>
      </c>
      <c r="H1374" s="134">
        <v>86</v>
      </c>
      <c r="I1374" s="200">
        <v>8.8090238988599995E-2</v>
      </c>
      <c r="J1374" s="134">
        <v>86</v>
      </c>
      <c r="K1374" s="134">
        <v>976.27161632699995</v>
      </c>
      <c r="L1374" s="42">
        <v>0.93559718969600003</v>
      </c>
      <c r="M1374" s="42">
        <v>1</v>
      </c>
      <c r="N1374" s="134">
        <v>0</v>
      </c>
      <c r="O1374" s="43" t="s">
        <v>666</v>
      </c>
      <c r="P1374" s="43">
        <f t="shared" si="299"/>
        <v>19.482008645471975</v>
      </c>
      <c r="Q1374" s="43">
        <f t="shared" si="300"/>
        <v>1.0538640000000001E-3</v>
      </c>
      <c r="R1374" s="43">
        <f t="shared" si="301"/>
        <v>2.810304E-3</v>
      </c>
      <c r="S1374" s="43">
        <f t="shared" si="302"/>
        <v>0.93559718999999997</v>
      </c>
      <c r="T1374" s="43">
        <f t="shared" si="303"/>
        <v>4.2037037039999996</v>
      </c>
      <c r="U1374" s="43">
        <f t="shared" si="304"/>
        <v>10.414478190000001</v>
      </c>
      <c r="V1374" s="43">
        <f t="shared" si="305"/>
        <v>2.14823E-4</v>
      </c>
      <c r="W1374" s="230">
        <f t="shared" si="306"/>
        <v>3.7712999565398898E-2</v>
      </c>
      <c r="X1374" s="43">
        <f t="shared" si="307"/>
        <v>0.94801288900000003</v>
      </c>
      <c r="Y1374" s="43">
        <v>4.6067885999999998</v>
      </c>
      <c r="Z1374" s="43">
        <f t="shared" si="296"/>
        <v>0</v>
      </c>
      <c r="AA1374" s="43">
        <f t="shared" si="297"/>
        <v>85233</v>
      </c>
      <c r="AB1374" s="43">
        <f t="shared" si="298"/>
        <v>30359</v>
      </c>
      <c r="AC1374" s="43">
        <f t="shared" si="308"/>
        <v>1.7062811181712705E-2</v>
      </c>
      <c r="AD1374" s="43">
        <f t="shared" si="309"/>
        <v>0.87966620448387123</v>
      </c>
      <c r="AF1374" s="43">
        <v>19.482008645471975</v>
      </c>
      <c r="AG1374" s="43">
        <v>1.0538640000000001E-3</v>
      </c>
      <c r="AH1374" s="43">
        <v>2.810304E-3</v>
      </c>
      <c r="AI1374" s="43">
        <v>0.93559718999999997</v>
      </c>
      <c r="AJ1374" s="43">
        <v>4.2037037039999996</v>
      </c>
      <c r="AK1374" s="43">
        <v>10.414478190000001</v>
      </c>
      <c r="AL1374" s="43">
        <v>2.14823E-4</v>
      </c>
      <c r="AM1374" s="230">
        <v>0</v>
      </c>
      <c r="AN1374" s="43">
        <v>0.94801288900000003</v>
      </c>
    </row>
    <row r="1375" spans="1:40" x14ac:dyDescent="0.25">
      <c r="A1375" s="134">
        <v>1365</v>
      </c>
      <c r="B1375" s="134" t="s">
        <v>204</v>
      </c>
      <c r="C1375" s="134" t="s">
        <v>205</v>
      </c>
      <c r="D1375" s="134" t="s">
        <v>62</v>
      </c>
      <c r="E1375" s="134">
        <v>0</v>
      </c>
      <c r="F1375" s="134">
        <v>0</v>
      </c>
      <c r="G1375" s="134">
        <v>112</v>
      </c>
      <c r="H1375" s="134">
        <v>1716</v>
      </c>
      <c r="I1375" s="200">
        <v>0.175368998478</v>
      </c>
      <c r="J1375" s="134">
        <v>1716</v>
      </c>
      <c r="K1375" s="134">
        <v>9785.0818268599996</v>
      </c>
      <c r="L1375" s="42">
        <v>0.970055851739</v>
      </c>
      <c r="M1375" s="42">
        <v>1</v>
      </c>
      <c r="N1375" s="134">
        <v>0</v>
      </c>
      <c r="O1375" s="43" t="s">
        <v>666</v>
      </c>
      <c r="P1375" s="43">
        <f t="shared" si="299"/>
        <v>18.608828507679771</v>
      </c>
      <c r="Q1375" s="43">
        <f t="shared" si="300"/>
        <v>7.4765170000000002E-3</v>
      </c>
      <c r="R1375" s="43">
        <f t="shared" si="301"/>
        <v>2.069053E-3</v>
      </c>
      <c r="S1375" s="43">
        <f t="shared" si="302"/>
        <v>0.970055852</v>
      </c>
      <c r="T1375" s="43">
        <f t="shared" si="303"/>
        <v>4.4098837209999999</v>
      </c>
      <c r="U1375" s="43">
        <f t="shared" si="304"/>
        <v>9.2548294809999998</v>
      </c>
      <c r="V1375" s="43">
        <f t="shared" si="305"/>
        <v>2.078313E-3</v>
      </c>
      <c r="W1375" s="230">
        <f t="shared" si="306"/>
        <v>7.3952237055170929E-3</v>
      </c>
      <c r="X1375" s="43">
        <f t="shared" si="307"/>
        <v>0.97010034599999995</v>
      </c>
      <c r="Y1375" s="43">
        <v>4.6067885999999998</v>
      </c>
      <c r="Z1375" s="43">
        <f t="shared" si="296"/>
        <v>0</v>
      </c>
      <c r="AA1375" s="43">
        <f t="shared" si="297"/>
        <v>85233</v>
      </c>
      <c r="AB1375" s="43">
        <f t="shared" si="298"/>
        <v>30359</v>
      </c>
      <c r="AC1375" s="43">
        <f t="shared" si="308"/>
        <v>1.7062811181712705E-2</v>
      </c>
      <c r="AD1375" s="43">
        <f t="shared" si="309"/>
        <v>0.87966620448387123</v>
      </c>
      <c r="AF1375" s="43">
        <v>18.608828507679771</v>
      </c>
      <c r="AG1375" s="43">
        <v>7.4765170000000002E-3</v>
      </c>
      <c r="AH1375" s="43">
        <v>2.069053E-3</v>
      </c>
      <c r="AI1375" s="43">
        <v>0.970055852</v>
      </c>
      <c r="AJ1375" s="43">
        <v>4.4098837209999999</v>
      </c>
      <c r="AK1375" s="43">
        <v>9.2548294809999998</v>
      </c>
      <c r="AL1375" s="43">
        <v>2.078313E-3</v>
      </c>
      <c r="AM1375" s="230">
        <v>7.3952237055170929E-3</v>
      </c>
      <c r="AN1375" s="43">
        <v>0.97010034599999995</v>
      </c>
    </row>
    <row r="1376" spans="1:40" x14ac:dyDescent="0.25">
      <c r="A1376" s="134">
        <v>1366</v>
      </c>
      <c r="B1376" s="134" t="s">
        <v>204</v>
      </c>
      <c r="C1376" s="134" t="s">
        <v>205</v>
      </c>
      <c r="D1376" s="134" t="s">
        <v>62</v>
      </c>
      <c r="E1376" s="134">
        <v>2</v>
      </c>
      <c r="F1376" s="134">
        <v>6</v>
      </c>
      <c r="G1376" s="134">
        <v>57</v>
      </c>
      <c r="H1376" s="134">
        <v>647</v>
      </c>
      <c r="I1376" s="200">
        <v>8.9413240544299999E-2</v>
      </c>
      <c r="J1376" s="134">
        <v>653</v>
      </c>
      <c r="K1376" s="134">
        <v>7303.1689269400003</v>
      </c>
      <c r="L1376" s="42">
        <v>0.96667201283100002</v>
      </c>
      <c r="M1376" s="42">
        <v>0.99691833590099999</v>
      </c>
      <c r="N1376" s="134">
        <v>0</v>
      </c>
      <c r="O1376" s="43" t="s">
        <v>666</v>
      </c>
      <c r="P1376" s="43">
        <f t="shared" si="299"/>
        <v>18.579304528322815</v>
      </c>
      <c r="Q1376" s="43">
        <f t="shared" si="300"/>
        <v>4.3624700000000002E-3</v>
      </c>
      <c r="R1376" s="43">
        <f t="shared" si="301"/>
        <v>2.0850040000000001E-3</v>
      </c>
      <c r="S1376" s="43">
        <f t="shared" si="302"/>
        <v>0.96667201300000005</v>
      </c>
      <c r="T1376" s="43">
        <f t="shared" si="303"/>
        <v>4.5539568350000001</v>
      </c>
      <c r="U1376" s="43">
        <f t="shared" si="304"/>
        <v>9.1857523449999992</v>
      </c>
      <c r="V1376" s="43">
        <f t="shared" si="305"/>
        <v>1.8186540000000001E-3</v>
      </c>
      <c r="W1376" s="230">
        <f t="shared" si="306"/>
        <v>4.2868277474668749E-3</v>
      </c>
      <c r="X1376" s="43">
        <f t="shared" si="307"/>
        <v>0.96846583500000005</v>
      </c>
      <c r="Y1376" s="43">
        <v>4.6067885999999998</v>
      </c>
      <c r="Z1376" s="43">
        <f t="shared" si="296"/>
        <v>0</v>
      </c>
      <c r="AA1376" s="43">
        <f t="shared" si="297"/>
        <v>85233</v>
      </c>
      <c r="AB1376" s="43">
        <f t="shared" si="298"/>
        <v>30359</v>
      </c>
      <c r="AC1376" s="43">
        <f t="shared" si="308"/>
        <v>1.7062811181712705E-2</v>
      </c>
      <c r="AD1376" s="43">
        <f t="shared" si="309"/>
        <v>0.87966620448387123</v>
      </c>
      <c r="AF1376" s="43">
        <v>18.579304528322815</v>
      </c>
      <c r="AG1376" s="43">
        <v>4.3624700000000002E-3</v>
      </c>
      <c r="AH1376" s="43">
        <v>2.0850040000000001E-3</v>
      </c>
      <c r="AI1376" s="43">
        <v>0.96667201300000005</v>
      </c>
      <c r="AJ1376" s="43">
        <v>4.5539568350000001</v>
      </c>
      <c r="AK1376" s="43">
        <v>9.1857523449999992</v>
      </c>
      <c r="AL1376" s="43">
        <v>1.8186540000000001E-3</v>
      </c>
      <c r="AM1376" s="230">
        <v>4.2868277474668749E-3</v>
      </c>
      <c r="AN1376" s="43">
        <v>0.96846583500000005</v>
      </c>
    </row>
    <row r="1377" spans="1:40" x14ac:dyDescent="0.25">
      <c r="A1377" s="134">
        <v>1367</v>
      </c>
      <c r="B1377" s="134" t="s">
        <v>204</v>
      </c>
      <c r="C1377" s="134" t="s">
        <v>205</v>
      </c>
      <c r="D1377" s="134" t="s">
        <v>62</v>
      </c>
      <c r="E1377" s="134">
        <v>101</v>
      </c>
      <c r="F1377" s="134">
        <v>310</v>
      </c>
      <c r="G1377" s="134">
        <v>223</v>
      </c>
      <c r="H1377" s="134">
        <v>1868</v>
      </c>
      <c r="I1377" s="200">
        <v>0.350096048996</v>
      </c>
      <c r="J1377" s="134">
        <v>2178</v>
      </c>
      <c r="K1377" s="134">
        <v>6221.1498994200001</v>
      </c>
      <c r="L1377" s="42">
        <v>0.94916028859699997</v>
      </c>
      <c r="M1377" s="42">
        <v>0.94870492635899994</v>
      </c>
      <c r="N1377" s="134">
        <v>0</v>
      </c>
      <c r="O1377" s="43" t="s">
        <v>666</v>
      </c>
      <c r="P1377" s="43">
        <f t="shared" si="299"/>
        <v>18.974069766826915</v>
      </c>
      <c r="Q1377" s="43">
        <f t="shared" si="300"/>
        <v>1.0682250000000001E-2</v>
      </c>
      <c r="R1377" s="43">
        <f t="shared" si="301"/>
        <v>5.2405790000000004E-3</v>
      </c>
      <c r="S1377" s="43">
        <f t="shared" si="302"/>
        <v>0.94916028900000005</v>
      </c>
      <c r="T1377" s="43">
        <f t="shared" si="303"/>
        <v>4.1368843069999999</v>
      </c>
      <c r="U1377" s="43">
        <f t="shared" si="304"/>
        <v>10.89109696</v>
      </c>
      <c r="V1377" s="43">
        <f t="shared" si="305"/>
        <v>2.5216140000000001E-3</v>
      </c>
      <c r="W1377" s="230">
        <f t="shared" si="306"/>
        <v>6.0242810718008459E-3</v>
      </c>
      <c r="X1377" s="43">
        <f t="shared" si="307"/>
        <v>0.96114875200000005</v>
      </c>
      <c r="Y1377" s="43">
        <v>4.6086759150000001</v>
      </c>
      <c r="Z1377" s="43">
        <f t="shared" si="296"/>
        <v>0</v>
      </c>
      <c r="AA1377" s="43">
        <f t="shared" si="297"/>
        <v>85233</v>
      </c>
      <c r="AB1377" s="43">
        <f t="shared" si="298"/>
        <v>30359</v>
      </c>
      <c r="AC1377" s="43">
        <f t="shared" si="308"/>
        <v>1.7062811181712705E-2</v>
      </c>
      <c r="AD1377" s="43">
        <f t="shared" si="309"/>
        <v>0.87966620448387123</v>
      </c>
      <c r="AF1377" s="43">
        <v>18.974069766826915</v>
      </c>
      <c r="AG1377" s="43">
        <v>1.0682250000000001E-2</v>
      </c>
      <c r="AH1377" s="43">
        <v>5.2405790000000004E-3</v>
      </c>
      <c r="AI1377" s="43">
        <v>0.94916028900000005</v>
      </c>
      <c r="AJ1377" s="43">
        <v>4.1368843069999999</v>
      </c>
      <c r="AK1377" s="43">
        <v>10.89109696</v>
      </c>
      <c r="AL1377" s="43">
        <v>2.5216140000000001E-3</v>
      </c>
      <c r="AM1377" s="230">
        <v>6.0242810718008459E-3</v>
      </c>
      <c r="AN1377" s="43">
        <v>0.96114875200000005</v>
      </c>
    </row>
    <row r="1378" spans="1:40" x14ac:dyDescent="0.25">
      <c r="A1378" s="134">
        <v>1368</v>
      </c>
      <c r="B1378" s="134" t="s">
        <v>204</v>
      </c>
      <c r="C1378" s="134" t="s">
        <v>205</v>
      </c>
      <c r="D1378" s="134" t="s">
        <v>62</v>
      </c>
      <c r="E1378" s="134">
        <v>200</v>
      </c>
      <c r="F1378" s="134">
        <v>613</v>
      </c>
      <c r="G1378" s="134">
        <v>156</v>
      </c>
      <c r="H1378" s="134">
        <v>384</v>
      </c>
      <c r="I1378" s="200">
        <v>0.24477133573599999</v>
      </c>
      <c r="J1378" s="134">
        <v>997</v>
      </c>
      <c r="K1378" s="134">
        <v>4073.1893585500002</v>
      </c>
      <c r="L1378" s="42">
        <v>0.92227478332900004</v>
      </c>
      <c r="M1378" s="42">
        <v>0.65753424657500004</v>
      </c>
      <c r="N1378" s="134">
        <v>0</v>
      </c>
      <c r="O1378" s="43" t="s">
        <v>666</v>
      </c>
      <c r="P1378" s="43">
        <f t="shared" si="299"/>
        <v>18.685055504650489</v>
      </c>
      <c r="Q1378" s="43">
        <f t="shared" si="300"/>
        <v>1.5002935E-2</v>
      </c>
      <c r="R1378" s="43">
        <f t="shared" si="301"/>
        <v>1.1688132E-2</v>
      </c>
      <c r="S1378" s="43">
        <f t="shared" si="302"/>
        <v>0.92227478299999999</v>
      </c>
      <c r="T1378" s="43">
        <f t="shared" si="303"/>
        <v>4.331980819</v>
      </c>
      <c r="U1378" s="43">
        <f t="shared" si="304"/>
        <v>13.62013438</v>
      </c>
      <c r="V1378" s="43">
        <f t="shared" si="305"/>
        <v>2.9416569999999999E-3</v>
      </c>
      <c r="W1378" s="230">
        <f t="shared" si="306"/>
        <v>1.8936917797025658E-2</v>
      </c>
      <c r="X1378" s="43">
        <f t="shared" si="307"/>
        <v>0.922740644</v>
      </c>
      <c r="Y1378" s="43">
        <v>4.6243973780000003</v>
      </c>
      <c r="Z1378" s="43">
        <f t="shared" si="296"/>
        <v>0</v>
      </c>
      <c r="AA1378" s="43">
        <f t="shared" si="297"/>
        <v>85233</v>
      </c>
      <c r="AB1378" s="43">
        <f t="shared" si="298"/>
        <v>30359</v>
      </c>
      <c r="AC1378" s="43">
        <f t="shared" si="308"/>
        <v>1.7062811181712705E-2</v>
      </c>
      <c r="AD1378" s="43">
        <f t="shared" si="309"/>
        <v>0.87966620448387123</v>
      </c>
      <c r="AF1378" s="43">
        <v>18.685055504650489</v>
      </c>
      <c r="AG1378" s="43">
        <v>1.5002935E-2</v>
      </c>
      <c r="AH1378" s="43">
        <v>1.1688132E-2</v>
      </c>
      <c r="AI1378" s="43">
        <v>0.92227478299999999</v>
      </c>
      <c r="AJ1378" s="43">
        <v>4.331980819</v>
      </c>
      <c r="AK1378" s="43">
        <v>13.62013438</v>
      </c>
      <c r="AL1378" s="43">
        <v>2.9416569999999999E-3</v>
      </c>
      <c r="AM1378" s="230">
        <v>1.8936917797025658E-2</v>
      </c>
      <c r="AN1378" s="43">
        <v>0.922740644</v>
      </c>
    </row>
    <row r="1379" spans="1:40" x14ac:dyDescent="0.25">
      <c r="A1379" s="134">
        <v>1369</v>
      </c>
      <c r="B1379" s="134" t="s">
        <v>204</v>
      </c>
      <c r="C1379" s="134" t="s">
        <v>205</v>
      </c>
      <c r="D1379" s="134" t="s">
        <v>62</v>
      </c>
      <c r="E1379" s="134">
        <v>13</v>
      </c>
      <c r="F1379" s="134">
        <v>38</v>
      </c>
      <c r="G1379" s="134">
        <v>206</v>
      </c>
      <c r="H1379" s="134">
        <v>4</v>
      </c>
      <c r="I1379" s="200">
        <v>0.32263337732399999</v>
      </c>
      <c r="J1379" s="134">
        <v>42</v>
      </c>
      <c r="K1379" s="134">
        <v>130.178719723</v>
      </c>
      <c r="L1379" s="42">
        <v>0.87560017459600004</v>
      </c>
      <c r="M1379" s="42">
        <v>0.23529411764700001</v>
      </c>
      <c r="N1379" s="134">
        <v>0</v>
      </c>
      <c r="O1379" s="43" t="s">
        <v>665</v>
      </c>
      <c r="P1379" s="43">
        <f t="shared" si="299"/>
        <v>17.714899764098849</v>
      </c>
      <c r="Q1379" s="43">
        <f t="shared" si="300"/>
        <v>4.8013969999999998E-3</v>
      </c>
      <c r="R1379" s="43">
        <f t="shared" si="301"/>
        <v>1.3094718E-2</v>
      </c>
      <c r="S1379" s="43">
        <f t="shared" si="302"/>
        <v>0.87560017499999998</v>
      </c>
      <c r="T1379" s="43">
        <f t="shared" si="303"/>
        <v>4.4262295079999996</v>
      </c>
      <c r="U1379" s="43">
        <f t="shared" si="304"/>
        <v>12.960615049999999</v>
      </c>
      <c r="V1379" s="43">
        <f t="shared" si="305"/>
        <v>2.2188896352201251E-3</v>
      </c>
      <c r="W1379" s="230">
        <f t="shared" si="306"/>
        <v>1.5396458814472672E-2</v>
      </c>
      <c r="X1379" s="43">
        <f t="shared" si="307"/>
        <v>0.81293302499999998</v>
      </c>
      <c r="Y1379" s="43">
        <v>5.4155340939999999</v>
      </c>
      <c r="Z1379" s="43">
        <f t="shared" si="296"/>
        <v>0</v>
      </c>
      <c r="AA1379" s="43">
        <f t="shared" si="297"/>
        <v>85233</v>
      </c>
      <c r="AB1379" s="43">
        <f t="shared" si="298"/>
        <v>30359</v>
      </c>
      <c r="AC1379" s="43">
        <f t="shared" si="308"/>
        <v>1.7062811181712705E-2</v>
      </c>
      <c r="AD1379" s="43">
        <f t="shared" si="309"/>
        <v>0.87966620448387123</v>
      </c>
      <c r="AF1379" s="43">
        <v>17.714899764098849</v>
      </c>
      <c r="AG1379" s="43">
        <v>4.8013969999999998E-3</v>
      </c>
      <c r="AH1379" s="43">
        <v>1.3094718E-2</v>
      </c>
      <c r="AI1379" s="43">
        <v>0.87560017499999998</v>
      </c>
      <c r="AJ1379" s="43">
        <v>4.4262295079999996</v>
      </c>
      <c r="AK1379" s="43">
        <v>12.960615049999999</v>
      </c>
      <c r="AL1379" s="43">
        <v>0</v>
      </c>
      <c r="AM1379" s="230">
        <v>1.5396458814472672E-2</v>
      </c>
      <c r="AN1379" s="43">
        <v>0.81293302499999998</v>
      </c>
    </row>
    <row r="1380" spans="1:40" x14ac:dyDescent="0.25">
      <c r="A1380" s="134">
        <v>1370</v>
      </c>
      <c r="B1380" s="134" t="s">
        <v>204</v>
      </c>
      <c r="C1380" s="134" t="s">
        <v>205</v>
      </c>
      <c r="D1380" s="134" t="s">
        <v>62</v>
      </c>
      <c r="E1380" s="134">
        <v>100</v>
      </c>
      <c r="F1380" s="134">
        <v>306</v>
      </c>
      <c r="G1380" s="134">
        <v>301</v>
      </c>
      <c r="H1380" s="134">
        <v>7</v>
      </c>
      <c r="I1380" s="200">
        <v>0.47251777221800001</v>
      </c>
      <c r="J1380" s="134">
        <v>313</v>
      </c>
      <c r="K1380" s="134">
        <v>662.408947141</v>
      </c>
      <c r="L1380" s="42">
        <v>0.93727526117600002</v>
      </c>
      <c r="M1380" s="42">
        <v>6.5420560747700002E-2</v>
      </c>
      <c r="N1380" s="134">
        <v>0</v>
      </c>
      <c r="O1380" s="43" t="s">
        <v>665</v>
      </c>
      <c r="P1380" s="43">
        <f t="shared" si="299"/>
        <v>20.180957710826849</v>
      </c>
      <c r="Q1380" s="43">
        <f t="shared" si="300"/>
        <v>8.0214469999999993E-3</v>
      </c>
      <c r="R1380" s="43">
        <f t="shared" si="301"/>
        <v>1.1000233999999999E-2</v>
      </c>
      <c r="S1380" s="43">
        <f t="shared" si="302"/>
        <v>0.93727526100000003</v>
      </c>
      <c r="T1380" s="43">
        <f t="shared" si="303"/>
        <v>4.2133971289999996</v>
      </c>
      <c r="U1380" s="43">
        <f t="shared" si="304"/>
        <v>17.587586340000001</v>
      </c>
      <c r="V1380" s="43">
        <f t="shared" si="305"/>
        <v>2.2188896352201251E-3</v>
      </c>
      <c r="W1380" s="230">
        <f t="shared" si="306"/>
        <v>2.3365206662553976E-2</v>
      </c>
      <c r="X1380" s="43">
        <f t="shared" si="307"/>
        <v>0.92026526799999997</v>
      </c>
      <c r="Y1380" s="43">
        <v>5.5879742999999999</v>
      </c>
      <c r="Z1380" s="43">
        <f t="shared" si="296"/>
        <v>0</v>
      </c>
      <c r="AA1380" s="43">
        <f t="shared" si="297"/>
        <v>85233</v>
      </c>
      <c r="AB1380" s="43">
        <f t="shared" si="298"/>
        <v>30359</v>
      </c>
      <c r="AC1380" s="43">
        <f t="shared" si="308"/>
        <v>1.7062811181712705E-2</v>
      </c>
      <c r="AD1380" s="43">
        <f t="shared" si="309"/>
        <v>0.87966620448387123</v>
      </c>
      <c r="AF1380" s="43">
        <v>20.180957710826849</v>
      </c>
      <c r="AG1380" s="43">
        <v>8.0214469999999993E-3</v>
      </c>
      <c r="AH1380" s="43">
        <v>1.1000233999999999E-2</v>
      </c>
      <c r="AI1380" s="43">
        <v>0.93727526100000003</v>
      </c>
      <c r="AJ1380" s="43">
        <v>4.2133971289999996</v>
      </c>
      <c r="AK1380" s="43">
        <v>17.587586340000001</v>
      </c>
      <c r="AL1380" s="43">
        <v>0</v>
      </c>
      <c r="AM1380" s="230">
        <v>2.3365206662553976E-2</v>
      </c>
      <c r="AN1380" s="43">
        <v>0.92026526799999997</v>
      </c>
    </row>
    <row r="1381" spans="1:40" x14ac:dyDescent="0.25">
      <c r="A1381" s="134">
        <v>1371</v>
      </c>
      <c r="B1381" s="134" t="s">
        <v>204</v>
      </c>
      <c r="C1381" s="134" t="s">
        <v>205</v>
      </c>
      <c r="D1381" s="134" t="s">
        <v>62</v>
      </c>
      <c r="E1381" s="134">
        <v>16</v>
      </c>
      <c r="F1381" s="134">
        <v>49</v>
      </c>
      <c r="G1381" s="134">
        <v>1339</v>
      </c>
      <c r="H1381" s="134">
        <v>0</v>
      </c>
      <c r="I1381" s="200">
        <v>2.1009905117500001</v>
      </c>
      <c r="J1381" s="134">
        <v>49</v>
      </c>
      <c r="K1381" s="134">
        <v>23.322332835899999</v>
      </c>
      <c r="L1381" s="42">
        <v>0.88827501534700004</v>
      </c>
      <c r="M1381" s="42">
        <v>0</v>
      </c>
      <c r="N1381" s="134">
        <v>0</v>
      </c>
      <c r="O1381" s="43" t="s">
        <v>665</v>
      </c>
      <c r="P1381" s="43">
        <f t="shared" si="299"/>
        <v>20.059794409567104</v>
      </c>
      <c r="Q1381" s="43">
        <f t="shared" si="300"/>
        <v>7.6734189999999999E-3</v>
      </c>
      <c r="R1381" s="43">
        <f t="shared" si="301"/>
        <v>1.0128913E-2</v>
      </c>
      <c r="S1381" s="43">
        <f t="shared" si="302"/>
        <v>0.88827501499999995</v>
      </c>
      <c r="T1381" s="43">
        <f t="shared" si="303"/>
        <v>6.234375</v>
      </c>
      <c r="U1381" s="43">
        <f t="shared" si="304"/>
        <v>18.54662763</v>
      </c>
      <c r="V1381" s="43">
        <f t="shared" si="305"/>
        <v>2.2188896352201251E-3</v>
      </c>
      <c r="W1381" s="230">
        <f t="shared" si="306"/>
        <v>2.7972027972027972E-2</v>
      </c>
      <c r="X1381" s="43">
        <f t="shared" si="307"/>
        <v>0.82342657299999999</v>
      </c>
      <c r="Y1381" s="43">
        <v>4.1009378590000001</v>
      </c>
      <c r="Z1381" s="43">
        <f t="shared" si="296"/>
        <v>0</v>
      </c>
      <c r="AA1381" s="43">
        <f t="shared" si="297"/>
        <v>85233</v>
      </c>
      <c r="AB1381" s="43">
        <f t="shared" si="298"/>
        <v>30359</v>
      </c>
      <c r="AC1381" s="43">
        <f t="shared" si="308"/>
        <v>1.7062811181712705E-2</v>
      </c>
      <c r="AD1381" s="43">
        <f t="shared" si="309"/>
        <v>0.87966620448387123</v>
      </c>
      <c r="AF1381" s="43">
        <v>20.059794409567104</v>
      </c>
      <c r="AG1381" s="43">
        <v>7.6734189999999999E-3</v>
      </c>
      <c r="AH1381" s="43">
        <v>1.0128913E-2</v>
      </c>
      <c r="AI1381" s="43">
        <v>0.88827501499999995</v>
      </c>
      <c r="AJ1381" s="43">
        <v>6.234375</v>
      </c>
      <c r="AK1381" s="43">
        <v>18.54662763</v>
      </c>
      <c r="AL1381" s="43">
        <v>0</v>
      </c>
      <c r="AM1381" s="230">
        <v>2.7972027972027972E-2</v>
      </c>
      <c r="AN1381" s="43">
        <v>0.82342657299999999</v>
      </c>
    </row>
    <row r="1382" spans="1:40" x14ac:dyDescent="0.25">
      <c r="A1382" s="134">
        <v>1372</v>
      </c>
      <c r="B1382" s="134" t="s">
        <v>204</v>
      </c>
      <c r="C1382" s="134" t="s">
        <v>205</v>
      </c>
      <c r="D1382" s="134" t="s">
        <v>62</v>
      </c>
      <c r="E1382" s="134">
        <v>20</v>
      </c>
      <c r="F1382" s="134">
        <v>61</v>
      </c>
      <c r="G1382" s="134">
        <v>133</v>
      </c>
      <c r="H1382" s="134">
        <v>0</v>
      </c>
      <c r="I1382" s="200">
        <v>0.20890618959099999</v>
      </c>
      <c r="J1382" s="134">
        <v>61</v>
      </c>
      <c r="K1382" s="134">
        <v>291.99709266399998</v>
      </c>
      <c r="L1382" s="42">
        <v>0.86791749503000004</v>
      </c>
      <c r="M1382" s="42">
        <v>0</v>
      </c>
      <c r="N1382" s="134">
        <v>0</v>
      </c>
      <c r="O1382" s="43" t="s">
        <v>665</v>
      </c>
      <c r="P1382" s="43">
        <f t="shared" si="299"/>
        <v>16.75443821951162</v>
      </c>
      <c r="Q1382" s="43">
        <f t="shared" si="300"/>
        <v>1.9010934E-2</v>
      </c>
      <c r="R1382" s="43">
        <f t="shared" si="301"/>
        <v>1.2176938E-2</v>
      </c>
      <c r="S1382" s="43">
        <f t="shared" si="302"/>
        <v>0.86791749500000004</v>
      </c>
      <c r="T1382" s="43">
        <f t="shared" si="303"/>
        <v>4.2722772280000001</v>
      </c>
      <c r="U1382" s="43">
        <f t="shared" si="304"/>
        <v>14.34223736</v>
      </c>
      <c r="V1382" s="43">
        <f t="shared" si="305"/>
        <v>1.0219719999999999E-3</v>
      </c>
      <c r="W1382" s="230">
        <f t="shared" si="306"/>
        <v>2.9126213592233014E-2</v>
      </c>
      <c r="X1382" s="43">
        <f t="shared" si="307"/>
        <v>0.82217680100000001</v>
      </c>
      <c r="Y1382" s="43">
        <v>5.4798321120000004</v>
      </c>
      <c r="Z1382" s="43">
        <f t="shared" si="296"/>
        <v>0</v>
      </c>
      <c r="AA1382" s="43">
        <f t="shared" si="297"/>
        <v>85233</v>
      </c>
      <c r="AB1382" s="43">
        <f t="shared" si="298"/>
        <v>30359</v>
      </c>
      <c r="AC1382" s="43">
        <f t="shared" si="308"/>
        <v>1.7062811181712705E-2</v>
      </c>
      <c r="AD1382" s="43">
        <f t="shared" si="309"/>
        <v>0.87966620448387123</v>
      </c>
      <c r="AF1382" s="43">
        <v>16.75443821951162</v>
      </c>
      <c r="AG1382" s="43">
        <v>1.9010934E-2</v>
      </c>
      <c r="AH1382" s="43">
        <v>1.2176938E-2</v>
      </c>
      <c r="AI1382" s="43">
        <v>0.86791749500000004</v>
      </c>
      <c r="AJ1382" s="43">
        <v>4.2722772280000001</v>
      </c>
      <c r="AK1382" s="43">
        <v>14.34223736</v>
      </c>
      <c r="AL1382" s="43">
        <v>1.0219719999999999E-3</v>
      </c>
      <c r="AM1382" s="230">
        <v>2.9126213592233014E-2</v>
      </c>
      <c r="AN1382" s="43">
        <v>0.82217680100000001</v>
      </c>
    </row>
    <row r="1383" spans="1:40" x14ac:dyDescent="0.25">
      <c r="A1383" s="134">
        <v>1373</v>
      </c>
      <c r="B1383" s="134" t="s">
        <v>204</v>
      </c>
      <c r="C1383" s="134" t="s">
        <v>205</v>
      </c>
      <c r="D1383" s="134" t="s">
        <v>62</v>
      </c>
      <c r="E1383" s="134">
        <v>8</v>
      </c>
      <c r="F1383" s="134">
        <v>24</v>
      </c>
      <c r="G1383" s="134">
        <v>291</v>
      </c>
      <c r="H1383" s="134">
        <v>0</v>
      </c>
      <c r="I1383" s="200">
        <v>0.45563625081600001</v>
      </c>
      <c r="J1383" s="134">
        <v>24</v>
      </c>
      <c r="K1383" s="134">
        <v>52.673596442300003</v>
      </c>
      <c r="L1383" s="42">
        <v>0.859334081556</v>
      </c>
      <c r="M1383" s="42">
        <v>0</v>
      </c>
      <c r="N1383" s="134">
        <v>0</v>
      </c>
      <c r="O1383" s="43" t="s">
        <v>665</v>
      </c>
      <c r="P1383" s="43">
        <f t="shared" si="299"/>
        <v>20.027690254086021</v>
      </c>
      <c r="Q1383" s="43">
        <f t="shared" si="300"/>
        <v>9.7268990000000007E-3</v>
      </c>
      <c r="R1383" s="43">
        <f t="shared" si="301"/>
        <v>1.1597456000000001E-2</v>
      </c>
      <c r="S1383" s="43">
        <f t="shared" si="302"/>
        <v>0.85933408200000005</v>
      </c>
      <c r="T1383" s="43">
        <f t="shared" si="303"/>
        <v>7.0615384619999997</v>
      </c>
      <c r="U1383" s="43">
        <f t="shared" si="304"/>
        <v>18.349041530000001</v>
      </c>
      <c r="V1383" s="43">
        <f t="shared" si="305"/>
        <v>2.2188896352201251E-3</v>
      </c>
      <c r="W1383" s="230">
        <f t="shared" si="306"/>
        <v>3.751803751803752E-2</v>
      </c>
      <c r="X1383" s="43">
        <f t="shared" si="307"/>
        <v>0.76623376600000004</v>
      </c>
      <c r="Y1383" s="43">
        <v>5.401400582</v>
      </c>
      <c r="Z1383" s="43">
        <f t="shared" si="296"/>
        <v>0</v>
      </c>
      <c r="AA1383" s="43">
        <f t="shared" si="297"/>
        <v>85233</v>
      </c>
      <c r="AB1383" s="43">
        <f t="shared" si="298"/>
        <v>30359</v>
      </c>
      <c r="AC1383" s="43">
        <f t="shared" si="308"/>
        <v>1.7062811181712705E-2</v>
      </c>
      <c r="AD1383" s="43">
        <f t="shared" si="309"/>
        <v>0.87966620448387123</v>
      </c>
      <c r="AF1383" s="43">
        <v>20.027690254086021</v>
      </c>
      <c r="AG1383" s="43">
        <v>9.7268990000000007E-3</v>
      </c>
      <c r="AH1383" s="43">
        <v>1.1597456000000001E-2</v>
      </c>
      <c r="AI1383" s="43">
        <v>0.85933408200000005</v>
      </c>
      <c r="AJ1383" s="43">
        <v>7.0615384619999997</v>
      </c>
      <c r="AK1383" s="43">
        <v>18.349041530000001</v>
      </c>
      <c r="AL1383" s="43">
        <v>0</v>
      </c>
      <c r="AM1383" s="230">
        <v>3.751803751803752E-2</v>
      </c>
      <c r="AN1383" s="43">
        <v>0.76623376600000004</v>
      </c>
    </row>
    <row r="1384" spans="1:40" x14ac:dyDescent="0.25">
      <c r="A1384" s="134">
        <v>1374</v>
      </c>
      <c r="B1384" s="134" t="s">
        <v>204</v>
      </c>
      <c r="C1384" s="134" t="s">
        <v>205</v>
      </c>
      <c r="D1384" s="134" t="s">
        <v>62</v>
      </c>
      <c r="E1384" s="134">
        <v>0</v>
      </c>
      <c r="F1384" s="134">
        <v>0</v>
      </c>
      <c r="G1384" s="134">
        <v>232</v>
      </c>
      <c r="H1384" s="134">
        <v>7</v>
      </c>
      <c r="I1384" s="200">
        <v>0.36435364509899998</v>
      </c>
      <c r="J1384" s="134">
        <v>7</v>
      </c>
      <c r="K1384" s="134">
        <v>19.212103664000001</v>
      </c>
      <c r="L1384" s="42">
        <v>0.85497470489000005</v>
      </c>
      <c r="M1384" s="42">
        <v>1</v>
      </c>
      <c r="N1384" s="134">
        <v>0</v>
      </c>
      <c r="O1384" s="43" t="s">
        <v>666</v>
      </c>
      <c r="P1384" s="43">
        <f t="shared" si="299"/>
        <v>17.288130650335372</v>
      </c>
      <c r="Q1384" s="43">
        <f t="shared" si="300"/>
        <v>1.6863410000000001E-3</v>
      </c>
      <c r="R1384" s="43">
        <f t="shared" si="301"/>
        <v>1.2281927743016759E-2</v>
      </c>
      <c r="S1384" s="43">
        <f t="shared" si="302"/>
        <v>0.85497470499999995</v>
      </c>
      <c r="T1384" s="43">
        <f t="shared" si="303"/>
        <v>3.4720153019613269</v>
      </c>
      <c r="U1384" s="43">
        <f t="shared" si="304"/>
        <v>9.5012658230000007</v>
      </c>
      <c r="V1384" s="43">
        <f t="shared" si="305"/>
        <v>2.2188896352201251E-3</v>
      </c>
      <c r="W1384" s="230">
        <f t="shared" si="306"/>
        <v>3.7712999565398898E-2</v>
      </c>
      <c r="X1384" s="43">
        <f t="shared" si="307"/>
        <v>0.84364820799999996</v>
      </c>
      <c r="Y1384" s="43">
        <v>4.6067885999999998</v>
      </c>
      <c r="Z1384" s="43">
        <f t="shared" si="296"/>
        <v>0</v>
      </c>
      <c r="AA1384" s="43">
        <f t="shared" si="297"/>
        <v>85233</v>
      </c>
      <c r="AB1384" s="43">
        <f t="shared" si="298"/>
        <v>30359</v>
      </c>
      <c r="AC1384" s="43">
        <f t="shared" si="308"/>
        <v>1.7062811181712705E-2</v>
      </c>
      <c r="AD1384" s="43">
        <f t="shared" si="309"/>
        <v>0.87966620448387123</v>
      </c>
      <c r="AF1384" s="43">
        <v>17.288130650335372</v>
      </c>
      <c r="AG1384" s="43">
        <v>1.6863410000000001E-3</v>
      </c>
      <c r="AH1384" s="43">
        <v>0</v>
      </c>
      <c r="AI1384" s="43">
        <v>0.85497470499999995</v>
      </c>
      <c r="AJ1384" s="43" t="e">
        <v>#DIV/0!</v>
      </c>
      <c r="AK1384" s="43">
        <v>9.5012658230000007</v>
      </c>
      <c r="AL1384" s="43">
        <v>0</v>
      </c>
      <c r="AM1384" s="230">
        <v>0</v>
      </c>
      <c r="AN1384" s="43">
        <v>0.84364820799999996</v>
      </c>
    </row>
    <row r="1385" spans="1:40" x14ac:dyDescent="0.25">
      <c r="A1385" s="134">
        <v>1375</v>
      </c>
      <c r="B1385" s="134" t="s">
        <v>204</v>
      </c>
      <c r="C1385" s="134" t="s">
        <v>205</v>
      </c>
      <c r="D1385" s="134" t="s">
        <v>62</v>
      </c>
      <c r="E1385" s="134">
        <v>3</v>
      </c>
      <c r="F1385" s="134">
        <v>9</v>
      </c>
      <c r="G1385" s="134">
        <v>144</v>
      </c>
      <c r="H1385" s="134">
        <v>1</v>
      </c>
      <c r="I1385" s="200">
        <v>0.22507550224699999</v>
      </c>
      <c r="J1385" s="134">
        <v>10</v>
      </c>
      <c r="K1385" s="134">
        <v>44.429535423399997</v>
      </c>
      <c r="L1385" s="42">
        <v>0.78541953232499995</v>
      </c>
      <c r="M1385" s="42">
        <v>0.25</v>
      </c>
      <c r="N1385" s="134">
        <v>0</v>
      </c>
      <c r="O1385" s="43" t="s">
        <v>666</v>
      </c>
      <c r="P1385" s="43">
        <f t="shared" si="299"/>
        <v>18.515335218287248</v>
      </c>
      <c r="Q1385" s="43">
        <f t="shared" si="300"/>
        <v>4.1265470000000004E-3</v>
      </c>
      <c r="R1385" s="43">
        <f t="shared" si="301"/>
        <v>2.2008252999999998E-2</v>
      </c>
      <c r="S1385" s="43">
        <f t="shared" si="302"/>
        <v>0.78541953200000003</v>
      </c>
      <c r="T1385" s="43">
        <f t="shared" si="303"/>
        <v>6.1724137929999996</v>
      </c>
      <c r="U1385" s="43">
        <f t="shared" si="304"/>
        <v>9.8172588829999992</v>
      </c>
      <c r="V1385" s="43">
        <f t="shared" si="305"/>
        <v>2.2188896352201251E-3</v>
      </c>
      <c r="W1385" s="230">
        <f t="shared" si="306"/>
        <v>5.0761421319796959E-3</v>
      </c>
      <c r="X1385" s="43">
        <f t="shared" si="307"/>
        <v>0.65482233499999998</v>
      </c>
      <c r="Y1385" s="43">
        <v>4.6067885999999998</v>
      </c>
      <c r="Z1385" s="43">
        <f t="shared" si="296"/>
        <v>0</v>
      </c>
      <c r="AA1385" s="43">
        <f t="shared" si="297"/>
        <v>85233</v>
      </c>
      <c r="AB1385" s="43">
        <f t="shared" si="298"/>
        <v>30359</v>
      </c>
      <c r="AC1385" s="43">
        <f t="shared" si="308"/>
        <v>1.7062811181712705E-2</v>
      </c>
      <c r="AD1385" s="43">
        <f t="shared" si="309"/>
        <v>0.87966620448387123</v>
      </c>
      <c r="AF1385" s="43">
        <v>18.515335218287248</v>
      </c>
      <c r="AG1385" s="43">
        <v>4.1265470000000004E-3</v>
      </c>
      <c r="AH1385" s="43">
        <v>2.2008252999999998E-2</v>
      </c>
      <c r="AI1385" s="43">
        <v>0.78541953200000003</v>
      </c>
      <c r="AJ1385" s="43">
        <v>6.1724137929999996</v>
      </c>
      <c r="AK1385" s="43">
        <v>9.8172588829999992</v>
      </c>
      <c r="AL1385" s="43">
        <v>0</v>
      </c>
      <c r="AM1385" s="230">
        <v>5.0761421319796959E-3</v>
      </c>
      <c r="AN1385" s="43">
        <v>0.65482233499999998</v>
      </c>
    </row>
    <row r="1386" spans="1:40" x14ac:dyDescent="0.25">
      <c r="A1386" s="134">
        <v>1376</v>
      </c>
      <c r="B1386" s="134" t="s">
        <v>199</v>
      </c>
      <c r="C1386" s="134" t="s">
        <v>61</v>
      </c>
      <c r="D1386" s="134" t="s">
        <v>197</v>
      </c>
      <c r="E1386" s="134">
        <v>136</v>
      </c>
      <c r="F1386" s="134">
        <v>388</v>
      </c>
      <c r="G1386" s="134">
        <v>19044</v>
      </c>
      <c r="H1386" s="134">
        <v>675</v>
      </c>
      <c r="I1386" s="200">
        <v>29.643162373500001</v>
      </c>
      <c r="J1386" s="134">
        <v>1063</v>
      </c>
      <c r="K1386" s="134">
        <v>35.859871716999997</v>
      </c>
      <c r="L1386" s="42">
        <v>0.971000617811</v>
      </c>
      <c r="M1386" s="42">
        <v>0.83230579531399995</v>
      </c>
      <c r="N1386" s="134">
        <v>0</v>
      </c>
      <c r="O1386" s="43" t="s">
        <v>665</v>
      </c>
      <c r="P1386" s="43">
        <f t="shared" si="299"/>
        <v>21.68961539789748</v>
      </c>
      <c r="Q1386" s="43">
        <f t="shared" si="300"/>
        <v>1.1592207E-2</v>
      </c>
      <c r="R1386" s="43">
        <f t="shared" si="301"/>
        <v>1.2874989999999999E-3</v>
      </c>
      <c r="S1386" s="43">
        <f t="shared" si="302"/>
        <v>0.97100061800000004</v>
      </c>
      <c r="T1386" s="43">
        <f t="shared" si="303"/>
        <v>14.106542060000001</v>
      </c>
      <c r="U1386" s="43">
        <f t="shared" si="304"/>
        <v>18.154422790000002</v>
      </c>
      <c r="V1386" s="43">
        <f t="shared" si="305"/>
        <v>2.7047600000000002E-4</v>
      </c>
      <c r="W1386" s="230">
        <f t="shared" si="306"/>
        <v>2.6429335016292937E-2</v>
      </c>
      <c r="X1386" s="43">
        <f t="shared" si="307"/>
        <v>0.96241676399999998</v>
      </c>
      <c r="Y1386" s="43">
        <v>2.061040421</v>
      </c>
      <c r="Z1386" s="43">
        <f t="shared" si="296"/>
        <v>0</v>
      </c>
      <c r="AA1386" s="43">
        <f t="shared" si="297"/>
        <v>13472</v>
      </c>
      <c r="AB1386" s="43">
        <f t="shared" si="298"/>
        <v>4542</v>
      </c>
      <c r="AC1386" s="43">
        <f t="shared" si="308"/>
        <v>1.0052801043478261E-2</v>
      </c>
      <c r="AD1386" s="43">
        <f t="shared" si="309"/>
        <v>0.93066974565384641</v>
      </c>
      <c r="AF1386" s="43">
        <v>21.68961539789748</v>
      </c>
      <c r="AG1386" s="43">
        <v>1.1592207E-2</v>
      </c>
      <c r="AH1386" s="43">
        <v>1.2874989999999999E-3</v>
      </c>
      <c r="AI1386" s="43">
        <v>0.97100061800000004</v>
      </c>
      <c r="AJ1386" s="43">
        <v>14.106542060000001</v>
      </c>
      <c r="AK1386" s="43">
        <v>18.154422790000002</v>
      </c>
      <c r="AL1386" s="43">
        <v>2.7047600000000002E-4</v>
      </c>
      <c r="AM1386" s="230">
        <v>2.6429335016292937E-2</v>
      </c>
      <c r="AN1386" s="43">
        <v>0.96241676399999998</v>
      </c>
    </row>
    <row r="1387" spans="1:40" x14ac:dyDescent="0.25">
      <c r="A1387" s="134">
        <v>1377</v>
      </c>
      <c r="B1387" s="134" t="s">
        <v>199</v>
      </c>
      <c r="C1387" s="134" t="s">
        <v>61</v>
      </c>
      <c r="D1387" s="134" t="s">
        <v>197</v>
      </c>
      <c r="E1387" s="134">
        <v>1408</v>
      </c>
      <c r="F1387" s="134">
        <v>4278</v>
      </c>
      <c r="G1387" s="134">
        <v>558</v>
      </c>
      <c r="H1387" s="134">
        <v>327</v>
      </c>
      <c r="I1387" s="200">
        <v>0.91725690939799998</v>
      </c>
      <c r="J1387" s="134">
        <v>4605</v>
      </c>
      <c r="K1387" s="134">
        <v>5020.40371985</v>
      </c>
      <c r="L1387" s="42">
        <v>0.89692989110800003</v>
      </c>
      <c r="M1387" s="42">
        <v>0.18847262247800001</v>
      </c>
      <c r="N1387" s="134">
        <v>0</v>
      </c>
      <c r="O1387" s="43" t="s">
        <v>665</v>
      </c>
      <c r="P1387" s="43">
        <f t="shared" si="299"/>
        <v>14.391622729987132</v>
      </c>
      <c r="Q1387" s="43">
        <f t="shared" si="300"/>
        <v>3.0454683999999999E-2</v>
      </c>
      <c r="R1387" s="43">
        <f t="shared" si="301"/>
        <v>1.3608109E-2</v>
      </c>
      <c r="S1387" s="43">
        <f t="shared" si="302"/>
        <v>0.89692989099999998</v>
      </c>
      <c r="T1387" s="43">
        <f t="shared" si="303"/>
        <v>3.709693262</v>
      </c>
      <c r="U1387" s="43">
        <f t="shared" si="304"/>
        <v>10.791312830000001</v>
      </c>
      <c r="V1387" s="43">
        <f t="shared" si="305"/>
        <v>2.8109749999999998E-3</v>
      </c>
      <c r="W1387" s="230">
        <f t="shared" si="306"/>
        <v>6.7934691129439478E-2</v>
      </c>
      <c r="X1387" s="43">
        <f t="shared" si="307"/>
        <v>0.91411799400000004</v>
      </c>
      <c r="Y1387" s="43">
        <v>53.052997019999999</v>
      </c>
      <c r="Z1387" s="43">
        <f t="shared" si="296"/>
        <v>0</v>
      </c>
      <c r="AA1387" s="43">
        <f t="shared" si="297"/>
        <v>13472</v>
      </c>
      <c r="AB1387" s="43">
        <f t="shared" si="298"/>
        <v>4542</v>
      </c>
      <c r="AC1387" s="43">
        <f t="shared" si="308"/>
        <v>1.0052801043478261E-2</v>
      </c>
      <c r="AD1387" s="43">
        <f t="shared" si="309"/>
        <v>0.93066974565384641</v>
      </c>
      <c r="AF1387" s="43">
        <v>14.391622729987132</v>
      </c>
      <c r="AG1387" s="43">
        <v>3.0454683999999999E-2</v>
      </c>
      <c r="AH1387" s="43">
        <v>1.3608109E-2</v>
      </c>
      <c r="AI1387" s="43">
        <v>0.89692989099999998</v>
      </c>
      <c r="AJ1387" s="43">
        <v>3.709693262</v>
      </c>
      <c r="AK1387" s="43">
        <v>10.791312830000001</v>
      </c>
      <c r="AL1387" s="43">
        <v>2.8109749999999998E-3</v>
      </c>
      <c r="AM1387" s="230">
        <v>6.7934691129439478E-2</v>
      </c>
      <c r="AN1387" s="43">
        <v>0.91411799400000004</v>
      </c>
    </row>
    <row r="1388" spans="1:40" x14ac:dyDescent="0.25">
      <c r="A1388" s="134">
        <v>1378</v>
      </c>
      <c r="B1388" s="134" t="s">
        <v>199</v>
      </c>
      <c r="C1388" s="134" t="s">
        <v>61</v>
      </c>
      <c r="D1388" s="134" t="s">
        <v>197</v>
      </c>
      <c r="E1388" s="134">
        <v>160</v>
      </c>
      <c r="F1388" s="134">
        <v>449</v>
      </c>
      <c r="G1388" s="134">
        <v>63</v>
      </c>
      <c r="H1388" s="134">
        <v>54</v>
      </c>
      <c r="I1388" s="200">
        <v>9.8837675582000004E-2</v>
      </c>
      <c r="J1388" s="134">
        <v>503</v>
      </c>
      <c r="K1388" s="134">
        <v>5089.1524617300001</v>
      </c>
      <c r="L1388" s="42">
        <v>0.88993665498499996</v>
      </c>
      <c r="M1388" s="42">
        <v>0.25233644859799997</v>
      </c>
      <c r="N1388" s="134">
        <v>0</v>
      </c>
      <c r="O1388" s="43" t="s">
        <v>665</v>
      </c>
      <c r="P1388" s="43">
        <f t="shared" si="299"/>
        <v>13.76114589093252</v>
      </c>
      <c r="Q1388" s="43">
        <f t="shared" si="300"/>
        <v>2.3093846000000001E-2</v>
      </c>
      <c r="R1388" s="43">
        <f t="shared" si="301"/>
        <v>1.2514233E-2</v>
      </c>
      <c r="S1388" s="43">
        <f t="shared" si="302"/>
        <v>0.88993665499999997</v>
      </c>
      <c r="T1388" s="43">
        <f t="shared" si="303"/>
        <v>3.5515714919999999</v>
      </c>
      <c r="U1388" s="43">
        <f t="shared" si="304"/>
        <v>9.4329563699999994</v>
      </c>
      <c r="V1388" s="43">
        <f t="shared" si="305"/>
        <v>2.1555300000000001E-3</v>
      </c>
      <c r="W1388" s="230">
        <f t="shared" si="306"/>
        <v>5.0281876968993527E-2</v>
      </c>
      <c r="X1388" s="43">
        <f t="shared" si="307"/>
        <v>0.89558116399999999</v>
      </c>
      <c r="Y1388" s="43">
        <v>66.179146209999999</v>
      </c>
      <c r="Z1388" s="43">
        <f t="shared" si="296"/>
        <v>0</v>
      </c>
      <c r="AA1388" s="43">
        <f t="shared" si="297"/>
        <v>13472</v>
      </c>
      <c r="AB1388" s="43">
        <f t="shared" si="298"/>
        <v>4542</v>
      </c>
      <c r="AC1388" s="43">
        <f t="shared" si="308"/>
        <v>1.0052801043478261E-2</v>
      </c>
      <c r="AD1388" s="43">
        <f t="shared" si="309"/>
        <v>0.93066974565384641</v>
      </c>
      <c r="AF1388" s="43">
        <v>13.76114589093252</v>
      </c>
      <c r="AG1388" s="43">
        <v>2.3093846000000001E-2</v>
      </c>
      <c r="AH1388" s="43">
        <v>1.2514233E-2</v>
      </c>
      <c r="AI1388" s="43">
        <v>0.88993665499999997</v>
      </c>
      <c r="AJ1388" s="43">
        <v>3.5515714919999999</v>
      </c>
      <c r="AK1388" s="43">
        <v>9.4329563699999994</v>
      </c>
      <c r="AL1388" s="43">
        <v>2.1555300000000001E-3</v>
      </c>
      <c r="AM1388" s="230">
        <v>5.0281876968993527E-2</v>
      </c>
      <c r="AN1388" s="43">
        <v>0.89558116399999999</v>
      </c>
    </row>
    <row r="1389" spans="1:40" x14ac:dyDescent="0.25">
      <c r="A1389" s="134">
        <v>1379</v>
      </c>
      <c r="B1389" s="134" t="s">
        <v>199</v>
      </c>
      <c r="C1389" s="134" t="s">
        <v>61</v>
      </c>
      <c r="D1389" s="134" t="s">
        <v>197</v>
      </c>
      <c r="E1389" s="134">
        <v>182</v>
      </c>
      <c r="F1389" s="134">
        <v>483</v>
      </c>
      <c r="G1389" s="134">
        <v>217</v>
      </c>
      <c r="H1389" s="134">
        <v>84</v>
      </c>
      <c r="I1389" s="200">
        <v>0.34011453204300002</v>
      </c>
      <c r="J1389" s="134">
        <v>567</v>
      </c>
      <c r="K1389" s="134">
        <v>1667.0854861600001</v>
      </c>
      <c r="L1389" s="42">
        <v>0.95413490326299999</v>
      </c>
      <c r="M1389" s="42">
        <v>0.31578947368400001</v>
      </c>
      <c r="N1389" s="134">
        <v>0</v>
      </c>
      <c r="O1389" s="43" t="s">
        <v>665</v>
      </c>
      <c r="P1389" s="43">
        <f t="shared" si="299"/>
        <v>17.601152214788581</v>
      </c>
      <c r="Q1389" s="43">
        <f t="shared" si="300"/>
        <v>1.4156205E-2</v>
      </c>
      <c r="R1389" s="43">
        <f t="shared" si="301"/>
        <v>9.4262879999999997E-3</v>
      </c>
      <c r="S1389" s="43">
        <f t="shared" si="302"/>
        <v>0.95413490300000003</v>
      </c>
      <c r="T1389" s="43">
        <f t="shared" si="303"/>
        <v>5.8482697430000004</v>
      </c>
      <c r="U1389" s="43">
        <f t="shared" si="304"/>
        <v>15.651366489999999</v>
      </c>
      <c r="V1389" s="43">
        <f t="shared" si="305"/>
        <v>1.2742459999999999E-3</v>
      </c>
      <c r="W1389" s="230">
        <f t="shared" si="306"/>
        <v>3.9784793996885177E-2</v>
      </c>
      <c r="X1389" s="43">
        <f t="shared" si="307"/>
        <v>0.92988815000000002</v>
      </c>
      <c r="Y1389" s="43">
        <v>41.487899300000002</v>
      </c>
      <c r="Z1389" s="43">
        <f t="shared" si="296"/>
        <v>0</v>
      </c>
      <c r="AA1389" s="43">
        <f t="shared" si="297"/>
        <v>13472</v>
      </c>
      <c r="AB1389" s="43">
        <f t="shared" si="298"/>
        <v>4542</v>
      </c>
      <c r="AC1389" s="43">
        <f t="shared" si="308"/>
        <v>1.0052801043478261E-2</v>
      </c>
      <c r="AD1389" s="43">
        <f t="shared" si="309"/>
        <v>0.93066974565384641</v>
      </c>
      <c r="AF1389" s="43">
        <v>17.601152214788581</v>
      </c>
      <c r="AG1389" s="43">
        <v>1.4156205E-2</v>
      </c>
      <c r="AH1389" s="43">
        <v>9.4262879999999997E-3</v>
      </c>
      <c r="AI1389" s="43">
        <v>0.95413490300000003</v>
      </c>
      <c r="AJ1389" s="43">
        <v>5.8482697430000004</v>
      </c>
      <c r="AK1389" s="43">
        <v>15.651366489999999</v>
      </c>
      <c r="AL1389" s="43">
        <v>1.2742459999999999E-3</v>
      </c>
      <c r="AM1389" s="230">
        <v>3.9784793996885177E-2</v>
      </c>
      <c r="AN1389" s="43">
        <v>0.92988815000000002</v>
      </c>
    </row>
    <row r="1390" spans="1:40" x14ac:dyDescent="0.25">
      <c r="A1390" s="134">
        <v>1380</v>
      </c>
      <c r="B1390" s="134" t="s">
        <v>199</v>
      </c>
      <c r="C1390" s="134" t="s">
        <v>61</v>
      </c>
      <c r="D1390" s="134" t="s">
        <v>197</v>
      </c>
      <c r="E1390" s="134">
        <v>185</v>
      </c>
      <c r="F1390" s="134">
        <v>544</v>
      </c>
      <c r="G1390" s="134">
        <v>2798</v>
      </c>
      <c r="H1390" s="134">
        <v>139</v>
      </c>
      <c r="I1390" s="200">
        <v>4.4096601554000001</v>
      </c>
      <c r="J1390" s="134">
        <v>683</v>
      </c>
      <c r="K1390" s="134">
        <v>154.887219407</v>
      </c>
      <c r="L1390" s="42">
        <v>0.96193694042</v>
      </c>
      <c r="M1390" s="42">
        <v>0.42901234567899998</v>
      </c>
      <c r="N1390" s="134">
        <v>0</v>
      </c>
      <c r="O1390" s="43" t="s">
        <v>665</v>
      </c>
      <c r="P1390" s="43">
        <f t="shared" si="299"/>
        <v>18.910598691543804</v>
      </c>
      <c r="Q1390" s="43">
        <f t="shared" si="300"/>
        <v>9.7573799999999995E-3</v>
      </c>
      <c r="R1390" s="43">
        <f t="shared" si="301"/>
        <v>3.77306E-3</v>
      </c>
      <c r="S1390" s="43">
        <f t="shared" si="302"/>
        <v>0.96193693999999996</v>
      </c>
      <c r="T1390" s="43">
        <f t="shared" si="303"/>
        <v>9.7790339159999995</v>
      </c>
      <c r="U1390" s="43">
        <f t="shared" si="304"/>
        <v>18.285650369999999</v>
      </c>
      <c r="V1390" s="43">
        <f t="shared" si="305"/>
        <v>3.2731600000000002E-4</v>
      </c>
      <c r="W1390" s="230">
        <f t="shared" si="306"/>
        <v>2.5152957171991841E-2</v>
      </c>
      <c r="X1390" s="43">
        <f t="shared" si="307"/>
        <v>0.95138102099999999</v>
      </c>
      <c r="Y1390" s="43">
        <v>2.9016675319999998</v>
      </c>
      <c r="Z1390" s="43">
        <f t="shared" si="296"/>
        <v>0</v>
      </c>
      <c r="AA1390" s="43">
        <f t="shared" si="297"/>
        <v>13472</v>
      </c>
      <c r="AB1390" s="43">
        <f t="shared" si="298"/>
        <v>4542</v>
      </c>
      <c r="AC1390" s="43">
        <f t="shared" si="308"/>
        <v>1.0052801043478261E-2</v>
      </c>
      <c r="AD1390" s="43">
        <f t="shared" si="309"/>
        <v>0.93066974565384641</v>
      </c>
      <c r="AF1390" s="43">
        <v>18.910598691543804</v>
      </c>
      <c r="AG1390" s="43">
        <v>9.7573799999999995E-3</v>
      </c>
      <c r="AH1390" s="43">
        <v>3.77306E-3</v>
      </c>
      <c r="AI1390" s="43">
        <v>0.96193693999999996</v>
      </c>
      <c r="AJ1390" s="43">
        <v>9.7790339159999995</v>
      </c>
      <c r="AK1390" s="43">
        <v>18.285650369999999</v>
      </c>
      <c r="AL1390" s="43">
        <v>3.2731600000000002E-4</v>
      </c>
      <c r="AM1390" s="230">
        <v>2.5152957171991841E-2</v>
      </c>
      <c r="AN1390" s="43">
        <v>0.95138102099999999</v>
      </c>
    </row>
    <row r="1391" spans="1:40" x14ac:dyDescent="0.25">
      <c r="A1391" s="134">
        <v>1381</v>
      </c>
      <c r="B1391" s="134" t="s">
        <v>199</v>
      </c>
      <c r="C1391" s="134" t="s">
        <v>61</v>
      </c>
      <c r="D1391" s="134" t="s">
        <v>197</v>
      </c>
      <c r="E1391" s="134">
        <v>62</v>
      </c>
      <c r="F1391" s="134">
        <v>181</v>
      </c>
      <c r="G1391" s="134">
        <v>4809</v>
      </c>
      <c r="H1391" s="134">
        <v>423</v>
      </c>
      <c r="I1391" s="200">
        <v>7.5802563432300003</v>
      </c>
      <c r="J1391" s="134">
        <v>604</v>
      </c>
      <c r="K1391" s="134">
        <v>79.680682638099995</v>
      </c>
      <c r="L1391" s="42">
        <v>0.98046844235800001</v>
      </c>
      <c r="M1391" s="42">
        <v>0.87216494845400006</v>
      </c>
      <c r="N1391" s="134">
        <v>0</v>
      </c>
      <c r="O1391" s="43" t="s">
        <v>665</v>
      </c>
      <c r="P1391" s="43">
        <f t="shared" si="299"/>
        <v>20.453114837506625</v>
      </c>
      <c r="Q1391" s="43">
        <f t="shared" si="300"/>
        <v>3.4731520000000002E-3</v>
      </c>
      <c r="R1391" s="43">
        <f t="shared" si="301"/>
        <v>1.4176130000000001E-3</v>
      </c>
      <c r="S1391" s="43">
        <f t="shared" si="302"/>
        <v>0.98046844200000005</v>
      </c>
      <c r="T1391" s="43">
        <f t="shared" si="303"/>
        <v>14.93181818</v>
      </c>
      <c r="U1391" s="43">
        <f t="shared" si="304"/>
        <v>18.296284849999999</v>
      </c>
      <c r="V1391" s="43">
        <f t="shared" si="305"/>
        <v>4.2514199999999999E-4</v>
      </c>
      <c r="W1391" s="230">
        <f t="shared" si="306"/>
        <v>7.2945335749927268E-3</v>
      </c>
      <c r="X1391" s="43">
        <f t="shared" si="307"/>
        <v>0.97225392099999997</v>
      </c>
      <c r="Y1391" s="43">
        <v>2.5104244260000002</v>
      </c>
      <c r="Z1391" s="43">
        <f t="shared" si="296"/>
        <v>0</v>
      </c>
      <c r="AA1391" s="43">
        <f t="shared" si="297"/>
        <v>13472</v>
      </c>
      <c r="AB1391" s="43">
        <f t="shared" si="298"/>
        <v>4542</v>
      </c>
      <c r="AC1391" s="43">
        <f t="shared" si="308"/>
        <v>1.0052801043478261E-2</v>
      </c>
      <c r="AD1391" s="43">
        <f t="shared" si="309"/>
        <v>0.93066974565384641</v>
      </c>
      <c r="AF1391" s="43">
        <v>20.453114837506625</v>
      </c>
      <c r="AG1391" s="43">
        <v>3.4731520000000002E-3</v>
      </c>
      <c r="AH1391" s="43">
        <v>1.4176130000000001E-3</v>
      </c>
      <c r="AI1391" s="43">
        <v>0.98046844200000005</v>
      </c>
      <c r="AJ1391" s="43">
        <v>14.93181818</v>
      </c>
      <c r="AK1391" s="43">
        <v>18.296284849999999</v>
      </c>
      <c r="AL1391" s="43">
        <v>4.2514199999999999E-4</v>
      </c>
      <c r="AM1391" s="230">
        <v>7.2945335749927268E-3</v>
      </c>
      <c r="AN1391" s="43">
        <v>0.97225392099999997</v>
      </c>
    </row>
    <row r="1392" spans="1:40" x14ac:dyDescent="0.25">
      <c r="A1392" s="134">
        <v>1382</v>
      </c>
      <c r="B1392" s="134" t="s">
        <v>199</v>
      </c>
      <c r="C1392" s="134" t="s">
        <v>61</v>
      </c>
      <c r="D1392" s="134" t="s">
        <v>197</v>
      </c>
      <c r="E1392" s="134">
        <v>331</v>
      </c>
      <c r="F1392" s="134">
        <v>974</v>
      </c>
      <c r="G1392" s="134">
        <v>382</v>
      </c>
      <c r="H1392" s="134">
        <v>30</v>
      </c>
      <c r="I1392" s="200">
        <v>0.60219598897299997</v>
      </c>
      <c r="J1392" s="134">
        <v>1004</v>
      </c>
      <c r="K1392" s="134">
        <v>1667.23129743</v>
      </c>
      <c r="L1392" s="42">
        <v>0.95685208120200005</v>
      </c>
      <c r="M1392" s="42">
        <v>8.3102493074799999E-2</v>
      </c>
      <c r="N1392" s="134">
        <v>0</v>
      </c>
      <c r="O1392" s="43" t="s">
        <v>665</v>
      </c>
      <c r="P1392" s="43">
        <f t="shared" si="299"/>
        <v>16.948257401077608</v>
      </c>
      <c r="Q1392" s="43">
        <f t="shared" si="300"/>
        <v>1.7274245000000001E-2</v>
      </c>
      <c r="R1392" s="43">
        <f t="shared" si="301"/>
        <v>1.1092563999999999E-2</v>
      </c>
      <c r="S1392" s="43">
        <f t="shared" si="302"/>
        <v>0.95685208099999997</v>
      </c>
      <c r="T1392" s="43">
        <f t="shared" si="303"/>
        <v>5.8927875240000001</v>
      </c>
      <c r="U1392" s="43">
        <f t="shared" si="304"/>
        <v>14.60063519</v>
      </c>
      <c r="V1392" s="43">
        <f t="shared" si="305"/>
        <v>4.6033100000000002E-4</v>
      </c>
      <c r="W1392" s="230">
        <f t="shared" si="306"/>
        <v>5.5279801457049076E-2</v>
      </c>
      <c r="X1392" s="43">
        <f t="shared" si="307"/>
        <v>0.92548635000000001</v>
      </c>
      <c r="Y1392" s="43">
        <v>25.419712449999999</v>
      </c>
      <c r="Z1392" s="43">
        <f t="shared" si="296"/>
        <v>0</v>
      </c>
      <c r="AA1392" s="43">
        <f t="shared" si="297"/>
        <v>13472</v>
      </c>
      <c r="AB1392" s="43">
        <f t="shared" si="298"/>
        <v>4542</v>
      </c>
      <c r="AC1392" s="43">
        <f t="shared" si="308"/>
        <v>1.0052801043478261E-2</v>
      </c>
      <c r="AD1392" s="43">
        <f t="shared" si="309"/>
        <v>0.93066974565384641</v>
      </c>
      <c r="AF1392" s="43">
        <v>16.948257401077608</v>
      </c>
      <c r="AG1392" s="43">
        <v>1.7274245000000001E-2</v>
      </c>
      <c r="AH1392" s="43">
        <v>1.1092563999999999E-2</v>
      </c>
      <c r="AI1392" s="43">
        <v>0.95685208099999997</v>
      </c>
      <c r="AJ1392" s="43">
        <v>5.8927875240000001</v>
      </c>
      <c r="AK1392" s="43">
        <v>14.60063519</v>
      </c>
      <c r="AL1392" s="43">
        <v>4.6033100000000002E-4</v>
      </c>
      <c r="AM1392" s="230">
        <v>5.5279801457049076E-2</v>
      </c>
      <c r="AN1392" s="43">
        <v>0.92548635000000001</v>
      </c>
    </row>
    <row r="1393" spans="1:40" x14ac:dyDescent="0.25">
      <c r="A1393" s="134">
        <v>1383</v>
      </c>
      <c r="B1393" s="134" t="s">
        <v>199</v>
      </c>
      <c r="C1393" s="134" t="s">
        <v>61</v>
      </c>
      <c r="D1393" s="134" t="s">
        <v>197</v>
      </c>
      <c r="E1393" s="134">
        <v>76</v>
      </c>
      <c r="F1393" s="134">
        <v>225</v>
      </c>
      <c r="G1393" s="134">
        <v>497</v>
      </c>
      <c r="H1393" s="134">
        <v>13</v>
      </c>
      <c r="I1393" s="200">
        <v>0.78223563603900004</v>
      </c>
      <c r="J1393" s="134">
        <v>238</v>
      </c>
      <c r="K1393" s="134">
        <v>304.25614614699998</v>
      </c>
      <c r="L1393" s="42">
        <v>0.940357407117</v>
      </c>
      <c r="M1393" s="42">
        <v>0.14606741573000001</v>
      </c>
      <c r="N1393" s="134">
        <v>0</v>
      </c>
      <c r="O1393" s="43" t="s">
        <v>665</v>
      </c>
      <c r="P1393" s="43">
        <f t="shared" si="299"/>
        <v>16.665009701202951</v>
      </c>
      <c r="Q1393" s="43">
        <f t="shared" si="300"/>
        <v>1.3296262E-2</v>
      </c>
      <c r="R1393" s="43">
        <f t="shared" si="301"/>
        <v>1.0157177999999999E-2</v>
      </c>
      <c r="S1393" s="43">
        <f t="shared" si="302"/>
        <v>0.94035740700000003</v>
      </c>
      <c r="T1393" s="43">
        <f t="shared" si="303"/>
        <v>5.5153846150000003</v>
      </c>
      <c r="U1393" s="43">
        <f t="shared" si="304"/>
        <v>13.910037770000001</v>
      </c>
      <c r="V1393" s="43">
        <f t="shared" si="305"/>
        <v>8.2284200000000001E-5</v>
      </c>
      <c r="W1393" s="230">
        <f t="shared" si="306"/>
        <v>4.2787789023286435E-2</v>
      </c>
      <c r="X1393" s="43">
        <f t="shared" si="307"/>
        <v>0.89122027500000001</v>
      </c>
      <c r="Y1393" s="43">
        <v>4.377995984</v>
      </c>
      <c r="Z1393" s="43">
        <f t="shared" si="296"/>
        <v>0</v>
      </c>
      <c r="AA1393" s="43">
        <f t="shared" si="297"/>
        <v>13472</v>
      </c>
      <c r="AB1393" s="43">
        <f t="shared" si="298"/>
        <v>4542</v>
      </c>
      <c r="AC1393" s="43">
        <f t="shared" si="308"/>
        <v>1.0052801043478261E-2</v>
      </c>
      <c r="AD1393" s="43">
        <f t="shared" si="309"/>
        <v>0.93066974565384641</v>
      </c>
      <c r="AF1393" s="43">
        <v>16.665009701202951</v>
      </c>
      <c r="AG1393" s="43">
        <v>1.3296262E-2</v>
      </c>
      <c r="AH1393" s="43">
        <v>1.0157177999999999E-2</v>
      </c>
      <c r="AI1393" s="43">
        <v>0.94035740700000003</v>
      </c>
      <c r="AJ1393" s="43">
        <v>5.5153846150000003</v>
      </c>
      <c r="AK1393" s="43">
        <v>13.910037770000001</v>
      </c>
      <c r="AL1393" s="201">
        <v>8.2284200000000001E-5</v>
      </c>
      <c r="AM1393" s="230">
        <v>4.2787789023286435E-2</v>
      </c>
      <c r="AN1393" s="43">
        <v>0.89122027500000001</v>
      </c>
    </row>
    <row r="1394" spans="1:40" x14ac:dyDescent="0.25">
      <c r="A1394" s="134">
        <v>1384</v>
      </c>
      <c r="B1394" s="134" t="s">
        <v>199</v>
      </c>
      <c r="C1394" s="134" t="s">
        <v>61</v>
      </c>
      <c r="D1394" s="134" t="s">
        <v>197</v>
      </c>
      <c r="E1394" s="134">
        <v>1031</v>
      </c>
      <c r="F1394" s="134">
        <v>3039</v>
      </c>
      <c r="G1394" s="134">
        <v>634</v>
      </c>
      <c r="H1394" s="134">
        <v>149</v>
      </c>
      <c r="I1394" s="200">
        <v>0.999697391687</v>
      </c>
      <c r="J1394" s="134">
        <v>3188</v>
      </c>
      <c r="K1394" s="134">
        <v>3188.96500732</v>
      </c>
      <c r="L1394" s="42">
        <v>0.93024370715600002</v>
      </c>
      <c r="M1394" s="42">
        <v>0.12627118644099999</v>
      </c>
      <c r="N1394" s="134">
        <v>0</v>
      </c>
      <c r="O1394" s="43" t="s">
        <v>665</v>
      </c>
      <c r="P1394" s="43">
        <f t="shared" si="299"/>
        <v>17.393135587670567</v>
      </c>
      <c r="Q1394" s="43">
        <f t="shared" si="300"/>
        <v>1.8182897E-2</v>
      </c>
      <c r="R1394" s="43">
        <f t="shared" si="301"/>
        <v>1.1240546000000001E-2</v>
      </c>
      <c r="S1394" s="43">
        <f t="shared" si="302"/>
        <v>0.93024370700000003</v>
      </c>
      <c r="T1394" s="43">
        <f t="shared" si="303"/>
        <v>5.312100976</v>
      </c>
      <c r="U1394" s="43">
        <f t="shared" si="304"/>
        <v>14.37506964</v>
      </c>
      <c r="V1394" s="43">
        <f t="shared" si="305"/>
        <v>1.562414E-3</v>
      </c>
      <c r="W1394" s="230">
        <f t="shared" si="306"/>
        <v>5.8401332934592216E-2</v>
      </c>
      <c r="X1394" s="43">
        <f t="shared" si="307"/>
        <v>0.93440301699999995</v>
      </c>
      <c r="Y1394" s="43">
        <v>18.79771444</v>
      </c>
      <c r="Z1394" s="43">
        <f t="shared" si="296"/>
        <v>0</v>
      </c>
      <c r="AA1394" s="43">
        <f t="shared" si="297"/>
        <v>13472</v>
      </c>
      <c r="AB1394" s="43">
        <f t="shared" si="298"/>
        <v>4542</v>
      </c>
      <c r="AC1394" s="43">
        <f t="shared" si="308"/>
        <v>1.0052801043478261E-2</v>
      </c>
      <c r="AD1394" s="43">
        <f t="shared" si="309"/>
        <v>0.93066974565384641</v>
      </c>
      <c r="AF1394" s="43">
        <v>17.393135587670567</v>
      </c>
      <c r="AG1394" s="43">
        <v>1.8182897E-2</v>
      </c>
      <c r="AH1394" s="43">
        <v>1.1240546000000001E-2</v>
      </c>
      <c r="AI1394" s="43">
        <v>0.93024370700000003</v>
      </c>
      <c r="AJ1394" s="43">
        <v>5.312100976</v>
      </c>
      <c r="AK1394" s="43">
        <v>14.37506964</v>
      </c>
      <c r="AL1394" s="43">
        <v>1.562414E-3</v>
      </c>
      <c r="AM1394" s="230">
        <v>5.8401332934592216E-2</v>
      </c>
      <c r="AN1394" s="43">
        <v>0.93440301699999995</v>
      </c>
    </row>
    <row r="1395" spans="1:40" x14ac:dyDescent="0.25">
      <c r="A1395" s="134">
        <v>1385</v>
      </c>
      <c r="B1395" s="134" t="s">
        <v>199</v>
      </c>
      <c r="C1395" s="134" t="s">
        <v>205</v>
      </c>
      <c r="D1395" s="134" t="s">
        <v>62</v>
      </c>
      <c r="E1395" s="134">
        <v>102</v>
      </c>
      <c r="F1395" s="134">
        <v>319</v>
      </c>
      <c r="G1395" s="134">
        <v>53525</v>
      </c>
      <c r="H1395" s="134">
        <v>1021</v>
      </c>
      <c r="I1395" s="200">
        <v>83.639625164400002</v>
      </c>
      <c r="J1395" s="134">
        <v>1340</v>
      </c>
      <c r="K1395" s="134">
        <v>16.021114362599999</v>
      </c>
      <c r="L1395" s="42">
        <v>0.96246316048000002</v>
      </c>
      <c r="M1395" s="42">
        <v>0.90917186108600001</v>
      </c>
      <c r="N1395" s="134">
        <v>0</v>
      </c>
      <c r="O1395" s="43" t="s">
        <v>665</v>
      </c>
      <c r="P1395" s="43">
        <f t="shared" si="299"/>
        <v>23.627996098423075</v>
      </c>
      <c r="Q1395" s="43">
        <f t="shared" si="300"/>
        <v>5.2057750000000002E-3</v>
      </c>
      <c r="R1395" s="43">
        <f t="shared" si="301"/>
        <v>1.004315E-3</v>
      </c>
      <c r="S1395" s="43">
        <f t="shared" si="302"/>
        <v>0.96246315999999998</v>
      </c>
      <c r="T1395" s="43">
        <f t="shared" si="303"/>
        <v>3.9891067539999998</v>
      </c>
      <c r="U1395" s="43">
        <f t="shared" si="304"/>
        <v>20.01335332</v>
      </c>
      <c r="V1395" s="43">
        <f t="shared" si="305"/>
        <v>3.3991300000000001E-5</v>
      </c>
      <c r="W1395" s="230">
        <f t="shared" si="306"/>
        <v>1.2508781073670374E-2</v>
      </c>
      <c r="X1395" s="43">
        <f t="shared" si="307"/>
        <v>0.977645086</v>
      </c>
      <c r="Y1395" s="43">
        <v>0.735108914</v>
      </c>
      <c r="Z1395" s="43">
        <f t="shared" si="296"/>
        <v>0</v>
      </c>
      <c r="AA1395" s="43">
        <f t="shared" si="297"/>
        <v>13472</v>
      </c>
      <c r="AB1395" s="43">
        <f t="shared" si="298"/>
        <v>4542</v>
      </c>
      <c r="AC1395" s="43">
        <f t="shared" si="308"/>
        <v>1.0052801043478261E-2</v>
      </c>
      <c r="AD1395" s="43">
        <f t="shared" si="309"/>
        <v>0.93066974565384641</v>
      </c>
      <c r="AF1395" s="43">
        <v>23.627996098423075</v>
      </c>
      <c r="AG1395" s="43">
        <v>5.2057750000000002E-3</v>
      </c>
      <c r="AH1395" s="43">
        <v>1.004315E-3</v>
      </c>
      <c r="AI1395" s="43">
        <v>0.96246315999999998</v>
      </c>
      <c r="AJ1395" s="43">
        <v>3.9891067539999998</v>
      </c>
      <c r="AK1395" s="43">
        <v>20.01335332</v>
      </c>
      <c r="AL1395" s="201">
        <v>3.3991300000000001E-5</v>
      </c>
      <c r="AM1395" s="230">
        <v>1.2508781073670374E-2</v>
      </c>
      <c r="AN1395" s="43">
        <v>0.977645086</v>
      </c>
    </row>
    <row r="1396" spans="1:40" x14ac:dyDescent="0.25">
      <c r="A1396" s="134">
        <v>1386</v>
      </c>
      <c r="B1396" s="134" t="s">
        <v>199</v>
      </c>
      <c r="C1396" s="134" t="s">
        <v>205</v>
      </c>
      <c r="D1396" s="134" t="s">
        <v>62</v>
      </c>
      <c r="E1396" s="134">
        <v>185</v>
      </c>
      <c r="F1396" s="134">
        <v>499</v>
      </c>
      <c r="G1396" s="134">
        <v>7047</v>
      </c>
      <c r="H1396" s="134">
        <v>178</v>
      </c>
      <c r="I1396" s="200">
        <v>11.2411357973</v>
      </c>
      <c r="J1396" s="134">
        <v>677</v>
      </c>
      <c r="K1396" s="134">
        <v>60.225230991399997</v>
      </c>
      <c r="L1396" s="42">
        <v>0.94491172733999995</v>
      </c>
      <c r="M1396" s="42">
        <v>0.49035812672200002</v>
      </c>
      <c r="N1396" s="134">
        <v>0</v>
      </c>
      <c r="O1396" s="43" t="s">
        <v>665</v>
      </c>
      <c r="P1396" s="43">
        <f t="shared" si="299"/>
        <v>23.272307104443364</v>
      </c>
      <c r="Q1396" s="43">
        <f t="shared" si="300"/>
        <v>1.8143718999999999E-2</v>
      </c>
      <c r="R1396" s="43">
        <f t="shared" si="301"/>
        <v>4.636322E-3</v>
      </c>
      <c r="S1396" s="43">
        <f t="shared" si="302"/>
        <v>0.94491172700000003</v>
      </c>
      <c r="T1396" s="43">
        <f t="shared" si="303"/>
        <v>3.6828504309999999</v>
      </c>
      <c r="U1396" s="43">
        <f t="shared" si="304"/>
        <v>22.012054939999999</v>
      </c>
      <c r="V1396" s="43">
        <f t="shared" si="305"/>
        <v>8.6155195454545451E-4</v>
      </c>
      <c r="W1396" s="230">
        <f t="shared" si="306"/>
        <v>5.1802416453717713E-2</v>
      </c>
      <c r="X1396" s="43">
        <f t="shared" si="307"/>
        <v>0.924082666</v>
      </c>
      <c r="Y1396" s="43">
        <v>3.731598983</v>
      </c>
      <c r="Z1396" s="43">
        <f t="shared" si="296"/>
        <v>0</v>
      </c>
      <c r="AA1396" s="43">
        <f t="shared" si="297"/>
        <v>13472</v>
      </c>
      <c r="AB1396" s="43">
        <f t="shared" si="298"/>
        <v>4542</v>
      </c>
      <c r="AC1396" s="43">
        <f t="shared" si="308"/>
        <v>1.0052801043478261E-2</v>
      </c>
      <c r="AD1396" s="43">
        <f t="shared" si="309"/>
        <v>0.93066974565384641</v>
      </c>
      <c r="AF1396" s="43">
        <v>23.272307104443364</v>
      </c>
      <c r="AG1396" s="43">
        <v>1.8143718999999999E-2</v>
      </c>
      <c r="AH1396" s="43">
        <v>4.636322E-3</v>
      </c>
      <c r="AI1396" s="43">
        <v>0.94491172700000003</v>
      </c>
      <c r="AJ1396" s="43">
        <v>3.6828504309999999</v>
      </c>
      <c r="AK1396" s="43">
        <v>22.012054939999999</v>
      </c>
      <c r="AL1396" s="43">
        <v>0</v>
      </c>
      <c r="AM1396" s="230">
        <v>5.1802416453717713E-2</v>
      </c>
      <c r="AN1396" s="43">
        <v>0.924082666</v>
      </c>
    </row>
    <row r="1397" spans="1:40" x14ac:dyDescent="0.25">
      <c r="A1397" s="134">
        <v>1387</v>
      </c>
      <c r="B1397" s="134" t="s">
        <v>199</v>
      </c>
      <c r="C1397" s="134" t="s">
        <v>205</v>
      </c>
      <c r="D1397" s="134" t="s">
        <v>62</v>
      </c>
      <c r="E1397" s="134">
        <v>0</v>
      </c>
      <c r="F1397" s="134">
        <v>0</v>
      </c>
      <c r="G1397" s="134">
        <v>839</v>
      </c>
      <c r="H1397" s="134">
        <v>238</v>
      </c>
      <c r="I1397" s="200">
        <v>1.38650296192</v>
      </c>
      <c r="J1397" s="134">
        <v>238</v>
      </c>
      <c r="K1397" s="134">
        <v>171.65488032600001</v>
      </c>
      <c r="L1397" s="42">
        <v>0.974720677516</v>
      </c>
      <c r="M1397" s="42">
        <v>1</v>
      </c>
      <c r="N1397" s="134">
        <v>0</v>
      </c>
      <c r="O1397" s="43" t="s">
        <v>665</v>
      </c>
      <c r="P1397" s="43">
        <f t="shared" si="299"/>
        <v>20.491819378203477</v>
      </c>
      <c r="Q1397" s="43">
        <f t="shared" si="300"/>
        <v>1.0052801043478259E-2</v>
      </c>
      <c r="R1397" s="43">
        <f t="shared" si="301"/>
        <v>1.2499360000000001E-3</v>
      </c>
      <c r="S1397" s="43">
        <f t="shared" si="302"/>
        <v>0.97472067799999995</v>
      </c>
      <c r="T1397" s="43">
        <f t="shared" si="303"/>
        <v>10.88785047</v>
      </c>
      <c r="U1397" s="43">
        <f t="shared" si="304"/>
        <v>16.242083730000001</v>
      </c>
      <c r="V1397" s="43">
        <f t="shared" si="305"/>
        <v>7.4365999999999999E-5</v>
      </c>
      <c r="W1397" s="230">
        <f t="shared" si="306"/>
        <v>2.9007141065415357E-2</v>
      </c>
      <c r="X1397" s="43">
        <f t="shared" si="307"/>
        <v>0.95337249899999998</v>
      </c>
      <c r="Y1397" s="43">
        <v>14.720734719999999</v>
      </c>
      <c r="Z1397" s="43">
        <f t="shared" si="296"/>
        <v>0</v>
      </c>
      <c r="AA1397" s="43">
        <f t="shared" si="297"/>
        <v>13472</v>
      </c>
      <c r="AB1397" s="43">
        <f t="shared" si="298"/>
        <v>4542</v>
      </c>
      <c r="AC1397" s="43">
        <f t="shared" si="308"/>
        <v>1.0052801043478261E-2</v>
      </c>
      <c r="AD1397" s="43">
        <f t="shared" si="309"/>
        <v>0.93066974565384641</v>
      </c>
      <c r="AF1397" s="43">
        <v>20.491819378203477</v>
      </c>
      <c r="AG1397" s="43">
        <v>0</v>
      </c>
      <c r="AH1397" s="43">
        <v>1.2499360000000001E-3</v>
      </c>
      <c r="AI1397" s="43">
        <v>0.97472067799999995</v>
      </c>
      <c r="AJ1397" s="43">
        <v>10.88785047</v>
      </c>
      <c r="AK1397" s="43">
        <v>16.242083730000001</v>
      </c>
      <c r="AL1397" s="201">
        <v>7.4365999999999999E-5</v>
      </c>
      <c r="AM1397" s="230">
        <v>0</v>
      </c>
      <c r="AN1397" s="43">
        <v>0.95337249899999998</v>
      </c>
    </row>
    <row r="1398" spans="1:40" x14ac:dyDescent="0.25">
      <c r="A1398" s="134">
        <v>1388</v>
      </c>
      <c r="B1398" s="134" t="s">
        <v>199</v>
      </c>
      <c r="C1398" s="134" t="s">
        <v>205</v>
      </c>
      <c r="D1398" s="134" t="s">
        <v>62</v>
      </c>
      <c r="E1398" s="134">
        <v>11</v>
      </c>
      <c r="F1398" s="134">
        <v>31</v>
      </c>
      <c r="G1398" s="134">
        <v>383</v>
      </c>
      <c r="H1398" s="134">
        <v>0</v>
      </c>
      <c r="I1398" s="200">
        <v>0.79259032268899998</v>
      </c>
      <c r="J1398" s="134">
        <v>31</v>
      </c>
      <c r="K1398" s="134">
        <v>39.112261546200003</v>
      </c>
      <c r="L1398" s="42">
        <v>0.88508227677399998</v>
      </c>
      <c r="M1398" s="42">
        <v>0</v>
      </c>
      <c r="N1398" s="134">
        <v>0</v>
      </c>
      <c r="O1398" s="43" t="s">
        <v>665</v>
      </c>
      <c r="P1398" s="43">
        <f t="shared" si="299"/>
        <v>20.072904898839479</v>
      </c>
      <c r="Q1398" s="43">
        <f t="shared" si="300"/>
        <v>1.3757755999999999E-2</v>
      </c>
      <c r="R1398" s="43">
        <f t="shared" si="301"/>
        <v>4.5859189999999999E-3</v>
      </c>
      <c r="S1398" s="43">
        <f t="shared" si="302"/>
        <v>0.88508227699999997</v>
      </c>
      <c r="T1398" s="43">
        <f t="shared" si="303"/>
        <v>9.4545454549999999</v>
      </c>
      <c r="U1398" s="43">
        <f t="shared" si="304"/>
        <v>16.840296240000001</v>
      </c>
      <c r="V1398" s="43">
        <f t="shared" si="305"/>
        <v>8.6155195454545451E-4</v>
      </c>
      <c r="W1398" s="230">
        <f t="shared" si="306"/>
        <v>4.2810098792535681E-2</v>
      </c>
      <c r="X1398" s="43">
        <f t="shared" si="307"/>
        <v>0.72777167899999995</v>
      </c>
      <c r="Y1398" s="43">
        <v>12.881869719999999</v>
      </c>
      <c r="Z1398" s="43">
        <f t="shared" si="296"/>
        <v>0</v>
      </c>
      <c r="AA1398" s="43">
        <f t="shared" si="297"/>
        <v>13472</v>
      </c>
      <c r="AB1398" s="43">
        <f t="shared" si="298"/>
        <v>4542</v>
      </c>
      <c r="AC1398" s="43">
        <f t="shared" si="308"/>
        <v>1.0052801043478261E-2</v>
      </c>
      <c r="AD1398" s="43">
        <f t="shared" si="309"/>
        <v>0.93066974565384641</v>
      </c>
      <c r="AF1398" s="43">
        <v>20.072904898839479</v>
      </c>
      <c r="AG1398" s="43">
        <v>1.3757755999999999E-2</v>
      </c>
      <c r="AH1398" s="43">
        <v>4.5859189999999999E-3</v>
      </c>
      <c r="AI1398" s="43">
        <v>0.88508227699999997</v>
      </c>
      <c r="AJ1398" s="43">
        <v>9.4545454549999999</v>
      </c>
      <c r="AK1398" s="43">
        <v>16.840296240000001</v>
      </c>
      <c r="AL1398" s="43">
        <v>0</v>
      </c>
      <c r="AM1398" s="230">
        <v>4.2810098792535681E-2</v>
      </c>
      <c r="AN1398" s="43">
        <v>0.72777167899999995</v>
      </c>
    </row>
    <row r="1399" spans="1:40" x14ac:dyDescent="0.25">
      <c r="A1399" s="134">
        <v>1389</v>
      </c>
      <c r="B1399" s="134" t="s">
        <v>199</v>
      </c>
      <c r="C1399" s="134" t="s">
        <v>205</v>
      </c>
      <c r="D1399" s="134" t="s">
        <v>62</v>
      </c>
      <c r="E1399" s="134">
        <v>4</v>
      </c>
      <c r="F1399" s="134">
        <v>12</v>
      </c>
      <c r="G1399" s="134">
        <v>602</v>
      </c>
      <c r="H1399" s="134">
        <v>13</v>
      </c>
      <c r="I1399" s="200">
        <v>0.93708570150399995</v>
      </c>
      <c r="J1399" s="134">
        <v>25</v>
      </c>
      <c r="K1399" s="134">
        <v>26.678456367300001</v>
      </c>
      <c r="L1399" s="42">
        <v>0.93485868102299996</v>
      </c>
      <c r="M1399" s="42">
        <v>0.76470588235299997</v>
      </c>
      <c r="N1399" s="134">
        <v>0</v>
      </c>
      <c r="O1399" s="43" t="s">
        <v>665</v>
      </c>
      <c r="P1399" s="43">
        <f t="shared" si="299"/>
        <v>19.768227741668557</v>
      </c>
      <c r="Q1399" s="43">
        <f t="shared" si="300"/>
        <v>1.3458949999999999E-3</v>
      </c>
      <c r="R1399" s="43">
        <f t="shared" si="301"/>
        <v>6.4602959999999999E-3</v>
      </c>
      <c r="S1399" s="43">
        <f t="shared" si="302"/>
        <v>0.93485868100000002</v>
      </c>
      <c r="T1399" s="43">
        <f t="shared" si="303"/>
        <v>6.3</v>
      </c>
      <c r="U1399" s="43">
        <f t="shared" si="304"/>
        <v>12.392917130000001</v>
      </c>
      <c r="V1399" s="43">
        <f t="shared" si="305"/>
        <v>8.6155195454545451E-4</v>
      </c>
      <c r="W1399" s="230">
        <f t="shared" si="306"/>
        <v>6.1576354679802967E-3</v>
      </c>
      <c r="X1399" s="43">
        <f t="shared" si="307"/>
        <v>0.85837438399999999</v>
      </c>
      <c r="Y1399" s="43">
        <v>3.8092472229999998</v>
      </c>
      <c r="Z1399" s="43">
        <f t="shared" si="296"/>
        <v>0</v>
      </c>
      <c r="AA1399" s="43">
        <f t="shared" si="297"/>
        <v>13472</v>
      </c>
      <c r="AB1399" s="43">
        <f t="shared" si="298"/>
        <v>4542</v>
      </c>
      <c r="AC1399" s="43">
        <f t="shared" si="308"/>
        <v>1.0052801043478261E-2</v>
      </c>
      <c r="AD1399" s="43">
        <f t="shared" si="309"/>
        <v>0.93066974565384641</v>
      </c>
      <c r="AF1399" s="43">
        <v>19.768227741668557</v>
      </c>
      <c r="AG1399" s="43">
        <v>1.3458949999999999E-3</v>
      </c>
      <c r="AH1399" s="43">
        <v>6.4602959999999999E-3</v>
      </c>
      <c r="AI1399" s="43">
        <v>0.93485868100000002</v>
      </c>
      <c r="AJ1399" s="43">
        <v>6.3</v>
      </c>
      <c r="AK1399" s="43">
        <v>12.392917130000001</v>
      </c>
      <c r="AL1399" s="43">
        <v>0</v>
      </c>
      <c r="AM1399" s="230">
        <v>6.1576354679802967E-3</v>
      </c>
      <c r="AN1399" s="43">
        <v>0.85837438399999999</v>
      </c>
    </row>
    <row r="1400" spans="1:40" x14ac:dyDescent="0.25">
      <c r="A1400" s="134">
        <v>1390</v>
      </c>
      <c r="B1400" s="134" t="s">
        <v>199</v>
      </c>
      <c r="C1400" s="134" t="s">
        <v>205</v>
      </c>
      <c r="D1400" s="134" t="s">
        <v>62</v>
      </c>
      <c r="E1400" s="134">
        <v>15</v>
      </c>
      <c r="F1400" s="134">
        <v>45</v>
      </c>
      <c r="G1400" s="134">
        <v>2078</v>
      </c>
      <c r="H1400" s="134">
        <v>65</v>
      </c>
      <c r="I1400" s="200">
        <v>3.2323749803399999</v>
      </c>
      <c r="J1400" s="134">
        <v>110</v>
      </c>
      <c r="K1400" s="134">
        <v>34.030705183999999</v>
      </c>
      <c r="L1400" s="42">
        <v>0.96194432507299998</v>
      </c>
      <c r="M1400" s="42">
        <v>0.8125</v>
      </c>
      <c r="N1400" s="134">
        <v>0</v>
      </c>
      <c r="O1400" s="43" t="s">
        <v>665</v>
      </c>
      <c r="P1400" s="43">
        <f t="shared" si="299"/>
        <v>20.080350330058735</v>
      </c>
      <c r="Q1400" s="43">
        <f t="shared" si="300"/>
        <v>2.1009409999999998E-3</v>
      </c>
      <c r="R1400" s="43">
        <f t="shared" si="301"/>
        <v>2.005443E-3</v>
      </c>
      <c r="S1400" s="43">
        <f t="shared" si="302"/>
        <v>0.96194432500000004</v>
      </c>
      <c r="T1400" s="43">
        <f t="shared" si="303"/>
        <v>7.7802197800000004</v>
      </c>
      <c r="U1400" s="43">
        <f t="shared" si="304"/>
        <v>15.72063515</v>
      </c>
      <c r="V1400" s="43">
        <f t="shared" si="305"/>
        <v>8.6155195454545451E-4</v>
      </c>
      <c r="W1400" s="230">
        <f t="shared" si="306"/>
        <v>7.4101519081141171E-3</v>
      </c>
      <c r="X1400" s="43">
        <f t="shared" si="307"/>
        <v>0.91848832899999999</v>
      </c>
      <c r="Y1400" s="43">
        <v>3.8026150300000001</v>
      </c>
      <c r="Z1400" s="43">
        <f t="shared" si="296"/>
        <v>0</v>
      </c>
      <c r="AA1400" s="43">
        <f t="shared" si="297"/>
        <v>13472</v>
      </c>
      <c r="AB1400" s="43">
        <f t="shared" si="298"/>
        <v>4542</v>
      </c>
      <c r="AC1400" s="43">
        <f t="shared" si="308"/>
        <v>1.0052801043478261E-2</v>
      </c>
      <c r="AD1400" s="43">
        <f t="shared" si="309"/>
        <v>0.93066974565384641</v>
      </c>
      <c r="AF1400" s="43">
        <v>20.080350330058735</v>
      </c>
      <c r="AG1400" s="43">
        <v>2.1009409999999998E-3</v>
      </c>
      <c r="AH1400" s="43">
        <v>2.005443E-3</v>
      </c>
      <c r="AI1400" s="43">
        <v>0.96194432500000004</v>
      </c>
      <c r="AJ1400" s="43">
        <v>7.7802197800000004</v>
      </c>
      <c r="AK1400" s="43">
        <v>15.72063515</v>
      </c>
      <c r="AL1400" s="43">
        <v>0</v>
      </c>
      <c r="AM1400" s="230">
        <v>7.4101519081141171E-3</v>
      </c>
      <c r="AN1400" s="43">
        <v>0.91848832899999999</v>
      </c>
    </row>
    <row r="1401" spans="1:40" x14ac:dyDescent="0.25">
      <c r="A1401" s="134">
        <v>1391</v>
      </c>
      <c r="B1401" s="134" t="s">
        <v>199</v>
      </c>
      <c r="C1401" s="134" t="s">
        <v>205</v>
      </c>
      <c r="D1401" s="134" t="s">
        <v>62</v>
      </c>
      <c r="E1401" s="134">
        <v>4</v>
      </c>
      <c r="F1401" s="134">
        <v>12</v>
      </c>
      <c r="G1401" s="134">
        <v>891</v>
      </c>
      <c r="H1401" s="134">
        <v>17</v>
      </c>
      <c r="I1401" s="200">
        <v>1.3853558510899999</v>
      </c>
      <c r="J1401" s="134">
        <v>29</v>
      </c>
      <c r="K1401" s="134">
        <v>20.933249733</v>
      </c>
      <c r="L1401" s="42">
        <v>0.93741176470599996</v>
      </c>
      <c r="M1401" s="42">
        <v>0.80952380952400005</v>
      </c>
      <c r="N1401" s="134">
        <v>0</v>
      </c>
      <c r="O1401" s="43" t="s">
        <v>665</v>
      </c>
      <c r="P1401" s="43">
        <f t="shared" si="299"/>
        <v>16.479256715416344</v>
      </c>
      <c r="Q1401" s="43">
        <f t="shared" si="300"/>
        <v>9.4117599999999995E-4</v>
      </c>
      <c r="R1401" s="43">
        <f t="shared" si="301"/>
        <v>7.2941179999999996E-3</v>
      </c>
      <c r="S1401" s="43">
        <f t="shared" si="302"/>
        <v>0.93741176500000001</v>
      </c>
      <c r="T1401" s="43">
        <f t="shared" si="303"/>
        <v>5.5873015869999998</v>
      </c>
      <c r="U1401" s="43">
        <f t="shared" si="304"/>
        <v>9.2443078320000005</v>
      </c>
      <c r="V1401" s="43">
        <f t="shared" si="305"/>
        <v>8.6155195454545451E-4</v>
      </c>
      <c r="W1401" s="230">
        <f t="shared" si="306"/>
        <v>3.6036036036036037E-3</v>
      </c>
      <c r="X1401" s="43">
        <f t="shared" si="307"/>
        <v>0.83423423399999996</v>
      </c>
      <c r="Y1401" s="43">
        <v>3.874417974</v>
      </c>
      <c r="Z1401" s="43">
        <f t="shared" si="296"/>
        <v>0</v>
      </c>
      <c r="AA1401" s="43">
        <f t="shared" si="297"/>
        <v>13472</v>
      </c>
      <c r="AB1401" s="43">
        <f t="shared" si="298"/>
        <v>4542</v>
      </c>
      <c r="AC1401" s="43">
        <f t="shared" si="308"/>
        <v>1.0052801043478261E-2</v>
      </c>
      <c r="AD1401" s="43">
        <f t="shared" si="309"/>
        <v>0.93066974565384641</v>
      </c>
      <c r="AF1401" s="43">
        <v>16.479256715416344</v>
      </c>
      <c r="AG1401" s="43">
        <v>9.4117599999999995E-4</v>
      </c>
      <c r="AH1401" s="43">
        <v>7.2941179999999996E-3</v>
      </c>
      <c r="AI1401" s="43">
        <v>0.93741176500000001</v>
      </c>
      <c r="AJ1401" s="43">
        <v>5.5873015869999998</v>
      </c>
      <c r="AK1401" s="43">
        <v>9.2443078320000005</v>
      </c>
      <c r="AL1401" s="43">
        <v>0</v>
      </c>
      <c r="AM1401" s="230">
        <v>3.6036036036036037E-3</v>
      </c>
      <c r="AN1401" s="43">
        <v>0.83423423399999996</v>
      </c>
    </row>
    <row r="1402" spans="1:40" x14ac:dyDescent="0.25">
      <c r="A1402" s="134">
        <v>1392</v>
      </c>
      <c r="B1402" s="134" t="s">
        <v>199</v>
      </c>
      <c r="C1402" s="134" t="s">
        <v>205</v>
      </c>
      <c r="D1402" s="134" t="s">
        <v>62</v>
      </c>
      <c r="E1402" s="134">
        <v>6</v>
      </c>
      <c r="F1402" s="134">
        <v>18</v>
      </c>
      <c r="G1402" s="134">
        <v>1525</v>
      </c>
      <c r="H1402" s="134">
        <v>32</v>
      </c>
      <c r="I1402" s="200">
        <v>2.3714974121200001</v>
      </c>
      <c r="J1402" s="134">
        <v>50</v>
      </c>
      <c r="K1402" s="134">
        <v>21.083725305600002</v>
      </c>
      <c r="L1402" s="42">
        <v>0.94348314606700001</v>
      </c>
      <c r="M1402" s="42">
        <v>0.84210526315800005</v>
      </c>
      <c r="N1402" s="134">
        <v>0</v>
      </c>
      <c r="O1402" s="43" t="s">
        <v>665</v>
      </c>
      <c r="P1402" s="43">
        <f t="shared" si="299"/>
        <v>18.926168549172825</v>
      </c>
      <c r="Q1402" s="43">
        <f t="shared" si="300"/>
        <v>5.9550560000000002E-3</v>
      </c>
      <c r="R1402" s="43">
        <f t="shared" si="301"/>
        <v>4.3820220000000002E-3</v>
      </c>
      <c r="S1402" s="43">
        <f t="shared" si="302"/>
        <v>0.94348314600000005</v>
      </c>
      <c r="T1402" s="43">
        <f t="shared" si="303"/>
        <v>6.1375000000000002</v>
      </c>
      <c r="U1402" s="43">
        <f t="shared" si="304"/>
        <v>12.27071761</v>
      </c>
      <c r="V1402" s="43">
        <f t="shared" si="305"/>
        <v>8.6155195454545451E-4</v>
      </c>
      <c r="W1402" s="230">
        <f t="shared" si="306"/>
        <v>2.2983521248915874E-2</v>
      </c>
      <c r="X1402" s="43">
        <f t="shared" si="307"/>
        <v>0.86600173499999999</v>
      </c>
      <c r="Y1402" s="43">
        <v>3.8087175000000002</v>
      </c>
      <c r="Z1402" s="43">
        <f t="shared" si="296"/>
        <v>0</v>
      </c>
      <c r="AA1402" s="43">
        <f t="shared" si="297"/>
        <v>13472</v>
      </c>
      <c r="AB1402" s="43">
        <f t="shared" si="298"/>
        <v>4542</v>
      </c>
      <c r="AC1402" s="43">
        <f t="shared" si="308"/>
        <v>1.0052801043478261E-2</v>
      </c>
      <c r="AD1402" s="43">
        <f t="shared" si="309"/>
        <v>0.93066974565384641</v>
      </c>
      <c r="AF1402" s="43">
        <v>18.926168549172825</v>
      </c>
      <c r="AG1402" s="43">
        <v>5.9550560000000002E-3</v>
      </c>
      <c r="AH1402" s="43">
        <v>4.3820220000000002E-3</v>
      </c>
      <c r="AI1402" s="43">
        <v>0.94348314600000005</v>
      </c>
      <c r="AJ1402" s="43">
        <v>6.1375000000000002</v>
      </c>
      <c r="AK1402" s="43">
        <v>12.27071761</v>
      </c>
      <c r="AL1402" s="43">
        <v>0</v>
      </c>
      <c r="AM1402" s="230">
        <v>2.2983521248915874E-2</v>
      </c>
      <c r="AN1402" s="43">
        <v>0.86600173499999999</v>
      </c>
    </row>
    <row r="1403" spans="1:40" x14ac:dyDescent="0.25">
      <c r="A1403" s="134">
        <v>1393</v>
      </c>
      <c r="B1403" s="134" t="s">
        <v>199</v>
      </c>
      <c r="C1403" s="134" t="s">
        <v>205</v>
      </c>
      <c r="D1403" s="134" t="s">
        <v>62</v>
      </c>
      <c r="E1403" s="134">
        <v>2</v>
      </c>
      <c r="F1403" s="134">
        <v>6</v>
      </c>
      <c r="G1403" s="134">
        <v>706</v>
      </c>
      <c r="H1403" s="134">
        <v>0</v>
      </c>
      <c r="I1403" s="200">
        <v>1.09886181745</v>
      </c>
      <c r="J1403" s="134">
        <v>6</v>
      </c>
      <c r="K1403" s="134">
        <v>5.4601951807900004</v>
      </c>
      <c r="L1403" s="42">
        <v>0.77506775067800004</v>
      </c>
      <c r="M1403" s="42">
        <v>0</v>
      </c>
      <c r="N1403" s="134">
        <v>0</v>
      </c>
      <c r="O1403" s="43" t="s">
        <v>666</v>
      </c>
      <c r="P1403" s="43">
        <f t="shared" si="299"/>
        <v>21.568913133545092</v>
      </c>
      <c r="Q1403" s="43">
        <f t="shared" si="300"/>
        <v>2.7100269999999998E-3</v>
      </c>
      <c r="R1403" s="43">
        <f t="shared" si="301"/>
        <v>2.7100269999999998E-3</v>
      </c>
      <c r="S1403" s="43">
        <f t="shared" si="302"/>
        <v>0.77506775100000003</v>
      </c>
      <c r="T1403" s="43">
        <f t="shared" si="303"/>
        <v>6.5</v>
      </c>
      <c r="U1403" s="43">
        <f t="shared" si="304"/>
        <v>20.249042150000001</v>
      </c>
      <c r="V1403" s="43">
        <f t="shared" si="305"/>
        <v>8.6155195454545451E-4</v>
      </c>
      <c r="W1403" s="230">
        <f t="shared" si="306"/>
        <v>9.9009900990099011E-3</v>
      </c>
      <c r="X1403" s="43">
        <f t="shared" si="307"/>
        <v>0.495049505</v>
      </c>
      <c r="Y1403" s="43">
        <v>3.808266503</v>
      </c>
      <c r="Z1403" s="43">
        <f t="shared" si="296"/>
        <v>0</v>
      </c>
      <c r="AA1403" s="43">
        <f t="shared" si="297"/>
        <v>13472</v>
      </c>
      <c r="AB1403" s="43">
        <f t="shared" si="298"/>
        <v>4542</v>
      </c>
      <c r="AC1403" s="43">
        <f t="shared" si="308"/>
        <v>1.0052801043478261E-2</v>
      </c>
      <c r="AD1403" s="43">
        <f t="shared" si="309"/>
        <v>0.93066974565384641</v>
      </c>
      <c r="AF1403" s="43">
        <v>21.568913133545092</v>
      </c>
      <c r="AG1403" s="43">
        <v>2.7100269999999998E-3</v>
      </c>
      <c r="AH1403" s="43">
        <v>2.7100269999999998E-3</v>
      </c>
      <c r="AI1403" s="43">
        <v>0.77506775100000003</v>
      </c>
      <c r="AJ1403" s="43">
        <v>6.5</v>
      </c>
      <c r="AK1403" s="43">
        <v>20.249042150000001</v>
      </c>
      <c r="AL1403" s="43">
        <v>0</v>
      </c>
      <c r="AM1403" s="230">
        <v>9.9009900990099011E-3</v>
      </c>
      <c r="AN1403" s="43">
        <v>0.495049505</v>
      </c>
    </row>
    <row r="1404" spans="1:40" x14ac:dyDescent="0.25">
      <c r="A1404" s="134">
        <v>1394</v>
      </c>
      <c r="B1404" s="134" t="s">
        <v>199</v>
      </c>
      <c r="C1404" s="134" t="s">
        <v>205</v>
      </c>
      <c r="D1404" s="134" t="s">
        <v>62</v>
      </c>
      <c r="E1404" s="134">
        <v>0</v>
      </c>
      <c r="F1404" s="134">
        <v>0</v>
      </c>
      <c r="G1404" s="134">
        <v>234</v>
      </c>
      <c r="H1404" s="134">
        <v>0</v>
      </c>
      <c r="I1404" s="200">
        <v>0.36334118980800001</v>
      </c>
      <c r="J1404" s="134">
        <v>0</v>
      </c>
      <c r="K1404" s="134">
        <v>0</v>
      </c>
      <c r="L1404" s="42">
        <v>0</v>
      </c>
      <c r="M1404" s="42">
        <v>0</v>
      </c>
      <c r="N1404" s="134">
        <v>0</v>
      </c>
      <c r="O1404" s="43" t="s">
        <v>665</v>
      </c>
      <c r="P1404" s="43">
        <f t="shared" si="299"/>
        <v>19.90745322354153</v>
      </c>
      <c r="Q1404" s="43">
        <f t="shared" si="300"/>
        <v>1.0052801043478259E-2</v>
      </c>
      <c r="R1404" s="43">
        <f t="shared" si="301"/>
        <v>5.1821899599999999E-3</v>
      </c>
      <c r="S1404" s="43">
        <f t="shared" si="302"/>
        <v>0.9306697456538463</v>
      </c>
      <c r="T1404" s="43">
        <f t="shared" si="303"/>
        <v>8.222399964440001</v>
      </c>
      <c r="U1404" s="43">
        <f t="shared" si="304"/>
        <v>16.768155536961533</v>
      </c>
      <c r="V1404" s="43">
        <f t="shared" si="305"/>
        <v>8.6155195454545451E-4</v>
      </c>
      <c r="W1404" s="230">
        <f t="shared" si="306"/>
        <v>2.9007141065415357E-2</v>
      </c>
      <c r="X1404" s="43">
        <f t="shared" si="307"/>
        <v>0.87920729761538463</v>
      </c>
      <c r="Y1404" s="43">
        <v>3.8087175000000002</v>
      </c>
      <c r="Z1404" s="43">
        <f t="shared" si="296"/>
        <v>0</v>
      </c>
      <c r="AA1404" s="43">
        <f t="shared" si="297"/>
        <v>13472</v>
      </c>
      <c r="AB1404" s="43">
        <f t="shared" si="298"/>
        <v>4542</v>
      </c>
      <c r="AC1404" s="43">
        <f t="shared" si="308"/>
        <v>1.0052801043478261E-2</v>
      </c>
      <c r="AD1404" s="43">
        <f t="shared" si="309"/>
        <v>0.93066974565384641</v>
      </c>
      <c r="AF1404" s="43" t="e">
        <v>#DIV/0!</v>
      </c>
      <c r="AG1404" s="43" t="e">
        <v>#DIV/0!</v>
      </c>
      <c r="AH1404" s="43" t="e">
        <v>#DIV/0!</v>
      </c>
      <c r="AI1404" s="43" t="e">
        <v>#DIV/0!</v>
      </c>
      <c r="AJ1404" s="43" t="e">
        <v>#DIV/0!</v>
      </c>
      <c r="AK1404" s="43" t="e">
        <v>#DIV/0!</v>
      </c>
      <c r="AL1404" s="43" t="e">
        <v>#DIV/0!</v>
      </c>
      <c r="AM1404" s="230" t="e">
        <v>#DIV/0!</v>
      </c>
      <c r="AN1404" s="43" t="e">
        <v>#DIV/0!</v>
      </c>
    </row>
    <row r="1405" spans="1:40" x14ac:dyDescent="0.25">
      <c r="A1405" s="134">
        <v>1395</v>
      </c>
      <c r="B1405" s="134" t="s">
        <v>199</v>
      </c>
      <c r="C1405" s="134" t="s">
        <v>205</v>
      </c>
      <c r="D1405" s="134" t="s">
        <v>62</v>
      </c>
      <c r="E1405" s="134">
        <v>7</v>
      </c>
      <c r="F1405" s="134">
        <v>21</v>
      </c>
      <c r="G1405" s="134">
        <v>2414</v>
      </c>
      <c r="H1405" s="134">
        <v>33</v>
      </c>
      <c r="I1405" s="200">
        <v>3.75505620692</v>
      </c>
      <c r="J1405" s="134">
        <v>54</v>
      </c>
      <c r="K1405" s="134">
        <v>14.380610309</v>
      </c>
      <c r="L1405" s="42">
        <v>0.957144328835</v>
      </c>
      <c r="M1405" s="42">
        <v>0.82499999999999996</v>
      </c>
      <c r="N1405" s="134">
        <v>0</v>
      </c>
      <c r="O1405" s="43" t="s">
        <v>665</v>
      </c>
      <c r="P1405" s="43">
        <f t="shared" si="299"/>
        <v>19.83305464304102</v>
      </c>
      <c r="Q1405" s="43">
        <f t="shared" si="300"/>
        <v>3.708664E-3</v>
      </c>
      <c r="R1405" s="43">
        <f t="shared" si="301"/>
        <v>2.1633870000000001E-3</v>
      </c>
      <c r="S1405" s="43">
        <f t="shared" si="302"/>
        <v>0.95714432900000002</v>
      </c>
      <c r="T1405" s="43">
        <f t="shared" si="303"/>
        <v>10.02222222</v>
      </c>
      <c r="U1405" s="43">
        <f t="shared" si="304"/>
        <v>14.100062899999999</v>
      </c>
      <c r="V1405" s="43">
        <f t="shared" si="305"/>
        <v>8.6155195454545451E-4</v>
      </c>
      <c r="W1405" s="230">
        <f t="shared" si="306"/>
        <v>1.3409183258837871E-2</v>
      </c>
      <c r="X1405" s="43">
        <f t="shared" si="307"/>
        <v>0.87444128399999999</v>
      </c>
      <c r="Y1405" s="43">
        <v>3.8129080819999999</v>
      </c>
      <c r="Z1405" s="43">
        <f t="shared" si="296"/>
        <v>0</v>
      </c>
      <c r="AA1405" s="43">
        <f t="shared" si="297"/>
        <v>13472</v>
      </c>
      <c r="AB1405" s="43">
        <f t="shared" si="298"/>
        <v>4542</v>
      </c>
      <c r="AC1405" s="43">
        <f t="shared" si="308"/>
        <v>1.0052801043478261E-2</v>
      </c>
      <c r="AD1405" s="43">
        <f t="shared" si="309"/>
        <v>0.93066974565384641</v>
      </c>
      <c r="AF1405" s="43">
        <v>19.83305464304102</v>
      </c>
      <c r="AG1405" s="43">
        <v>3.708664E-3</v>
      </c>
      <c r="AH1405" s="43">
        <v>2.1633870000000001E-3</v>
      </c>
      <c r="AI1405" s="43">
        <v>0.95714432900000002</v>
      </c>
      <c r="AJ1405" s="43">
        <v>10.02222222</v>
      </c>
      <c r="AK1405" s="43">
        <v>14.100062899999999</v>
      </c>
      <c r="AL1405" s="43">
        <v>0</v>
      </c>
      <c r="AM1405" s="230">
        <v>1.3409183258837871E-2</v>
      </c>
      <c r="AN1405" s="43">
        <v>0.87444128399999999</v>
      </c>
    </row>
    <row r="1406" spans="1:40" x14ac:dyDescent="0.25">
      <c r="A1406" s="134">
        <v>1396</v>
      </c>
      <c r="B1406" s="134" t="s">
        <v>199</v>
      </c>
      <c r="C1406" s="134" t="s">
        <v>205</v>
      </c>
      <c r="D1406" s="134" t="s">
        <v>62</v>
      </c>
      <c r="E1406" s="134">
        <v>2</v>
      </c>
      <c r="F1406" s="134">
        <v>6</v>
      </c>
      <c r="G1406" s="134">
        <v>456</v>
      </c>
      <c r="H1406" s="134">
        <v>12</v>
      </c>
      <c r="I1406" s="200">
        <v>0.70925784466599995</v>
      </c>
      <c r="J1406" s="134">
        <v>18</v>
      </c>
      <c r="K1406" s="134">
        <v>25.378640695200001</v>
      </c>
      <c r="L1406" s="42">
        <v>0.92466860653100003</v>
      </c>
      <c r="M1406" s="42">
        <v>0.85714285714299998</v>
      </c>
      <c r="N1406" s="134">
        <v>0</v>
      </c>
      <c r="O1406" s="43" t="s">
        <v>665</v>
      </c>
      <c r="P1406" s="43">
        <f t="shared" si="299"/>
        <v>19.796449507337961</v>
      </c>
      <c r="Q1406" s="43">
        <f t="shared" si="300"/>
        <v>1.1315875E-2</v>
      </c>
      <c r="R1406" s="43">
        <f t="shared" si="301"/>
        <v>3.2331100000000001E-4</v>
      </c>
      <c r="S1406" s="43">
        <f t="shared" si="302"/>
        <v>0.92466860699999998</v>
      </c>
      <c r="T1406" s="43">
        <f t="shared" si="303"/>
        <v>41</v>
      </c>
      <c r="U1406" s="43">
        <f t="shared" si="304"/>
        <v>12.500830840000001</v>
      </c>
      <c r="V1406" s="43">
        <f t="shared" si="305"/>
        <v>8.6155195454545451E-4</v>
      </c>
      <c r="W1406" s="230">
        <f t="shared" si="306"/>
        <v>4.2997542997542992E-2</v>
      </c>
      <c r="X1406" s="43">
        <f t="shared" si="307"/>
        <v>0.78624078600000002</v>
      </c>
      <c r="Y1406" s="43">
        <v>3.8087175000000002</v>
      </c>
      <c r="Z1406" s="43">
        <f t="shared" si="296"/>
        <v>0</v>
      </c>
      <c r="AA1406" s="43">
        <f t="shared" si="297"/>
        <v>13472</v>
      </c>
      <c r="AB1406" s="43">
        <f t="shared" si="298"/>
        <v>4542</v>
      </c>
      <c r="AC1406" s="43">
        <f t="shared" si="308"/>
        <v>1.0052801043478261E-2</v>
      </c>
      <c r="AD1406" s="43">
        <f t="shared" si="309"/>
        <v>0.93066974565384641</v>
      </c>
      <c r="AF1406" s="43">
        <v>19.796449507337961</v>
      </c>
      <c r="AG1406" s="43">
        <v>1.1315875E-2</v>
      </c>
      <c r="AH1406" s="43">
        <v>3.2331100000000001E-4</v>
      </c>
      <c r="AI1406" s="43">
        <v>0.92466860699999998</v>
      </c>
      <c r="AJ1406" s="43">
        <v>41</v>
      </c>
      <c r="AK1406" s="43">
        <v>12.500830840000001</v>
      </c>
      <c r="AL1406" s="43">
        <v>0</v>
      </c>
      <c r="AM1406" s="230">
        <v>4.2997542997542992E-2</v>
      </c>
      <c r="AN1406" s="43">
        <v>0.78624078600000002</v>
      </c>
    </row>
    <row r="1407" spans="1:40" x14ac:dyDescent="0.25">
      <c r="A1407" s="134">
        <v>1397</v>
      </c>
      <c r="B1407" s="134" t="s">
        <v>199</v>
      </c>
      <c r="C1407" s="134" t="s">
        <v>205</v>
      </c>
      <c r="D1407" s="134" t="s">
        <v>62</v>
      </c>
      <c r="E1407" s="134">
        <v>4</v>
      </c>
      <c r="F1407" s="134">
        <v>12</v>
      </c>
      <c r="G1407" s="134">
        <v>802</v>
      </c>
      <c r="H1407" s="134">
        <v>25</v>
      </c>
      <c r="I1407" s="200">
        <v>1.2475049513700001</v>
      </c>
      <c r="J1407" s="134">
        <v>37</v>
      </c>
      <c r="K1407" s="134">
        <v>29.659200919</v>
      </c>
      <c r="L1407" s="42">
        <v>0.94780927835100004</v>
      </c>
      <c r="M1407" s="42">
        <v>0.86206896551699996</v>
      </c>
      <c r="N1407" s="134">
        <v>0</v>
      </c>
      <c r="O1407" s="43" t="s">
        <v>665</v>
      </c>
      <c r="P1407" s="43">
        <f t="shared" si="299"/>
        <v>16.541813398516801</v>
      </c>
      <c r="Q1407" s="43">
        <f t="shared" si="300"/>
        <v>6.4433000000000003E-4</v>
      </c>
      <c r="R1407" s="43">
        <f t="shared" si="301"/>
        <v>6.7654639999999997E-3</v>
      </c>
      <c r="S1407" s="43">
        <f t="shared" si="302"/>
        <v>0.94780927800000003</v>
      </c>
      <c r="T1407" s="43">
        <f t="shared" si="303"/>
        <v>4.9204545450000001</v>
      </c>
      <c r="U1407" s="43">
        <f t="shared" si="304"/>
        <v>9.3308893089999998</v>
      </c>
      <c r="V1407" s="43">
        <f t="shared" si="305"/>
        <v>8.6155195454545451E-4</v>
      </c>
      <c r="W1407" s="230">
        <f t="shared" si="306"/>
        <v>2.538071065989848E-3</v>
      </c>
      <c r="X1407" s="43">
        <f t="shared" si="307"/>
        <v>0.87626903599999995</v>
      </c>
      <c r="Y1407" s="43">
        <v>3.8396039019999999</v>
      </c>
      <c r="Z1407" s="43">
        <f t="shared" si="296"/>
        <v>0</v>
      </c>
      <c r="AA1407" s="43">
        <f t="shared" si="297"/>
        <v>13472</v>
      </c>
      <c r="AB1407" s="43">
        <f t="shared" si="298"/>
        <v>4542</v>
      </c>
      <c r="AC1407" s="43">
        <f t="shared" si="308"/>
        <v>1.0052801043478261E-2</v>
      </c>
      <c r="AD1407" s="43">
        <f t="shared" si="309"/>
        <v>0.93066974565384641</v>
      </c>
      <c r="AF1407" s="43">
        <v>16.541813398516801</v>
      </c>
      <c r="AG1407" s="43">
        <v>6.4433000000000003E-4</v>
      </c>
      <c r="AH1407" s="43">
        <v>6.7654639999999997E-3</v>
      </c>
      <c r="AI1407" s="43">
        <v>0.94780927800000003</v>
      </c>
      <c r="AJ1407" s="43">
        <v>4.9204545450000001</v>
      </c>
      <c r="AK1407" s="43">
        <v>9.3308893089999998</v>
      </c>
      <c r="AL1407" s="43">
        <v>0</v>
      </c>
      <c r="AM1407" s="230">
        <v>2.538071065989848E-3</v>
      </c>
      <c r="AN1407" s="43">
        <v>0.87626903599999995</v>
      </c>
    </row>
    <row r="1408" spans="1:40" x14ac:dyDescent="0.25">
      <c r="A1408" s="134">
        <v>1398</v>
      </c>
      <c r="B1408" s="134" t="s">
        <v>199</v>
      </c>
      <c r="C1408" s="134" t="s">
        <v>205</v>
      </c>
      <c r="D1408" s="134" t="s">
        <v>62</v>
      </c>
      <c r="E1408" s="134">
        <v>9</v>
      </c>
      <c r="F1408" s="134">
        <v>27</v>
      </c>
      <c r="G1408" s="134">
        <v>2625</v>
      </c>
      <c r="H1408" s="134">
        <v>11</v>
      </c>
      <c r="I1408" s="200">
        <v>4.1180575555500001</v>
      </c>
      <c r="J1408" s="134">
        <v>38</v>
      </c>
      <c r="K1408" s="134">
        <v>9.2276515049499999</v>
      </c>
      <c r="L1408" s="42">
        <v>0.90043186180400003</v>
      </c>
      <c r="M1408" s="42">
        <v>0.55000000000000004</v>
      </c>
      <c r="N1408" s="134">
        <v>0</v>
      </c>
      <c r="O1408" s="43" t="s">
        <v>665</v>
      </c>
      <c r="P1408" s="43">
        <f t="shared" si="299"/>
        <v>20.015008641448581</v>
      </c>
      <c r="Q1408" s="43">
        <f t="shared" si="300"/>
        <v>3.598848E-3</v>
      </c>
      <c r="R1408" s="43">
        <f t="shared" si="301"/>
        <v>6.2380040000000001E-3</v>
      </c>
      <c r="S1408" s="43">
        <f t="shared" si="302"/>
        <v>0.90043186200000003</v>
      </c>
      <c r="T1408" s="43">
        <f t="shared" si="303"/>
        <v>8.0784313730000008</v>
      </c>
      <c r="U1408" s="43">
        <f t="shared" si="304"/>
        <v>16.858790679999998</v>
      </c>
      <c r="V1408" s="43">
        <f t="shared" si="305"/>
        <v>8.6155195454545451E-4</v>
      </c>
      <c r="W1408" s="230">
        <f t="shared" si="306"/>
        <v>9.0791180285343717E-3</v>
      </c>
      <c r="X1408" s="43">
        <f t="shared" si="307"/>
        <v>0.81582360600000003</v>
      </c>
      <c r="Y1408" s="43">
        <v>5.3961257600000003</v>
      </c>
      <c r="Z1408" s="43">
        <f t="shared" si="296"/>
        <v>0</v>
      </c>
      <c r="AA1408" s="43">
        <f t="shared" si="297"/>
        <v>13472</v>
      </c>
      <c r="AB1408" s="43">
        <f t="shared" si="298"/>
        <v>4542</v>
      </c>
      <c r="AC1408" s="43">
        <f t="shared" si="308"/>
        <v>1.0052801043478261E-2</v>
      </c>
      <c r="AD1408" s="43">
        <f t="shared" si="309"/>
        <v>0.93066974565384641</v>
      </c>
      <c r="AF1408" s="43">
        <v>20.015008641448581</v>
      </c>
      <c r="AG1408" s="43">
        <v>3.598848E-3</v>
      </c>
      <c r="AH1408" s="43">
        <v>6.2380040000000001E-3</v>
      </c>
      <c r="AI1408" s="43">
        <v>0.90043186200000003</v>
      </c>
      <c r="AJ1408" s="43">
        <v>8.0784313730000008</v>
      </c>
      <c r="AK1408" s="43">
        <v>16.858790679999998</v>
      </c>
      <c r="AL1408" s="43">
        <v>0</v>
      </c>
      <c r="AM1408" s="230">
        <v>9.0791180285343717E-3</v>
      </c>
      <c r="AN1408" s="43">
        <v>0.81582360600000003</v>
      </c>
    </row>
    <row r="1409" spans="1:40" x14ac:dyDescent="0.25">
      <c r="A1409" s="134">
        <v>1399</v>
      </c>
      <c r="B1409" s="134" t="s">
        <v>199</v>
      </c>
      <c r="C1409" s="134" t="s">
        <v>205</v>
      </c>
      <c r="D1409" s="134" t="s">
        <v>62</v>
      </c>
      <c r="E1409" s="134">
        <v>158</v>
      </c>
      <c r="F1409" s="134">
        <v>485</v>
      </c>
      <c r="G1409" s="134">
        <v>26775</v>
      </c>
      <c r="H1409" s="134">
        <v>18</v>
      </c>
      <c r="I1409" s="200">
        <v>42.011785797999998</v>
      </c>
      <c r="J1409" s="134">
        <v>503</v>
      </c>
      <c r="K1409" s="134">
        <v>11.9728307294</v>
      </c>
      <c r="L1409" s="42">
        <v>0.91550247859400002</v>
      </c>
      <c r="M1409" s="42">
        <v>0.10227272727300001</v>
      </c>
      <c r="N1409" s="134">
        <v>0</v>
      </c>
      <c r="O1409" s="43" t="s">
        <v>665</v>
      </c>
      <c r="P1409" s="43">
        <f t="shared" si="299"/>
        <v>28.290550301015752</v>
      </c>
      <c r="Q1409" s="43">
        <f t="shared" si="300"/>
        <v>8.4372340000000001E-3</v>
      </c>
      <c r="R1409" s="43">
        <f t="shared" si="301"/>
        <v>1.777577E-3</v>
      </c>
      <c r="S1409" s="43">
        <f t="shared" si="302"/>
        <v>0.91550247900000004</v>
      </c>
      <c r="T1409" s="43">
        <f t="shared" si="303"/>
        <v>5.651006711</v>
      </c>
      <c r="U1409" s="43">
        <f t="shared" si="304"/>
        <v>33.160781790000001</v>
      </c>
      <c r="V1409" s="43">
        <f t="shared" si="305"/>
        <v>8.6155195454545451E-4</v>
      </c>
      <c r="W1409" s="230">
        <f t="shared" si="306"/>
        <v>2.6970860627964763E-2</v>
      </c>
      <c r="X1409" s="43">
        <f t="shared" si="307"/>
        <v>0.93390557900000004</v>
      </c>
      <c r="Y1409" s="43">
        <v>1.3531725219999999</v>
      </c>
      <c r="Z1409" s="43">
        <f t="shared" si="296"/>
        <v>0</v>
      </c>
      <c r="AA1409" s="43">
        <f t="shared" si="297"/>
        <v>13472</v>
      </c>
      <c r="AB1409" s="43">
        <f t="shared" si="298"/>
        <v>4542</v>
      </c>
      <c r="AC1409" s="43">
        <f t="shared" si="308"/>
        <v>1.0052801043478261E-2</v>
      </c>
      <c r="AD1409" s="43">
        <f t="shared" si="309"/>
        <v>0.93066974565384641</v>
      </c>
      <c r="AF1409" s="43">
        <v>28.290550301015752</v>
      </c>
      <c r="AG1409" s="43">
        <v>8.4372340000000001E-3</v>
      </c>
      <c r="AH1409" s="43">
        <v>1.777577E-3</v>
      </c>
      <c r="AI1409" s="43">
        <v>0.91550247900000004</v>
      </c>
      <c r="AJ1409" s="43">
        <v>5.651006711</v>
      </c>
      <c r="AK1409" s="43">
        <v>33.160781790000001</v>
      </c>
      <c r="AL1409" s="43">
        <v>0</v>
      </c>
      <c r="AM1409" s="230">
        <v>2.6970860627964763E-2</v>
      </c>
      <c r="AN1409" s="43">
        <v>0.93390557900000004</v>
      </c>
    </row>
    <row r="1410" spans="1:40" x14ac:dyDescent="0.25">
      <c r="A1410" s="134">
        <v>1400</v>
      </c>
      <c r="B1410" s="134" t="s">
        <v>199</v>
      </c>
      <c r="C1410" s="134" t="s">
        <v>205</v>
      </c>
      <c r="D1410" s="134" t="s">
        <v>62</v>
      </c>
      <c r="E1410" s="134">
        <v>453</v>
      </c>
      <c r="F1410" s="134">
        <v>1388</v>
      </c>
      <c r="G1410" s="134">
        <v>99837</v>
      </c>
      <c r="H1410" s="134">
        <v>27</v>
      </c>
      <c r="I1410" s="200">
        <v>156.64527124400001</v>
      </c>
      <c r="J1410" s="134">
        <v>1415</v>
      </c>
      <c r="K1410" s="134">
        <v>9.0331485193599992</v>
      </c>
      <c r="L1410" s="42">
        <v>0.87594433399600002</v>
      </c>
      <c r="M1410" s="42">
        <v>5.6250000000000001E-2</v>
      </c>
      <c r="N1410" s="134">
        <v>0</v>
      </c>
      <c r="O1410" s="43" t="s">
        <v>665</v>
      </c>
      <c r="P1410" s="43">
        <f t="shared" si="299"/>
        <v>32.847407524128421</v>
      </c>
      <c r="Q1410" s="43">
        <f t="shared" si="300"/>
        <v>1.2068250000000001E-2</v>
      </c>
      <c r="R1410" s="43">
        <f t="shared" si="301"/>
        <v>2.560461E-3</v>
      </c>
      <c r="S1410" s="43">
        <f t="shared" si="302"/>
        <v>0.87594433400000005</v>
      </c>
      <c r="T1410" s="43">
        <f t="shared" si="303"/>
        <v>3.1713080169999999</v>
      </c>
      <c r="U1410" s="43">
        <f t="shared" si="304"/>
        <v>40.819517859999998</v>
      </c>
      <c r="V1410" s="43">
        <f t="shared" si="305"/>
        <v>8.6155195454545451E-4</v>
      </c>
      <c r="W1410" s="230">
        <f t="shared" si="306"/>
        <v>4.1645158604612445E-2</v>
      </c>
      <c r="X1410" s="43">
        <f t="shared" si="307"/>
        <v>0.94318541300000003</v>
      </c>
      <c r="Y1410" s="43">
        <v>0.25808046800000001</v>
      </c>
      <c r="Z1410" s="43">
        <f t="shared" si="296"/>
        <v>0</v>
      </c>
      <c r="AA1410" s="43">
        <f t="shared" si="297"/>
        <v>13472</v>
      </c>
      <c r="AB1410" s="43">
        <f t="shared" si="298"/>
        <v>4542</v>
      </c>
      <c r="AC1410" s="43">
        <f t="shared" si="308"/>
        <v>1.0052801043478261E-2</v>
      </c>
      <c r="AD1410" s="43">
        <f t="shared" si="309"/>
        <v>0.93066974565384641</v>
      </c>
      <c r="AF1410" s="43">
        <v>32.847407524128421</v>
      </c>
      <c r="AG1410" s="43">
        <v>1.2068250000000001E-2</v>
      </c>
      <c r="AH1410" s="43">
        <v>2.560461E-3</v>
      </c>
      <c r="AI1410" s="43">
        <v>0.87594433400000005</v>
      </c>
      <c r="AJ1410" s="43">
        <v>3.1713080169999999</v>
      </c>
      <c r="AK1410" s="43">
        <v>40.819517859999998</v>
      </c>
      <c r="AL1410" s="43">
        <v>0</v>
      </c>
      <c r="AM1410" s="230">
        <v>4.1645158604612445E-2</v>
      </c>
      <c r="AN1410" s="43">
        <v>0.94318541300000003</v>
      </c>
    </row>
    <row r="1411" spans="1:40" x14ac:dyDescent="0.25">
      <c r="A1411" s="134">
        <v>1401</v>
      </c>
      <c r="B1411" s="134" t="s">
        <v>209</v>
      </c>
      <c r="C1411" s="134" t="s">
        <v>210</v>
      </c>
      <c r="D1411" s="134" t="s">
        <v>211</v>
      </c>
      <c r="E1411" s="134">
        <v>0</v>
      </c>
      <c r="F1411" s="134">
        <v>0</v>
      </c>
      <c r="G1411" s="134">
        <v>217</v>
      </c>
      <c r="H1411" s="134">
        <v>209</v>
      </c>
      <c r="I1411" s="200">
        <v>0.36308505907900002</v>
      </c>
      <c r="J1411" s="134">
        <v>209</v>
      </c>
      <c r="K1411" s="134">
        <v>575.62269439099998</v>
      </c>
      <c r="L1411" s="42">
        <v>0.96225805409200005</v>
      </c>
      <c r="M1411" s="42">
        <v>1</v>
      </c>
      <c r="N1411" s="134">
        <v>0</v>
      </c>
      <c r="O1411" s="43" t="s">
        <v>666</v>
      </c>
      <c r="P1411" s="43">
        <f t="shared" si="299"/>
        <v>16.547565872945373</v>
      </c>
      <c r="Q1411" s="43">
        <f t="shared" si="300"/>
        <v>9.6554169653521107E-2</v>
      </c>
      <c r="R1411" s="43">
        <f t="shared" si="301"/>
        <v>8.3691470000000004E-3</v>
      </c>
      <c r="S1411" s="43">
        <f t="shared" si="302"/>
        <v>0.96225805399999997</v>
      </c>
      <c r="T1411" s="43">
        <f t="shared" si="303"/>
        <v>5.8115942030000003</v>
      </c>
      <c r="U1411" s="43">
        <f t="shared" si="304"/>
        <v>47.612025950000003</v>
      </c>
      <c r="V1411" s="43">
        <f t="shared" si="305"/>
        <v>9.5743110000000003E-3</v>
      </c>
      <c r="W1411" s="230">
        <f t="shared" si="306"/>
        <v>0.17543463575789031</v>
      </c>
      <c r="X1411" s="43">
        <f t="shared" si="307"/>
        <v>0.93769332699999997</v>
      </c>
      <c r="Y1411" s="43">
        <v>86.572778740000004</v>
      </c>
      <c r="Z1411" s="43">
        <f t="shared" si="296"/>
        <v>0</v>
      </c>
      <c r="AA1411" s="43">
        <f t="shared" si="297"/>
        <v>478718</v>
      </c>
      <c r="AB1411" s="43">
        <f t="shared" si="298"/>
        <v>186107</v>
      </c>
      <c r="AC1411" s="43">
        <f t="shared" si="308"/>
        <v>7.5967312731255288E-2</v>
      </c>
      <c r="AD1411" s="43">
        <f t="shared" si="309"/>
        <v>0.80847972010000058</v>
      </c>
      <c r="AF1411" s="43">
        <v>16.547565872945373</v>
      </c>
      <c r="AG1411" s="43">
        <v>0</v>
      </c>
      <c r="AH1411" s="43">
        <v>8.3691470000000004E-3</v>
      </c>
      <c r="AI1411" s="43">
        <v>0.96225805399999997</v>
      </c>
      <c r="AJ1411" s="43">
        <v>5.8115942030000003</v>
      </c>
      <c r="AK1411" s="43">
        <v>47.612025950000003</v>
      </c>
      <c r="AL1411" s="43">
        <v>9.5743110000000003E-3</v>
      </c>
      <c r="AM1411" s="230">
        <v>0</v>
      </c>
      <c r="AN1411" s="43">
        <v>0.93769332699999997</v>
      </c>
    </row>
    <row r="1412" spans="1:40" x14ac:dyDescent="0.25">
      <c r="A1412" s="134">
        <v>1402</v>
      </c>
      <c r="B1412" s="134" t="s">
        <v>209</v>
      </c>
      <c r="C1412" s="134" t="s">
        <v>210</v>
      </c>
      <c r="D1412" s="134" t="s">
        <v>211</v>
      </c>
      <c r="E1412" s="134">
        <v>0</v>
      </c>
      <c r="F1412" s="134">
        <v>0</v>
      </c>
      <c r="G1412" s="134">
        <v>13</v>
      </c>
      <c r="H1412" s="134">
        <v>46</v>
      </c>
      <c r="I1412" s="200">
        <v>2.6128048264399999E-2</v>
      </c>
      <c r="J1412" s="134">
        <v>46</v>
      </c>
      <c r="K1412" s="134">
        <v>1760.5601281199999</v>
      </c>
      <c r="L1412" s="42">
        <v>0.75532983591900005</v>
      </c>
      <c r="M1412" s="42">
        <v>1</v>
      </c>
      <c r="N1412" s="134">
        <v>0</v>
      </c>
      <c r="O1412" s="43" t="s">
        <v>664</v>
      </c>
      <c r="P1412" s="43">
        <f t="shared" si="299"/>
        <v>14.166429504864237</v>
      </c>
      <c r="Q1412" s="43">
        <f t="shared" si="300"/>
        <v>4.2192209000000001E-2</v>
      </c>
      <c r="R1412" s="43">
        <f t="shared" si="301"/>
        <v>6.1390780000000001E-3</v>
      </c>
      <c r="S1412" s="43">
        <f t="shared" si="302"/>
        <v>0.75532983600000003</v>
      </c>
      <c r="T1412" s="43">
        <f t="shared" si="303"/>
        <v>4.2520325200000002</v>
      </c>
      <c r="U1412" s="43">
        <f t="shared" si="304"/>
        <v>7.4418578990000004</v>
      </c>
      <c r="V1412" s="43">
        <f t="shared" si="305"/>
        <v>7.2741189999999999E-3</v>
      </c>
      <c r="W1412" s="230">
        <f t="shared" si="306"/>
        <v>1.4165390505359877E-2</v>
      </c>
      <c r="X1412" s="43">
        <f t="shared" si="307"/>
        <v>0.73545176099999998</v>
      </c>
      <c r="Y1412" s="43">
        <v>152.72741490000001</v>
      </c>
      <c r="Z1412" s="43">
        <f t="shared" si="296"/>
        <v>0</v>
      </c>
      <c r="AA1412" s="43">
        <f t="shared" si="297"/>
        <v>478718</v>
      </c>
      <c r="AB1412" s="43">
        <f t="shared" si="298"/>
        <v>186107</v>
      </c>
      <c r="AC1412" s="43">
        <f t="shared" si="308"/>
        <v>7.5967312731255288E-2</v>
      </c>
      <c r="AD1412" s="43">
        <f t="shared" si="309"/>
        <v>0.80847972010000058</v>
      </c>
      <c r="AF1412" s="43">
        <v>14.166429504864237</v>
      </c>
      <c r="AG1412" s="43">
        <v>4.2192209000000001E-2</v>
      </c>
      <c r="AH1412" s="43">
        <v>6.1390780000000001E-3</v>
      </c>
      <c r="AI1412" s="43">
        <v>0.75532983600000003</v>
      </c>
      <c r="AJ1412" s="43">
        <v>4.2520325200000002</v>
      </c>
      <c r="AK1412" s="43">
        <v>7.4418578990000004</v>
      </c>
      <c r="AL1412" s="43">
        <v>7.2741189999999999E-3</v>
      </c>
      <c r="AM1412" s="230">
        <v>1.4165390505359877E-2</v>
      </c>
      <c r="AN1412" s="43">
        <v>0.73545176099999998</v>
      </c>
    </row>
    <row r="1413" spans="1:40" x14ac:dyDescent="0.25">
      <c r="A1413" s="134">
        <v>1403</v>
      </c>
      <c r="B1413" s="134" t="s">
        <v>209</v>
      </c>
      <c r="C1413" s="134" t="s">
        <v>210</v>
      </c>
      <c r="D1413" s="134" t="s">
        <v>211</v>
      </c>
      <c r="E1413" s="134">
        <v>0</v>
      </c>
      <c r="F1413" s="134">
        <v>0</v>
      </c>
      <c r="G1413" s="134">
        <v>93</v>
      </c>
      <c r="H1413" s="134">
        <v>50</v>
      </c>
      <c r="I1413" s="200">
        <v>0.14129015904799999</v>
      </c>
      <c r="J1413" s="134">
        <v>50</v>
      </c>
      <c r="K1413" s="134">
        <v>353.88168812999999</v>
      </c>
      <c r="L1413" s="42">
        <v>0.87696005493899998</v>
      </c>
      <c r="M1413" s="42">
        <v>1</v>
      </c>
      <c r="N1413" s="134">
        <v>0</v>
      </c>
      <c r="O1413" s="43" t="s">
        <v>666</v>
      </c>
      <c r="P1413" s="43">
        <f t="shared" si="299"/>
        <v>13.411000118965841</v>
      </c>
      <c r="Q1413" s="43">
        <f t="shared" si="300"/>
        <v>4.8071419999999997E-2</v>
      </c>
      <c r="R1413" s="43">
        <f t="shared" si="301"/>
        <v>3.204761E-3</v>
      </c>
      <c r="S1413" s="43">
        <f t="shared" si="302"/>
        <v>0.87696005499999996</v>
      </c>
      <c r="T1413" s="43">
        <f t="shared" si="303"/>
        <v>7.219178082</v>
      </c>
      <c r="U1413" s="43">
        <f t="shared" si="304"/>
        <v>10.366875800000001</v>
      </c>
      <c r="V1413" s="43">
        <f t="shared" si="305"/>
        <v>3.3772369999999999E-3</v>
      </c>
      <c r="W1413" s="230">
        <f t="shared" si="306"/>
        <v>2.0263424518743669E-3</v>
      </c>
      <c r="X1413" s="43">
        <f t="shared" si="307"/>
        <v>0.857818305</v>
      </c>
      <c r="Y1413" s="43">
        <v>32.128195750000003</v>
      </c>
      <c r="Z1413" s="43">
        <f t="shared" si="296"/>
        <v>0</v>
      </c>
      <c r="AA1413" s="43">
        <f t="shared" si="297"/>
        <v>478718</v>
      </c>
      <c r="AB1413" s="43">
        <f t="shared" si="298"/>
        <v>186107</v>
      </c>
      <c r="AC1413" s="43">
        <f t="shared" si="308"/>
        <v>7.5967312731255288E-2</v>
      </c>
      <c r="AD1413" s="43">
        <f t="shared" si="309"/>
        <v>0.80847972010000058</v>
      </c>
      <c r="AF1413" s="43">
        <v>13.411000118965841</v>
      </c>
      <c r="AG1413" s="43">
        <v>4.8071419999999997E-2</v>
      </c>
      <c r="AH1413" s="43">
        <v>3.204761E-3</v>
      </c>
      <c r="AI1413" s="43">
        <v>0.87696005499999996</v>
      </c>
      <c r="AJ1413" s="43">
        <v>7.219178082</v>
      </c>
      <c r="AK1413" s="43">
        <v>10.366875800000001</v>
      </c>
      <c r="AL1413" s="43">
        <v>3.3772369999999999E-3</v>
      </c>
      <c r="AM1413" s="230">
        <v>2.0263424518743669E-3</v>
      </c>
      <c r="AN1413" s="43">
        <v>0.857818305</v>
      </c>
    </row>
    <row r="1414" spans="1:40" x14ac:dyDescent="0.25">
      <c r="A1414" s="134">
        <v>1404</v>
      </c>
      <c r="B1414" s="134" t="s">
        <v>209</v>
      </c>
      <c r="C1414" s="134" t="s">
        <v>210</v>
      </c>
      <c r="D1414" s="134" t="s">
        <v>211</v>
      </c>
      <c r="E1414" s="134">
        <v>4</v>
      </c>
      <c r="F1414" s="134">
        <v>15</v>
      </c>
      <c r="G1414" s="134">
        <v>27</v>
      </c>
      <c r="H1414" s="134">
        <v>170</v>
      </c>
      <c r="I1414" s="200">
        <v>4.2103391897599998E-2</v>
      </c>
      <c r="J1414" s="134">
        <v>185</v>
      </c>
      <c r="K1414" s="134">
        <v>4393.9452776099997</v>
      </c>
      <c r="L1414" s="42">
        <v>0.84983644010600001</v>
      </c>
      <c r="M1414" s="42">
        <v>0.97701149425300005</v>
      </c>
      <c r="N1414" s="134">
        <v>1</v>
      </c>
      <c r="O1414" s="43" t="s">
        <v>664</v>
      </c>
      <c r="P1414" s="43">
        <f t="shared" si="299"/>
        <v>13.039999088098197</v>
      </c>
      <c r="Q1414" s="43">
        <f t="shared" si="300"/>
        <v>3.5360091000000003E-2</v>
      </c>
      <c r="R1414" s="43">
        <f t="shared" si="301"/>
        <v>1.0488603000000001E-2</v>
      </c>
      <c r="S1414" s="43">
        <f t="shared" si="302"/>
        <v>0.84983644000000003</v>
      </c>
      <c r="T1414" s="43">
        <f t="shared" si="303"/>
        <v>3.924390244</v>
      </c>
      <c r="U1414" s="43">
        <f t="shared" si="304"/>
        <v>7.692140491</v>
      </c>
      <c r="V1414" s="43">
        <f t="shared" si="305"/>
        <v>7.8659369999999999E-3</v>
      </c>
      <c r="W1414" s="230">
        <f t="shared" si="306"/>
        <v>3.2147742818057455E-2</v>
      </c>
      <c r="X1414" s="43">
        <f t="shared" si="307"/>
        <v>0.84858071099999999</v>
      </c>
      <c r="Y1414" s="43">
        <v>70.40832915</v>
      </c>
      <c r="Z1414" s="43">
        <f t="shared" si="296"/>
        <v>0</v>
      </c>
      <c r="AA1414" s="43">
        <f t="shared" si="297"/>
        <v>478718</v>
      </c>
      <c r="AB1414" s="43">
        <f t="shared" si="298"/>
        <v>186107</v>
      </c>
      <c r="AC1414" s="43">
        <f t="shared" si="308"/>
        <v>7.5967312731255288E-2</v>
      </c>
      <c r="AD1414" s="43">
        <f t="shared" si="309"/>
        <v>0.80847972010000058</v>
      </c>
      <c r="AF1414" s="43">
        <v>13.039999088098197</v>
      </c>
      <c r="AG1414" s="43">
        <v>3.5360091000000003E-2</v>
      </c>
      <c r="AH1414" s="43">
        <v>1.0488603000000001E-2</v>
      </c>
      <c r="AI1414" s="43">
        <v>0.84983644000000003</v>
      </c>
      <c r="AJ1414" s="43">
        <v>3.924390244</v>
      </c>
      <c r="AK1414" s="43">
        <v>7.692140491</v>
      </c>
      <c r="AL1414" s="43">
        <v>7.8659369999999999E-3</v>
      </c>
      <c r="AM1414" s="230">
        <v>3.2147742818057455E-2</v>
      </c>
      <c r="AN1414" s="43">
        <v>0.84858071099999999</v>
      </c>
    </row>
    <row r="1415" spans="1:40" x14ac:dyDescent="0.25">
      <c r="A1415" s="134">
        <v>1405</v>
      </c>
      <c r="B1415" s="134" t="s">
        <v>209</v>
      </c>
      <c r="C1415" s="134" t="s">
        <v>210</v>
      </c>
      <c r="D1415" s="134" t="s">
        <v>211</v>
      </c>
      <c r="E1415" s="134">
        <v>0</v>
      </c>
      <c r="F1415" s="134">
        <v>0</v>
      </c>
      <c r="G1415" s="134">
        <v>0</v>
      </c>
      <c r="H1415" s="134">
        <v>960</v>
      </c>
      <c r="I1415" s="200">
        <v>2.3081395533700002</v>
      </c>
      <c r="J1415" s="134">
        <v>960</v>
      </c>
      <c r="K1415" s="134">
        <v>415.91939213500001</v>
      </c>
      <c r="L1415" s="42">
        <v>0.97297072261899997</v>
      </c>
      <c r="M1415" s="42">
        <v>1</v>
      </c>
      <c r="N1415" s="134">
        <v>1</v>
      </c>
      <c r="O1415" s="43" t="s">
        <v>665</v>
      </c>
      <c r="P1415" s="43">
        <f t="shared" si="299"/>
        <v>15.512395964819655</v>
      </c>
      <c r="Q1415" s="43">
        <f t="shared" si="300"/>
        <v>9.6554169653521107E-2</v>
      </c>
      <c r="R1415" s="43">
        <f t="shared" si="301"/>
        <v>1.0033201E-2</v>
      </c>
      <c r="S1415" s="43">
        <f t="shared" si="302"/>
        <v>0.97297072299999998</v>
      </c>
      <c r="T1415" s="43">
        <f t="shared" si="303"/>
        <v>5.6038322110000003</v>
      </c>
      <c r="U1415" s="43">
        <f t="shared" si="304"/>
        <v>11.09228733</v>
      </c>
      <c r="V1415" s="43">
        <f t="shared" si="305"/>
        <v>1.0822762999999999E-2</v>
      </c>
      <c r="W1415" s="230">
        <f t="shared" si="306"/>
        <v>0.17543463575789031</v>
      </c>
      <c r="X1415" s="43">
        <f t="shared" si="307"/>
        <v>0.96911439499999996</v>
      </c>
      <c r="Y1415" s="43">
        <v>8.3228289310000001</v>
      </c>
      <c r="Z1415" s="43">
        <f t="shared" si="296"/>
        <v>0</v>
      </c>
      <c r="AA1415" s="43">
        <f t="shared" si="297"/>
        <v>478718</v>
      </c>
      <c r="AB1415" s="43">
        <f t="shared" si="298"/>
        <v>186107</v>
      </c>
      <c r="AC1415" s="43">
        <f t="shared" si="308"/>
        <v>7.5967312731255288E-2</v>
      </c>
      <c r="AD1415" s="43">
        <f t="shared" si="309"/>
        <v>0.80847972010000058</v>
      </c>
      <c r="AF1415" s="43">
        <v>15.512395964819655</v>
      </c>
      <c r="AG1415" s="43">
        <v>0</v>
      </c>
      <c r="AH1415" s="43">
        <v>1.0033201E-2</v>
      </c>
      <c r="AI1415" s="43">
        <v>0.97297072299999998</v>
      </c>
      <c r="AJ1415" s="43">
        <v>5.6038322110000003</v>
      </c>
      <c r="AK1415" s="43">
        <v>11.09228733</v>
      </c>
      <c r="AL1415" s="43">
        <v>1.0822762999999999E-2</v>
      </c>
      <c r="AM1415" s="230">
        <v>0</v>
      </c>
      <c r="AN1415" s="43">
        <v>0.96911439499999996</v>
      </c>
    </row>
    <row r="1416" spans="1:40" x14ac:dyDescent="0.25">
      <c r="A1416" s="134">
        <v>1406</v>
      </c>
      <c r="B1416" s="134" t="s">
        <v>213</v>
      </c>
      <c r="C1416" s="134" t="s">
        <v>210</v>
      </c>
      <c r="D1416" s="134" t="s">
        <v>211</v>
      </c>
      <c r="E1416" s="134">
        <v>431</v>
      </c>
      <c r="F1416" s="134">
        <v>983</v>
      </c>
      <c r="G1416" s="134">
        <v>33</v>
      </c>
      <c r="H1416" s="134">
        <v>323</v>
      </c>
      <c r="I1416" s="200">
        <v>9.7569573354999994E-2</v>
      </c>
      <c r="J1416" s="134">
        <v>1306</v>
      </c>
      <c r="K1416" s="134">
        <v>13385.320393399999</v>
      </c>
      <c r="L1416" s="42">
        <v>0.79084681255900002</v>
      </c>
      <c r="M1416" s="42">
        <v>0.42838196286500002</v>
      </c>
      <c r="N1416" s="134">
        <v>1</v>
      </c>
      <c r="O1416" s="43" t="s">
        <v>664</v>
      </c>
      <c r="P1416" s="43">
        <f t="shared" si="299"/>
        <v>12.080754509326416</v>
      </c>
      <c r="Q1416" s="43">
        <f t="shared" si="300"/>
        <v>6.8563272999999994E-2</v>
      </c>
      <c r="R1416" s="43">
        <f t="shared" si="301"/>
        <v>3.4458611E-2</v>
      </c>
      <c r="S1416" s="43">
        <f t="shared" si="302"/>
        <v>0.79084681300000004</v>
      </c>
      <c r="T1416" s="43">
        <f t="shared" si="303"/>
        <v>2.0154508330000001</v>
      </c>
      <c r="U1416" s="43">
        <f t="shared" si="304"/>
        <v>6.9569726139999997</v>
      </c>
      <c r="V1416" s="43">
        <f t="shared" si="305"/>
        <v>2.8566925E-2</v>
      </c>
      <c r="W1416" s="230">
        <f t="shared" si="306"/>
        <v>0.14452894125064028</v>
      </c>
      <c r="X1416" s="43">
        <f t="shared" si="307"/>
        <v>0.76913984000000002</v>
      </c>
      <c r="Y1416" s="43">
        <v>159.69745040000001</v>
      </c>
      <c r="Z1416" s="43">
        <f t="shared" si="296"/>
        <v>1</v>
      </c>
      <c r="AA1416" s="43">
        <f t="shared" si="297"/>
        <v>127833</v>
      </c>
      <c r="AB1416" s="43">
        <f t="shared" si="298"/>
        <v>52297</v>
      </c>
      <c r="AC1416" s="43">
        <f t="shared" si="308"/>
        <v>6.9618232924242435E-2</v>
      </c>
      <c r="AD1416" s="43">
        <f t="shared" si="309"/>
        <v>0.78767596906060611</v>
      </c>
      <c r="AF1416" s="43">
        <v>12.080754509326416</v>
      </c>
      <c r="AG1416" s="43">
        <v>6.8563272999999994E-2</v>
      </c>
      <c r="AH1416" s="43">
        <v>3.4458611E-2</v>
      </c>
      <c r="AI1416" s="43">
        <v>0.79084681300000004</v>
      </c>
      <c r="AJ1416" s="43">
        <v>2.0154508330000001</v>
      </c>
      <c r="AK1416" s="43">
        <v>6.9569726139999997</v>
      </c>
      <c r="AL1416" s="43">
        <v>2.8566925E-2</v>
      </c>
      <c r="AM1416" s="230">
        <v>0.14452894125064028</v>
      </c>
      <c r="AN1416" s="43">
        <v>0.76913984000000002</v>
      </c>
    </row>
    <row r="1417" spans="1:40" x14ac:dyDescent="0.25">
      <c r="A1417" s="134">
        <v>1407</v>
      </c>
      <c r="B1417" s="134" t="s">
        <v>213</v>
      </c>
      <c r="C1417" s="134" t="s">
        <v>210</v>
      </c>
      <c r="D1417" s="134" t="s">
        <v>211</v>
      </c>
      <c r="E1417" s="134">
        <v>167</v>
      </c>
      <c r="F1417" s="134">
        <v>362</v>
      </c>
      <c r="G1417" s="134">
        <v>19</v>
      </c>
      <c r="H1417" s="134">
        <v>15</v>
      </c>
      <c r="I1417" s="200">
        <v>3.4438677316300001E-2</v>
      </c>
      <c r="J1417" s="134">
        <v>377</v>
      </c>
      <c r="K1417" s="134">
        <v>10946.9941757</v>
      </c>
      <c r="L1417" s="42">
        <v>0.78614686366200004</v>
      </c>
      <c r="M1417" s="42">
        <v>8.2417582417599999E-2</v>
      </c>
      <c r="N1417" s="134">
        <v>1</v>
      </c>
      <c r="O1417" s="43" t="s">
        <v>664</v>
      </c>
      <c r="P1417" s="43">
        <f t="shared" si="299"/>
        <v>10.992787760019695</v>
      </c>
      <c r="Q1417" s="43">
        <f t="shared" si="300"/>
        <v>6.9458813999999994E-2</v>
      </c>
      <c r="R1417" s="43">
        <f t="shared" si="301"/>
        <v>3.1522024000000003E-2</v>
      </c>
      <c r="S1417" s="43">
        <f t="shared" si="302"/>
        <v>0.786146864</v>
      </c>
      <c r="T1417" s="43">
        <f t="shared" si="303"/>
        <v>1.8703056769999999</v>
      </c>
      <c r="U1417" s="43">
        <f t="shared" si="304"/>
        <v>6.2344743319999996</v>
      </c>
      <c r="V1417" s="43">
        <f t="shared" si="305"/>
        <v>1.0787913E-2</v>
      </c>
      <c r="W1417" s="230">
        <f t="shared" si="306"/>
        <v>0.17379271392262075</v>
      </c>
      <c r="X1417" s="43">
        <f t="shared" si="307"/>
        <v>0.73679751500000001</v>
      </c>
      <c r="Y1417" s="43">
        <v>327.48171660000003</v>
      </c>
      <c r="Z1417" s="43">
        <f t="shared" si="296"/>
        <v>1</v>
      </c>
      <c r="AA1417" s="43">
        <f t="shared" si="297"/>
        <v>127833</v>
      </c>
      <c r="AB1417" s="43">
        <f t="shared" si="298"/>
        <v>52297</v>
      </c>
      <c r="AC1417" s="43">
        <f t="shared" si="308"/>
        <v>6.9618232924242435E-2</v>
      </c>
      <c r="AD1417" s="43">
        <f t="shared" si="309"/>
        <v>0.78767596906060611</v>
      </c>
      <c r="AF1417" s="43">
        <v>10.992787760019695</v>
      </c>
      <c r="AG1417" s="43">
        <v>6.9458813999999994E-2</v>
      </c>
      <c r="AH1417" s="43">
        <v>3.1522024000000003E-2</v>
      </c>
      <c r="AI1417" s="43">
        <v>0.786146864</v>
      </c>
      <c r="AJ1417" s="43">
        <v>1.8703056769999999</v>
      </c>
      <c r="AK1417" s="43">
        <v>6.2344743319999996</v>
      </c>
      <c r="AL1417" s="43">
        <v>1.0787913E-2</v>
      </c>
      <c r="AM1417" s="230">
        <v>0.17379271392262075</v>
      </c>
      <c r="AN1417" s="43">
        <v>0.73679751500000001</v>
      </c>
    </row>
    <row r="1418" spans="1:40" x14ac:dyDescent="0.25">
      <c r="A1418" s="134">
        <v>1408</v>
      </c>
      <c r="B1418" s="134" t="s">
        <v>213</v>
      </c>
      <c r="C1418" s="134" t="s">
        <v>210</v>
      </c>
      <c r="D1418" s="134" t="s">
        <v>211</v>
      </c>
      <c r="E1418" s="134">
        <v>167</v>
      </c>
      <c r="F1418" s="134">
        <v>362</v>
      </c>
      <c r="G1418" s="134">
        <v>14</v>
      </c>
      <c r="H1418" s="134">
        <v>15</v>
      </c>
      <c r="I1418" s="200">
        <v>2.7146641585299999E-2</v>
      </c>
      <c r="J1418" s="134">
        <v>377</v>
      </c>
      <c r="K1418" s="134">
        <v>13887.5373889</v>
      </c>
      <c r="L1418" s="42">
        <v>0.77711052726700003</v>
      </c>
      <c r="M1418" s="42">
        <v>8.2417582417599999E-2</v>
      </c>
      <c r="N1418" s="134">
        <v>1</v>
      </c>
      <c r="O1418" s="43" t="s">
        <v>664</v>
      </c>
      <c r="P1418" s="43">
        <f t="shared" si="299"/>
        <v>10.872210218607016</v>
      </c>
      <c r="Q1418" s="43">
        <f t="shared" si="300"/>
        <v>7.4968375000000004E-2</v>
      </c>
      <c r="R1418" s="43">
        <f t="shared" si="301"/>
        <v>3.2431155000000003E-2</v>
      </c>
      <c r="S1418" s="43">
        <f t="shared" si="302"/>
        <v>0.77711052700000005</v>
      </c>
      <c r="T1418" s="43">
        <f t="shared" si="303"/>
        <v>1.898972603</v>
      </c>
      <c r="U1418" s="43">
        <f t="shared" si="304"/>
        <v>6.300338118</v>
      </c>
      <c r="V1418" s="43">
        <f t="shared" si="305"/>
        <v>1.2502855E-2</v>
      </c>
      <c r="W1418" s="230">
        <f t="shared" si="306"/>
        <v>0.18280429321762962</v>
      </c>
      <c r="X1418" s="43">
        <f t="shared" si="307"/>
        <v>0.71745832399999998</v>
      </c>
      <c r="Y1418" s="43">
        <v>327.17991110000003</v>
      </c>
      <c r="Z1418" s="43">
        <f t="shared" si="296"/>
        <v>1</v>
      </c>
      <c r="AA1418" s="43">
        <f t="shared" si="297"/>
        <v>127833</v>
      </c>
      <c r="AB1418" s="43">
        <f t="shared" si="298"/>
        <v>52297</v>
      </c>
      <c r="AC1418" s="43">
        <f t="shared" si="308"/>
        <v>6.9618232924242435E-2</v>
      </c>
      <c r="AD1418" s="43">
        <f t="shared" si="309"/>
        <v>0.78767596906060611</v>
      </c>
      <c r="AF1418" s="43">
        <v>10.872210218607016</v>
      </c>
      <c r="AG1418" s="43">
        <v>7.4968375000000004E-2</v>
      </c>
      <c r="AH1418" s="43">
        <v>3.2431155000000003E-2</v>
      </c>
      <c r="AI1418" s="43">
        <v>0.77711052700000005</v>
      </c>
      <c r="AJ1418" s="43">
        <v>1.898972603</v>
      </c>
      <c r="AK1418" s="43">
        <v>6.300338118</v>
      </c>
      <c r="AL1418" s="43">
        <v>1.2502855E-2</v>
      </c>
      <c r="AM1418" s="230">
        <v>0.18280429321762962</v>
      </c>
      <c r="AN1418" s="43">
        <v>0.71745832399999998</v>
      </c>
    </row>
    <row r="1419" spans="1:40" x14ac:dyDescent="0.25">
      <c r="A1419" s="134">
        <v>1409</v>
      </c>
      <c r="B1419" s="134" t="s">
        <v>213</v>
      </c>
      <c r="C1419" s="134" t="s">
        <v>210</v>
      </c>
      <c r="D1419" s="134" t="s">
        <v>211</v>
      </c>
      <c r="E1419" s="134">
        <v>395</v>
      </c>
      <c r="F1419" s="134">
        <v>900</v>
      </c>
      <c r="G1419" s="134">
        <v>30</v>
      </c>
      <c r="H1419" s="134">
        <v>296</v>
      </c>
      <c r="I1419" s="200">
        <v>8.7874856370800003E-2</v>
      </c>
      <c r="J1419" s="134">
        <v>1196</v>
      </c>
      <c r="K1419" s="134">
        <v>13610.264066399999</v>
      </c>
      <c r="L1419" s="42">
        <v>0.77059693516100003</v>
      </c>
      <c r="M1419" s="42">
        <v>0.42836468885700002</v>
      </c>
      <c r="N1419" s="134">
        <v>1</v>
      </c>
      <c r="O1419" s="43" t="s">
        <v>664</v>
      </c>
      <c r="P1419" s="43">
        <f t="shared" si="299"/>
        <v>11.827143754010089</v>
      </c>
      <c r="Q1419" s="43">
        <f t="shared" si="300"/>
        <v>7.3911584000000002E-2</v>
      </c>
      <c r="R1419" s="43">
        <f t="shared" si="301"/>
        <v>3.4463901999999998E-2</v>
      </c>
      <c r="S1419" s="43">
        <f t="shared" si="302"/>
        <v>0.77059693500000004</v>
      </c>
      <c r="T1419" s="43">
        <f t="shared" si="303"/>
        <v>1.853395897</v>
      </c>
      <c r="U1419" s="43">
        <f t="shared" si="304"/>
        <v>6.6885895929999997</v>
      </c>
      <c r="V1419" s="43">
        <f t="shared" si="305"/>
        <v>2.9400888E-2</v>
      </c>
      <c r="W1419" s="230">
        <f t="shared" si="306"/>
        <v>0.1562926718252162</v>
      </c>
      <c r="X1419" s="43">
        <f t="shared" si="307"/>
        <v>0.74159364999999999</v>
      </c>
      <c r="Y1419" s="43">
        <v>166.67225210000001</v>
      </c>
      <c r="Z1419" s="43">
        <f t="shared" ref="Z1419:Z1482" si="310">IF(B1419="Berkeley",1,0)</f>
        <v>1</v>
      </c>
      <c r="AA1419" s="43">
        <f t="shared" ref="AA1419:AA1482" si="311">SUMIFS(F:F,B:B,B1419)</f>
        <v>127833</v>
      </c>
      <c r="AB1419" s="43">
        <f t="shared" ref="AB1419:AB1482" si="312">SUMIFS(E:E,B:B,B1419)</f>
        <v>52297</v>
      </c>
      <c r="AC1419" s="43">
        <f t="shared" si="308"/>
        <v>6.9618232924242435E-2</v>
      </c>
      <c r="AD1419" s="43">
        <f t="shared" si="309"/>
        <v>0.78767596906060611</v>
      </c>
      <c r="AF1419" s="43">
        <v>11.827143754010089</v>
      </c>
      <c r="AG1419" s="43">
        <v>7.3911584000000002E-2</v>
      </c>
      <c r="AH1419" s="43">
        <v>3.4463901999999998E-2</v>
      </c>
      <c r="AI1419" s="43">
        <v>0.77059693500000004</v>
      </c>
      <c r="AJ1419" s="43">
        <v>1.853395897</v>
      </c>
      <c r="AK1419" s="43">
        <v>6.6885895929999997</v>
      </c>
      <c r="AL1419" s="43">
        <v>2.9400888E-2</v>
      </c>
      <c r="AM1419" s="230">
        <v>0.1562926718252162</v>
      </c>
      <c r="AN1419" s="43">
        <v>0.74159364999999999</v>
      </c>
    </row>
    <row r="1420" spans="1:40" x14ac:dyDescent="0.25">
      <c r="A1420" s="134">
        <v>1410</v>
      </c>
      <c r="B1420" s="134" t="s">
        <v>213</v>
      </c>
      <c r="C1420" s="134" t="s">
        <v>210</v>
      </c>
      <c r="D1420" s="134" t="s">
        <v>211</v>
      </c>
      <c r="E1420" s="134">
        <v>117</v>
      </c>
      <c r="F1420" s="134">
        <v>462</v>
      </c>
      <c r="G1420" s="134">
        <v>7</v>
      </c>
      <c r="H1420" s="134">
        <v>33</v>
      </c>
      <c r="I1420" s="200">
        <v>1.2499598005300001E-2</v>
      </c>
      <c r="J1420" s="134">
        <v>495</v>
      </c>
      <c r="K1420" s="134">
        <v>39601.273560299996</v>
      </c>
      <c r="L1420" s="42">
        <v>0.70257058815200002</v>
      </c>
      <c r="M1420" s="42">
        <v>0.22</v>
      </c>
      <c r="N1420" s="134">
        <v>0</v>
      </c>
      <c r="O1420" s="43" t="s">
        <v>627</v>
      </c>
      <c r="P1420" s="43">
        <f t="shared" ref="P1420:P1483" si="313">IF(OR(IFERROR(AF1420=0,TRUE),ISERROR(AF1420)),AVERAGEIFS(AF:AF,$B:$B,$B1420,AF:AF,"&gt;0"),AF1420)</f>
        <v>12.082495456535007</v>
      </c>
      <c r="Q1420" s="43">
        <f t="shared" ref="Q1420:Q1483" si="314">IF(OR(IFERROR(AG1420=0,TRUE),ISERROR(AG1420)),AVERAGEIFS(AG:AG,$B:$B,$B1420,AG:AG,"&gt;0"),AG1420)</f>
        <v>7.8794424000000002E-2</v>
      </c>
      <c r="R1420" s="43">
        <f t="shared" ref="R1420:R1483" si="315">IF(OR(IFERROR(AH1420=0,TRUE),ISERROR(AH1420)),AVERAGEIFS(AH:AH,$B:$B,$B1420,AH:AH,"&gt;0"),AH1420)</f>
        <v>5.7976780999999998E-2</v>
      </c>
      <c r="S1420" s="43">
        <f t="shared" ref="S1420:S1483" si="316">IF(OR(IFERROR(AI1420=0,TRUE),ISERROR(AI1420)),AVERAGEIFS(AI:AI,$B:$B,$B1420,AI:AI,"&gt;0"),AI1420)</f>
        <v>0.70257058800000005</v>
      </c>
      <c r="T1420" s="43">
        <f t="shared" ref="T1420:T1483" si="317">IF(OR(IFERROR(AJ1420=0,TRUE),ISERROR(AJ1420)),AVERAGEIFS(AJ:AJ,$B:$B,$B1420,AJ:AJ,"&gt;0"),AJ1420)</f>
        <v>2.0148175359999998</v>
      </c>
      <c r="U1420" s="43">
        <f t="shared" ref="U1420:U1483" si="318">IF(OR(IFERROR(AK1420=0,TRUE),ISERROR(AK1420)),AVERAGEIFS(AK:AK,$B:$B,$B1420,AK:AK,"&gt;0"),AK1420)</f>
        <v>8.0057898600000001</v>
      </c>
      <c r="V1420" s="43">
        <f t="shared" ref="V1420:V1483" si="319">IF(OR(IFERROR(AL1420=0,TRUE),ISERROR(AL1420)),AVERAGEIFS(AL:AL,$B:$B,$B1420,AL:AL,"&gt;0"),AL1420)</f>
        <v>4.9202426E-2</v>
      </c>
      <c r="W1420" s="230">
        <f t="shared" ref="W1420:W1483" si="320">IF(OR(IFERROR(AM1420=0,TRUE),ISERROR(AM1420)),AVERAGEIFS(AM:AM,$B:$B,$B1420,AM:AM,"&gt;0"),AM1420)</f>
        <v>0.17020894181082899</v>
      </c>
      <c r="X1420" s="43">
        <f t="shared" ref="X1420:X1483" si="321">IF(OR(IFERROR(AN1420=0,TRUE),ISERROR(AN1420)),AVERAGEIFS(AN:AN,$B:$B,$B1420,AN:AN,"&gt;0"),AN1420)</f>
        <v>0.64780948100000002</v>
      </c>
      <c r="Y1420" s="43">
        <v>24.737505120000002</v>
      </c>
      <c r="Z1420" s="43">
        <f t="shared" si="310"/>
        <v>1</v>
      </c>
      <c r="AA1420" s="43">
        <f t="shared" si="311"/>
        <v>127833</v>
      </c>
      <c r="AB1420" s="43">
        <f t="shared" si="312"/>
        <v>52297</v>
      </c>
      <c r="AC1420" s="43">
        <f t="shared" ref="AC1420:AC1483" si="322">AVERAGEIFS(Q:Q,B:B,B1420,N:N,0,Q:Q,"&gt;0")</f>
        <v>6.9618232924242435E-2</v>
      </c>
      <c r="AD1420" s="43">
        <f t="shared" ref="AD1420:AD1483" si="323">AVERAGEIFS(S:S,B:B,B1420,N:N,0,S:S,"&gt;0")</f>
        <v>0.78767596906060611</v>
      </c>
      <c r="AF1420" s="43">
        <v>12.082495456535007</v>
      </c>
      <c r="AG1420" s="43">
        <v>7.8794424000000002E-2</v>
      </c>
      <c r="AH1420" s="43">
        <v>5.7976780999999998E-2</v>
      </c>
      <c r="AI1420" s="43">
        <v>0.70257058800000005</v>
      </c>
      <c r="AJ1420" s="43">
        <v>2.0148175359999998</v>
      </c>
      <c r="AK1420" s="43">
        <v>8.0057898600000001</v>
      </c>
      <c r="AL1420" s="43">
        <v>4.9202426E-2</v>
      </c>
      <c r="AM1420" s="230">
        <v>0.17020894181082899</v>
      </c>
      <c r="AN1420" s="43">
        <v>0.64780948100000002</v>
      </c>
    </row>
    <row r="1421" spans="1:40" x14ac:dyDescent="0.25">
      <c r="A1421" s="134">
        <v>1411</v>
      </c>
      <c r="B1421" s="134" t="s">
        <v>213</v>
      </c>
      <c r="C1421" s="134" t="s">
        <v>210</v>
      </c>
      <c r="D1421" s="134" t="s">
        <v>211</v>
      </c>
      <c r="E1421" s="134">
        <v>325</v>
      </c>
      <c r="F1421" s="134">
        <v>1708</v>
      </c>
      <c r="G1421" s="134">
        <v>9</v>
      </c>
      <c r="H1421" s="134">
        <v>727</v>
      </c>
      <c r="I1421" s="200">
        <v>1.59182352917E-2</v>
      </c>
      <c r="J1421" s="134">
        <v>2435</v>
      </c>
      <c r="K1421" s="134">
        <v>152969.21771600001</v>
      </c>
      <c r="L1421" s="42">
        <v>0.53202121581899997</v>
      </c>
      <c r="M1421" s="42">
        <v>0.69106463878299995</v>
      </c>
      <c r="N1421" s="134">
        <v>1</v>
      </c>
      <c r="O1421" s="43" t="s">
        <v>627</v>
      </c>
      <c r="P1421" s="43">
        <f t="shared" si="313"/>
        <v>14.337866506031435</v>
      </c>
      <c r="Q1421" s="43">
        <f t="shared" si="314"/>
        <v>0.13069452200000001</v>
      </c>
      <c r="R1421" s="43">
        <f t="shared" si="315"/>
        <v>6.4744218000000006E-2</v>
      </c>
      <c r="S1421" s="43">
        <f t="shared" si="316"/>
        <v>0.53202121599999996</v>
      </c>
      <c r="T1421" s="43">
        <f t="shared" si="317"/>
        <v>1.7538767609999999</v>
      </c>
      <c r="U1421" s="43">
        <f t="shared" si="318"/>
        <v>6.9943647289999999</v>
      </c>
      <c r="V1421" s="43">
        <f t="shared" si="319"/>
        <v>8.5946713999999994E-2</v>
      </c>
      <c r="W1421" s="230">
        <f t="shared" si="320"/>
        <v>0.30610845026354427</v>
      </c>
      <c r="X1421" s="43">
        <f t="shared" si="321"/>
        <v>0.42936051400000003</v>
      </c>
      <c r="Y1421" s="43">
        <v>65.095952060000002</v>
      </c>
      <c r="Z1421" s="43">
        <f t="shared" si="310"/>
        <v>1</v>
      </c>
      <c r="AA1421" s="43">
        <f t="shared" si="311"/>
        <v>127833</v>
      </c>
      <c r="AB1421" s="43">
        <f t="shared" si="312"/>
        <v>52297</v>
      </c>
      <c r="AC1421" s="43">
        <f t="shared" si="322"/>
        <v>6.9618232924242435E-2</v>
      </c>
      <c r="AD1421" s="43">
        <f t="shared" si="323"/>
        <v>0.78767596906060611</v>
      </c>
      <c r="AF1421" s="43">
        <v>14.337866506031435</v>
      </c>
      <c r="AG1421" s="43">
        <v>0.13069452200000001</v>
      </c>
      <c r="AH1421" s="43">
        <v>6.4744218000000006E-2</v>
      </c>
      <c r="AI1421" s="43">
        <v>0.53202121599999996</v>
      </c>
      <c r="AJ1421" s="43">
        <v>1.7538767609999999</v>
      </c>
      <c r="AK1421" s="43">
        <v>6.9943647289999999</v>
      </c>
      <c r="AL1421" s="43">
        <v>8.5946713999999994E-2</v>
      </c>
      <c r="AM1421" s="230">
        <v>0.30610845026354427</v>
      </c>
      <c r="AN1421" s="43">
        <v>0.42936051400000003</v>
      </c>
    </row>
    <row r="1422" spans="1:40" x14ac:dyDescent="0.25">
      <c r="A1422" s="134">
        <v>1412</v>
      </c>
      <c r="B1422" s="134" t="s">
        <v>213</v>
      </c>
      <c r="C1422" s="134" t="s">
        <v>210</v>
      </c>
      <c r="D1422" s="134" t="s">
        <v>211</v>
      </c>
      <c r="E1422" s="134">
        <v>524</v>
      </c>
      <c r="F1422" s="134">
        <v>1069</v>
      </c>
      <c r="G1422" s="134">
        <v>7</v>
      </c>
      <c r="H1422" s="134">
        <v>409</v>
      </c>
      <c r="I1422" s="200">
        <v>1.4497554293699999E-2</v>
      </c>
      <c r="J1422" s="134">
        <v>1478</v>
      </c>
      <c r="K1422" s="134">
        <v>101948.230029</v>
      </c>
      <c r="L1422" s="42">
        <v>0.60254930099199999</v>
      </c>
      <c r="M1422" s="42">
        <v>0.43837084673100002</v>
      </c>
      <c r="N1422" s="134">
        <v>1</v>
      </c>
      <c r="O1422" s="43" t="s">
        <v>627</v>
      </c>
      <c r="P1422" s="43">
        <f t="shared" si="313"/>
        <v>13.026186740629257</v>
      </c>
      <c r="Q1422" s="43">
        <f t="shared" si="314"/>
        <v>0.119361812</v>
      </c>
      <c r="R1422" s="43">
        <f t="shared" si="315"/>
        <v>4.7979226E-2</v>
      </c>
      <c r="S1422" s="43">
        <f t="shared" si="316"/>
        <v>0.60254930100000004</v>
      </c>
      <c r="T1422" s="43">
        <f t="shared" si="317"/>
        <v>1.7206421679999999</v>
      </c>
      <c r="U1422" s="43">
        <f t="shared" si="318"/>
        <v>5.9663074050000002</v>
      </c>
      <c r="V1422" s="43">
        <f t="shared" si="319"/>
        <v>6.8189555999999998E-2</v>
      </c>
      <c r="W1422" s="230">
        <f t="shared" si="320"/>
        <v>0.2553460547007993</v>
      </c>
      <c r="X1422" s="43">
        <f t="shared" si="321"/>
        <v>0.49319887800000001</v>
      </c>
      <c r="Y1422" s="43">
        <v>173.76387919999999</v>
      </c>
      <c r="Z1422" s="43">
        <f t="shared" si="310"/>
        <v>1</v>
      </c>
      <c r="AA1422" s="43">
        <f t="shared" si="311"/>
        <v>127833</v>
      </c>
      <c r="AB1422" s="43">
        <f t="shared" si="312"/>
        <v>52297</v>
      </c>
      <c r="AC1422" s="43">
        <f t="shared" si="322"/>
        <v>6.9618232924242435E-2</v>
      </c>
      <c r="AD1422" s="43">
        <f t="shared" si="323"/>
        <v>0.78767596906060611</v>
      </c>
      <c r="AF1422" s="43">
        <v>13.026186740629257</v>
      </c>
      <c r="AG1422" s="43">
        <v>0.119361812</v>
      </c>
      <c r="AH1422" s="43">
        <v>4.7979226E-2</v>
      </c>
      <c r="AI1422" s="43">
        <v>0.60254930100000004</v>
      </c>
      <c r="AJ1422" s="43">
        <v>1.7206421679999999</v>
      </c>
      <c r="AK1422" s="43">
        <v>5.9663074050000002</v>
      </c>
      <c r="AL1422" s="43">
        <v>6.8189555999999998E-2</v>
      </c>
      <c r="AM1422" s="230">
        <v>0.2553460547007993</v>
      </c>
      <c r="AN1422" s="43">
        <v>0.49319887800000001</v>
      </c>
    </row>
    <row r="1423" spans="1:40" x14ac:dyDescent="0.25">
      <c r="A1423" s="134">
        <v>1413</v>
      </c>
      <c r="B1423" s="134" t="s">
        <v>213</v>
      </c>
      <c r="C1423" s="134" t="s">
        <v>210</v>
      </c>
      <c r="D1423" s="134" t="s">
        <v>211</v>
      </c>
      <c r="E1423" s="134">
        <v>707</v>
      </c>
      <c r="F1423" s="134">
        <v>1443</v>
      </c>
      <c r="G1423" s="134">
        <v>9</v>
      </c>
      <c r="H1423" s="134">
        <v>552</v>
      </c>
      <c r="I1423" s="200">
        <v>1.6826201534399999E-2</v>
      </c>
      <c r="J1423" s="134">
        <v>1995</v>
      </c>
      <c r="K1423" s="134">
        <v>118565.084099</v>
      </c>
      <c r="L1423" s="42">
        <v>0.60451029423299996</v>
      </c>
      <c r="M1423" s="42">
        <v>0.43844320889600003</v>
      </c>
      <c r="N1423" s="134">
        <v>1</v>
      </c>
      <c r="O1423" s="43" t="s">
        <v>627</v>
      </c>
      <c r="P1423" s="43">
        <f t="shared" si="313"/>
        <v>13.266670631224054</v>
      </c>
      <c r="Q1423" s="43">
        <f t="shared" si="314"/>
        <v>0.12146190900000001</v>
      </c>
      <c r="R1423" s="43">
        <f t="shared" si="315"/>
        <v>4.7239712000000003E-2</v>
      </c>
      <c r="S1423" s="43">
        <f t="shared" si="316"/>
        <v>0.604510294</v>
      </c>
      <c r="T1423" s="43">
        <f t="shared" si="317"/>
        <v>1.7331953899999999</v>
      </c>
      <c r="U1423" s="43">
        <f t="shared" si="318"/>
        <v>6.2135688399999998</v>
      </c>
      <c r="V1423" s="43">
        <f t="shared" si="319"/>
        <v>6.8508085999999996E-2</v>
      </c>
      <c r="W1423" s="230">
        <f t="shared" si="320"/>
        <v>0.2613604700466412</v>
      </c>
      <c r="X1423" s="43">
        <f t="shared" si="321"/>
        <v>0.49307650400000003</v>
      </c>
      <c r="Y1423" s="43">
        <v>174.54716260000001</v>
      </c>
      <c r="Z1423" s="43">
        <f t="shared" si="310"/>
        <v>1</v>
      </c>
      <c r="AA1423" s="43">
        <f t="shared" si="311"/>
        <v>127833</v>
      </c>
      <c r="AB1423" s="43">
        <f t="shared" si="312"/>
        <v>52297</v>
      </c>
      <c r="AC1423" s="43">
        <f t="shared" si="322"/>
        <v>6.9618232924242435E-2</v>
      </c>
      <c r="AD1423" s="43">
        <f t="shared" si="323"/>
        <v>0.78767596906060611</v>
      </c>
      <c r="AF1423" s="43">
        <v>13.266670631224054</v>
      </c>
      <c r="AG1423" s="43">
        <v>0.12146190900000001</v>
      </c>
      <c r="AH1423" s="43">
        <v>4.7239712000000003E-2</v>
      </c>
      <c r="AI1423" s="43">
        <v>0.604510294</v>
      </c>
      <c r="AJ1423" s="43">
        <v>1.7331953899999999</v>
      </c>
      <c r="AK1423" s="43">
        <v>6.2135688399999998</v>
      </c>
      <c r="AL1423" s="43">
        <v>6.8508085999999996E-2</v>
      </c>
      <c r="AM1423" s="230">
        <v>0.2613604700466412</v>
      </c>
      <c r="AN1423" s="43">
        <v>0.49307650400000003</v>
      </c>
    </row>
    <row r="1424" spans="1:40" x14ac:dyDescent="0.25">
      <c r="A1424" s="134">
        <v>1414</v>
      </c>
      <c r="B1424" s="134" t="s">
        <v>213</v>
      </c>
      <c r="C1424" s="134" t="s">
        <v>210</v>
      </c>
      <c r="D1424" s="134" t="s">
        <v>211</v>
      </c>
      <c r="E1424" s="134">
        <v>686</v>
      </c>
      <c r="F1424" s="134">
        <v>1399</v>
      </c>
      <c r="G1424" s="134">
        <v>8</v>
      </c>
      <c r="H1424" s="134">
        <v>536</v>
      </c>
      <c r="I1424" s="200">
        <v>1.6190386895099999E-2</v>
      </c>
      <c r="J1424" s="134">
        <v>1935</v>
      </c>
      <c r="K1424" s="134">
        <v>119515.36504600001</v>
      </c>
      <c r="L1424" s="42">
        <v>0.62044506375399999</v>
      </c>
      <c r="M1424" s="42">
        <v>0.43862520458299997</v>
      </c>
      <c r="N1424" s="134">
        <v>1</v>
      </c>
      <c r="O1424" s="43" t="s">
        <v>627</v>
      </c>
      <c r="P1424" s="43">
        <f t="shared" si="313"/>
        <v>13.312605452931752</v>
      </c>
      <c r="Q1424" s="43">
        <f t="shared" si="314"/>
        <v>0.118473811</v>
      </c>
      <c r="R1424" s="43">
        <f t="shared" si="315"/>
        <v>5.1059496000000003E-2</v>
      </c>
      <c r="S1424" s="43">
        <f t="shared" si="316"/>
        <v>0.62044506399999999</v>
      </c>
      <c r="T1424" s="43">
        <f t="shared" si="317"/>
        <v>1.812873022</v>
      </c>
      <c r="U1424" s="43">
        <f t="shared" si="318"/>
        <v>6.3404812760000002</v>
      </c>
      <c r="V1424" s="43">
        <f t="shared" si="319"/>
        <v>7.6859689999999994E-2</v>
      </c>
      <c r="W1424" s="230">
        <f t="shared" si="320"/>
        <v>0.25408894548905031</v>
      </c>
      <c r="X1424" s="43">
        <f t="shared" si="321"/>
        <v>0.51676779799999994</v>
      </c>
      <c r="Y1424" s="43">
        <v>294.85197820000002</v>
      </c>
      <c r="Z1424" s="43">
        <f t="shared" si="310"/>
        <v>1</v>
      </c>
      <c r="AA1424" s="43">
        <f t="shared" si="311"/>
        <v>127833</v>
      </c>
      <c r="AB1424" s="43">
        <f t="shared" si="312"/>
        <v>52297</v>
      </c>
      <c r="AC1424" s="43">
        <f t="shared" si="322"/>
        <v>6.9618232924242435E-2</v>
      </c>
      <c r="AD1424" s="43">
        <f t="shared" si="323"/>
        <v>0.78767596906060611</v>
      </c>
      <c r="AF1424" s="43">
        <v>13.312605452931752</v>
      </c>
      <c r="AG1424" s="43">
        <v>0.118473811</v>
      </c>
      <c r="AH1424" s="43">
        <v>5.1059496000000003E-2</v>
      </c>
      <c r="AI1424" s="43">
        <v>0.62044506399999999</v>
      </c>
      <c r="AJ1424" s="43">
        <v>1.812873022</v>
      </c>
      <c r="AK1424" s="43">
        <v>6.3404812760000002</v>
      </c>
      <c r="AL1424" s="43">
        <v>7.6859689999999994E-2</v>
      </c>
      <c r="AM1424" s="230">
        <v>0.25408894548905031</v>
      </c>
      <c r="AN1424" s="43">
        <v>0.51676779799999994</v>
      </c>
    </row>
    <row r="1425" spans="1:40" x14ac:dyDescent="0.25">
      <c r="A1425" s="134">
        <v>1415</v>
      </c>
      <c r="B1425" s="134" t="s">
        <v>213</v>
      </c>
      <c r="C1425" s="134" t="s">
        <v>210</v>
      </c>
      <c r="D1425" s="134" t="s">
        <v>211</v>
      </c>
      <c r="E1425" s="134">
        <v>188</v>
      </c>
      <c r="F1425" s="134">
        <v>400</v>
      </c>
      <c r="G1425" s="134">
        <v>14</v>
      </c>
      <c r="H1425" s="134">
        <v>330</v>
      </c>
      <c r="I1425" s="200">
        <v>3.2357839896000003E-2</v>
      </c>
      <c r="J1425" s="134">
        <v>730</v>
      </c>
      <c r="K1425" s="134">
        <v>22560.220408599998</v>
      </c>
      <c r="L1425" s="42">
        <v>0.72098699246599995</v>
      </c>
      <c r="M1425" s="42">
        <v>0.63706563706599995</v>
      </c>
      <c r="N1425" s="134">
        <v>0</v>
      </c>
      <c r="O1425" s="43" t="s">
        <v>627</v>
      </c>
      <c r="P1425" s="43">
        <f t="shared" si="313"/>
        <v>11.836537408736698</v>
      </c>
      <c r="Q1425" s="43">
        <f t="shared" si="314"/>
        <v>7.9343133999999996E-2</v>
      </c>
      <c r="R1425" s="43">
        <f t="shared" si="315"/>
        <v>3.7865748999999997E-2</v>
      </c>
      <c r="S1425" s="43">
        <f t="shared" si="316"/>
        <v>0.72098699200000005</v>
      </c>
      <c r="T1425" s="43">
        <f t="shared" si="317"/>
        <v>1.7842789050000001</v>
      </c>
      <c r="U1425" s="43">
        <f t="shared" si="318"/>
        <v>6.2714678639999999</v>
      </c>
      <c r="V1425" s="43">
        <f t="shared" si="319"/>
        <v>4.2484738000000001E-2</v>
      </c>
      <c r="W1425" s="230">
        <f t="shared" si="320"/>
        <v>0.1600395974261673</v>
      </c>
      <c r="X1425" s="43">
        <f t="shared" si="321"/>
        <v>0.66476928999999996</v>
      </c>
      <c r="Y1425" s="43">
        <v>159.10590880000001</v>
      </c>
      <c r="Z1425" s="43">
        <f t="shared" si="310"/>
        <v>1</v>
      </c>
      <c r="AA1425" s="43">
        <f t="shared" si="311"/>
        <v>127833</v>
      </c>
      <c r="AB1425" s="43">
        <f t="shared" si="312"/>
        <v>52297</v>
      </c>
      <c r="AC1425" s="43">
        <f t="shared" si="322"/>
        <v>6.9618232924242435E-2</v>
      </c>
      <c r="AD1425" s="43">
        <f t="shared" si="323"/>
        <v>0.78767596906060611</v>
      </c>
      <c r="AF1425" s="43">
        <v>11.836537408736698</v>
      </c>
      <c r="AG1425" s="43">
        <v>7.9343133999999996E-2</v>
      </c>
      <c r="AH1425" s="43">
        <v>3.7865748999999997E-2</v>
      </c>
      <c r="AI1425" s="43">
        <v>0.72098699200000005</v>
      </c>
      <c r="AJ1425" s="43">
        <v>1.7842789050000001</v>
      </c>
      <c r="AK1425" s="43">
        <v>6.2714678639999999</v>
      </c>
      <c r="AL1425" s="43">
        <v>4.2484738000000001E-2</v>
      </c>
      <c r="AM1425" s="230">
        <v>0.1600395974261673</v>
      </c>
      <c r="AN1425" s="43">
        <v>0.66476928999999996</v>
      </c>
    </row>
    <row r="1426" spans="1:40" x14ac:dyDescent="0.25">
      <c r="A1426" s="134">
        <v>1416</v>
      </c>
      <c r="B1426" s="134" t="s">
        <v>213</v>
      </c>
      <c r="C1426" s="134" t="s">
        <v>210</v>
      </c>
      <c r="D1426" s="134" t="s">
        <v>211</v>
      </c>
      <c r="E1426" s="134">
        <v>316</v>
      </c>
      <c r="F1426" s="134">
        <v>669</v>
      </c>
      <c r="G1426" s="134">
        <v>21</v>
      </c>
      <c r="H1426" s="134">
        <v>620</v>
      </c>
      <c r="I1426" s="200">
        <v>4.9164101607000001E-2</v>
      </c>
      <c r="J1426" s="134">
        <v>1289</v>
      </c>
      <c r="K1426" s="134">
        <v>26218.316980700001</v>
      </c>
      <c r="L1426" s="42">
        <v>0.72544185401500005</v>
      </c>
      <c r="M1426" s="42">
        <v>0.66239316239299995</v>
      </c>
      <c r="N1426" s="134">
        <v>1</v>
      </c>
      <c r="O1426" s="43" t="s">
        <v>627</v>
      </c>
      <c r="P1426" s="43">
        <f t="shared" si="313"/>
        <v>12.275634379457754</v>
      </c>
      <c r="Q1426" s="43">
        <f t="shared" si="314"/>
        <v>9.6687828000000003E-2</v>
      </c>
      <c r="R1426" s="43">
        <f t="shared" si="315"/>
        <v>3.6719725000000002E-2</v>
      </c>
      <c r="S1426" s="43">
        <f t="shared" si="316"/>
        <v>0.72544185400000005</v>
      </c>
      <c r="T1426" s="43">
        <f t="shared" si="317"/>
        <v>1.8865066049999999</v>
      </c>
      <c r="U1426" s="43">
        <f t="shared" si="318"/>
        <v>6.8851374849999996</v>
      </c>
      <c r="V1426" s="43">
        <f t="shared" si="319"/>
        <v>4.2129872999999998E-2</v>
      </c>
      <c r="W1426" s="230">
        <f t="shared" si="320"/>
        <v>0.19834019756603596</v>
      </c>
      <c r="X1426" s="43">
        <f t="shared" si="321"/>
        <v>0.662728765</v>
      </c>
      <c r="Y1426" s="43">
        <v>163.4894784</v>
      </c>
      <c r="Z1426" s="43">
        <f t="shared" si="310"/>
        <v>1</v>
      </c>
      <c r="AA1426" s="43">
        <f t="shared" si="311"/>
        <v>127833</v>
      </c>
      <c r="AB1426" s="43">
        <f t="shared" si="312"/>
        <v>52297</v>
      </c>
      <c r="AC1426" s="43">
        <f t="shared" si="322"/>
        <v>6.9618232924242435E-2</v>
      </c>
      <c r="AD1426" s="43">
        <f t="shared" si="323"/>
        <v>0.78767596906060611</v>
      </c>
      <c r="AF1426" s="43">
        <v>12.275634379457754</v>
      </c>
      <c r="AG1426" s="43">
        <v>9.6687828000000003E-2</v>
      </c>
      <c r="AH1426" s="43">
        <v>3.6719725000000002E-2</v>
      </c>
      <c r="AI1426" s="43">
        <v>0.72544185400000005</v>
      </c>
      <c r="AJ1426" s="43">
        <v>1.8865066049999999</v>
      </c>
      <c r="AK1426" s="43">
        <v>6.8851374849999996</v>
      </c>
      <c r="AL1426" s="43">
        <v>4.2129872999999998E-2</v>
      </c>
      <c r="AM1426" s="230">
        <v>0.19834019756603596</v>
      </c>
      <c r="AN1426" s="43">
        <v>0.662728765</v>
      </c>
    </row>
    <row r="1427" spans="1:40" x14ac:dyDescent="0.25">
      <c r="A1427" s="134">
        <v>1417</v>
      </c>
      <c r="B1427" s="134" t="s">
        <v>213</v>
      </c>
      <c r="C1427" s="134" t="s">
        <v>210</v>
      </c>
      <c r="D1427" s="134" t="s">
        <v>211</v>
      </c>
      <c r="E1427" s="134">
        <v>270</v>
      </c>
      <c r="F1427" s="134">
        <v>572</v>
      </c>
      <c r="G1427" s="134">
        <v>14</v>
      </c>
      <c r="H1427" s="134">
        <v>407</v>
      </c>
      <c r="I1427" s="200">
        <v>3.0507728796E-2</v>
      </c>
      <c r="J1427" s="134">
        <v>979</v>
      </c>
      <c r="K1427" s="134">
        <v>32090.2288907</v>
      </c>
      <c r="L1427" s="42">
        <v>0.71555815106200005</v>
      </c>
      <c r="M1427" s="42">
        <v>0.60118168390000004</v>
      </c>
      <c r="N1427" s="134">
        <v>1</v>
      </c>
      <c r="O1427" s="43" t="s">
        <v>627</v>
      </c>
      <c r="P1427" s="43">
        <f t="shared" si="313"/>
        <v>11.940905757980937</v>
      </c>
      <c r="Q1427" s="43">
        <f t="shared" si="314"/>
        <v>0.10789562799999999</v>
      </c>
      <c r="R1427" s="43">
        <f t="shared" si="315"/>
        <v>3.7282046999999999E-2</v>
      </c>
      <c r="S1427" s="43">
        <f t="shared" si="316"/>
        <v>0.71555815099999998</v>
      </c>
      <c r="T1427" s="43">
        <f t="shared" si="317"/>
        <v>1.881279138</v>
      </c>
      <c r="U1427" s="43">
        <f t="shared" si="318"/>
        <v>6.2296080529999998</v>
      </c>
      <c r="V1427" s="43">
        <f t="shared" si="319"/>
        <v>3.9839401000000003E-2</v>
      </c>
      <c r="W1427" s="230">
        <f t="shared" si="320"/>
        <v>0.2332208861938368</v>
      </c>
      <c r="X1427" s="43">
        <f t="shared" si="321"/>
        <v>0.63165628399999996</v>
      </c>
      <c r="Y1427" s="43">
        <v>162.7998202</v>
      </c>
      <c r="Z1427" s="43">
        <f t="shared" si="310"/>
        <v>1</v>
      </c>
      <c r="AA1427" s="43">
        <f t="shared" si="311"/>
        <v>127833</v>
      </c>
      <c r="AB1427" s="43">
        <f t="shared" si="312"/>
        <v>52297</v>
      </c>
      <c r="AC1427" s="43">
        <f t="shared" si="322"/>
        <v>6.9618232924242435E-2</v>
      </c>
      <c r="AD1427" s="43">
        <f t="shared" si="323"/>
        <v>0.78767596906060611</v>
      </c>
      <c r="AF1427" s="43">
        <v>11.940905757980937</v>
      </c>
      <c r="AG1427" s="43">
        <v>0.10789562799999999</v>
      </c>
      <c r="AH1427" s="43">
        <v>3.7282046999999999E-2</v>
      </c>
      <c r="AI1427" s="43">
        <v>0.71555815099999998</v>
      </c>
      <c r="AJ1427" s="43">
        <v>1.881279138</v>
      </c>
      <c r="AK1427" s="43">
        <v>6.2296080529999998</v>
      </c>
      <c r="AL1427" s="43">
        <v>3.9839401000000003E-2</v>
      </c>
      <c r="AM1427" s="230">
        <v>0.2332208861938368</v>
      </c>
      <c r="AN1427" s="43">
        <v>0.63165628399999996</v>
      </c>
    </row>
    <row r="1428" spans="1:40" x14ac:dyDescent="0.25">
      <c r="A1428" s="134">
        <v>1418</v>
      </c>
      <c r="B1428" s="134" t="s">
        <v>213</v>
      </c>
      <c r="C1428" s="134" t="s">
        <v>210</v>
      </c>
      <c r="D1428" s="134" t="s">
        <v>211</v>
      </c>
      <c r="E1428" s="134">
        <v>739</v>
      </c>
      <c r="F1428" s="134">
        <v>1662</v>
      </c>
      <c r="G1428" s="134">
        <v>29</v>
      </c>
      <c r="H1428" s="134">
        <v>362</v>
      </c>
      <c r="I1428" s="200">
        <v>7.6471066103100005E-2</v>
      </c>
      <c r="J1428" s="134">
        <v>2024</v>
      </c>
      <c r="K1428" s="134">
        <v>26467.526911000001</v>
      </c>
      <c r="L1428" s="42">
        <v>0.68118082961600002</v>
      </c>
      <c r="M1428" s="42">
        <v>0.328792007266</v>
      </c>
      <c r="N1428" s="134">
        <v>1</v>
      </c>
      <c r="O1428" s="43" t="s">
        <v>664</v>
      </c>
      <c r="P1428" s="43">
        <f t="shared" si="313"/>
        <v>12.267719599165906</v>
      </c>
      <c r="Q1428" s="43">
        <f t="shared" si="314"/>
        <v>0.140946723</v>
      </c>
      <c r="R1428" s="43">
        <f t="shared" si="315"/>
        <v>3.9011561E-2</v>
      </c>
      <c r="S1428" s="43">
        <f t="shared" si="316"/>
        <v>0.68118082999999996</v>
      </c>
      <c r="T1428" s="43">
        <f t="shared" si="317"/>
        <v>2.0116418829999998</v>
      </c>
      <c r="U1428" s="43">
        <f t="shared" si="318"/>
        <v>6.8689958259999999</v>
      </c>
      <c r="V1428" s="43">
        <f t="shared" si="319"/>
        <v>4.0569460000000002E-2</v>
      </c>
      <c r="W1428" s="230">
        <f t="shared" si="320"/>
        <v>0.26602328406058157</v>
      </c>
      <c r="X1428" s="43">
        <f t="shared" si="321"/>
        <v>0.60263412299999997</v>
      </c>
      <c r="Y1428" s="43">
        <v>223.29593850000001</v>
      </c>
      <c r="Z1428" s="43">
        <f t="shared" si="310"/>
        <v>1</v>
      </c>
      <c r="AA1428" s="43">
        <f t="shared" si="311"/>
        <v>127833</v>
      </c>
      <c r="AB1428" s="43">
        <f t="shared" si="312"/>
        <v>52297</v>
      </c>
      <c r="AC1428" s="43">
        <f t="shared" si="322"/>
        <v>6.9618232924242435E-2</v>
      </c>
      <c r="AD1428" s="43">
        <f t="shared" si="323"/>
        <v>0.78767596906060611</v>
      </c>
      <c r="AF1428" s="43">
        <v>12.267719599165906</v>
      </c>
      <c r="AG1428" s="43">
        <v>0.140946723</v>
      </c>
      <c r="AH1428" s="43">
        <v>3.9011561E-2</v>
      </c>
      <c r="AI1428" s="43">
        <v>0.68118082999999996</v>
      </c>
      <c r="AJ1428" s="43">
        <v>2.0116418829999998</v>
      </c>
      <c r="AK1428" s="43">
        <v>6.8689958259999999</v>
      </c>
      <c r="AL1428" s="43">
        <v>4.0569460000000002E-2</v>
      </c>
      <c r="AM1428" s="230">
        <v>0.26602328406058157</v>
      </c>
      <c r="AN1428" s="43">
        <v>0.60263412299999997</v>
      </c>
    </row>
    <row r="1429" spans="1:40" x14ac:dyDescent="0.25">
      <c r="A1429" s="134">
        <v>1419</v>
      </c>
      <c r="B1429" s="134" t="s">
        <v>213</v>
      </c>
      <c r="C1429" s="134" t="s">
        <v>210</v>
      </c>
      <c r="D1429" s="134" t="s">
        <v>211</v>
      </c>
      <c r="E1429" s="134">
        <v>507</v>
      </c>
      <c r="F1429" s="134">
        <v>1336</v>
      </c>
      <c r="G1429" s="134">
        <v>20</v>
      </c>
      <c r="H1429" s="134">
        <v>219</v>
      </c>
      <c r="I1429" s="200">
        <v>6.0936597604999997E-2</v>
      </c>
      <c r="J1429" s="134">
        <v>1555</v>
      </c>
      <c r="K1429" s="134">
        <v>25518.326606899998</v>
      </c>
      <c r="L1429" s="42">
        <v>0.70993561592599996</v>
      </c>
      <c r="M1429" s="42">
        <v>0.30165289256200001</v>
      </c>
      <c r="N1429" s="134">
        <v>1</v>
      </c>
      <c r="O1429" s="43" t="s">
        <v>664</v>
      </c>
      <c r="P1429" s="43">
        <f t="shared" si="313"/>
        <v>11.517858795475309</v>
      </c>
      <c r="Q1429" s="43">
        <f t="shared" si="314"/>
        <v>0.122604691</v>
      </c>
      <c r="R1429" s="43">
        <f t="shared" si="315"/>
        <v>3.8951219000000002E-2</v>
      </c>
      <c r="S1429" s="43">
        <f t="shared" si="316"/>
        <v>0.70993561599999999</v>
      </c>
      <c r="T1429" s="43">
        <f t="shared" si="317"/>
        <v>2.0580477519999998</v>
      </c>
      <c r="U1429" s="43">
        <f t="shared" si="318"/>
        <v>6.6114353230000003</v>
      </c>
      <c r="V1429" s="43">
        <f t="shared" si="319"/>
        <v>3.3032750999999999E-2</v>
      </c>
      <c r="W1429" s="230">
        <f t="shared" si="320"/>
        <v>0.24960019351977533</v>
      </c>
      <c r="X1429" s="43">
        <f t="shared" si="321"/>
        <v>0.64309040299999998</v>
      </c>
      <c r="Y1429" s="43">
        <v>182.49710020000001</v>
      </c>
      <c r="Z1429" s="43">
        <f t="shared" si="310"/>
        <v>1</v>
      </c>
      <c r="AA1429" s="43">
        <f t="shared" si="311"/>
        <v>127833</v>
      </c>
      <c r="AB1429" s="43">
        <f t="shared" si="312"/>
        <v>52297</v>
      </c>
      <c r="AC1429" s="43">
        <f t="shared" si="322"/>
        <v>6.9618232924242435E-2</v>
      </c>
      <c r="AD1429" s="43">
        <f t="shared" si="323"/>
        <v>0.78767596906060611</v>
      </c>
      <c r="AF1429" s="43">
        <v>11.517858795475309</v>
      </c>
      <c r="AG1429" s="43">
        <v>0.122604691</v>
      </c>
      <c r="AH1429" s="43">
        <v>3.8951219000000002E-2</v>
      </c>
      <c r="AI1429" s="43">
        <v>0.70993561599999999</v>
      </c>
      <c r="AJ1429" s="43">
        <v>2.0580477519999998</v>
      </c>
      <c r="AK1429" s="43">
        <v>6.6114353230000003</v>
      </c>
      <c r="AL1429" s="43">
        <v>3.3032750999999999E-2</v>
      </c>
      <c r="AM1429" s="230">
        <v>0.24960019351977533</v>
      </c>
      <c r="AN1429" s="43">
        <v>0.64309040299999998</v>
      </c>
    </row>
    <row r="1430" spans="1:40" x14ac:dyDescent="0.25">
      <c r="A1430" s="134">
        <v>1420</v>
      </c>
      <c r="B1430" s="134" t="s">
        <v>213</v>
      </c>
      <c r="C1430" s="134" t="s">
        <v>210</v>
      </c>
      <c r="D1430" s="134" t="s">
        <v>211</v>
      </c>
      <c r="E1430" s="134">
        <v>406</v>
      </c>
      <c r="F1430" s="134">
        <v>913</v>
      </c>
      <c r="G1430" s="134">
        <v>10</v>
      </c>
      <c r="H1430" s="134">
        <v>118</v>
      </c>
      <c r="I1430" s="200">
        <v>2.6313344584899999E-2</v>
      </c>
      <c r="J1430" s="134">
        <v>1031</v>
      </c>
      <c r="K1430" s="134">
        <v>39181.640200499998</v>
      </c>
      <c r="L1430" s="42">
        <v>0.65936773618599998</v>
      </c>
      <c r="M1430" s="42">
        <v>0.22519083969500001</v>
      </c>
      <c r="N1430" s="134">
        <v>1</v>
      </c>
      <c r="O1430" s="43" t="s">
        <v>627</v>
      </c>
      <c r="P1430" s="43">
        <f t="shared" si="313"/>
        <v>12.230232378972747</v>
      </c>
      <c r="Q1430" s="43">
        <f t="shared" si="314"/>
        <v>0.14655121500000001</v>
      </c>
      <c r="R1430" s="43">
        <f t="shared" si="315"/>
        <v>4.1839567000000001E-2</v>
      </c>
      <c r="S1430" s="43">
        <f t="shared" si="316"/>
        <v>0.65936773599999998</v>
      </c>
      <c r="T1430" s="43">
        <f t="shared" si="317"/>
        <v>1.934116741</v>
      </c>
      <c r="U1430" s="43">
        <f t="shared" si="318"/>
        <v>6.8737843920000001</v>
      </c>
      <c r="V1430" s="43">
        <f t="shared" si="319"/>
        <v>4.6082789999999998E-2</v>
      </c>
      <c r="W1430" s="230">
        <f t="shared" si="320"/>
        <v>0.28575121497259848</v>
      </c>
      <c r="X1430" s="43">
        <f t="shared" si="321"/>
        <v>0.56152414399999995</v>
      </c>
      <c r="Y1430" s="43">
        <v>209.9279415</v>
      </c>
      <c r="Z1430" s="43">
        <f t="shared" si="310"/>
        <v>1</v>
      </c>
      <c r="AA1430" s="43">
        <f t="shared" si="311"/>
        <v>127833</v>
      </c>
      <c r="AB1430" s="43">
        <f t="shared" si="312"/>
        <v>52297</v>
      </c>
      <c r="AC1430" s="43">
        <f t="shared" si="322"/>
        <v>6.9618232924242435E-2</v>
      </c>
      <c r="AD1430" s="43">
        <f t="shared" si="323"/>
        <v>0.78767596906060611</v>
      </c>
      <c r="AF1430" s="43">
        <v>12.230232378972747</v>
      </c>
      <c r="AG1430" s="43">
        <v>0.14655121500000001</v>
      </c>
      <c r="AH1430" s="43">
        <v>4.1839567000000001E-2</v>
      </c>
      <c r="AI1430" s="43">
        <v>0.65936773599999998</v>
      </c>
      <c r="AJ1430" s="43">
        <v>1.934116741</v>
      </c>
      <c r="AK1430" s="43">
        <v>6.8737843920000001</v>
      </c>
      <c r="AL1430" s="43">
        <v>4.6082789999999998E-2</v>
      </c>
      <c r="AM1430" s="230">
        <v>0.28575121497259848</v>
      </c>
      <c r="AN1430" s="43">
        <v>0.56152414399999995</v>
      </c>
    </row>
    <row r="1431" spans="1:40" x14ac:dyDescent="0.25">
      <c r="A1431" s="134">
        <v>1421</v>
      </c>
      <c r="B1431" s="134" t="s">
        <v>213</v>
      </c>
      <c r="C1431" s="134" t="s">
        <v>210</v>
      </c>
      <c r="D1431" s="134" t="s">
        <v>211</v>
      </c>
      <c r="E1431" s="134">
        <v>405</v>
      </c>
      <c r="F1431" s="134">
        <v>959</v>
      </c>
      <c r="G1431" s="134">
        <v>24</v>
      </c>
      <c r="H1431" s="134">
        <v>172</v>
      </c>
      <c r="I1431" s="200">
        <v>4.4111223285499997E-2</v>
      </c>
      <c r="J1431" s="134">
        <v>1131</v>
      </c>
      <c r="K1431" s="134">
        <v>25639.733286899998</v>
      </c>
      <c r="L1431" s="42">
        <v>0.73974771438499998</v>
      </c>
      <c r="M1431" s="42">
        <v>0.29809358752199999</v>
      </c>
      <c r="N1431" s="134">
        <v>1</v>
      </c>
      <c r="O1431" s="43" t="s">
        <v>664</v>
      </c>
      <c r="P1431" s="43">
        <f t="shared" si="313"/>
        <v>11.484348935293857</v>
      </c>
      <c r="Q1431" s="43">
        <f t="shared" si="314"/>
        <v>0.10502951000000001</v>
      </c>
      <c r="R1431" s="43">
        <f t="shared" si="315"/>
        <v>3.6792037999999999E-2</v>
      </c>
      <c r="S1431" s="43">
        <f t="shared" si="316"/>
        <v>0.73974771399999995</v>
      </c>
      <c r="T1431" s="43">
        <f t="shared" si="317"/>
        <v>2.0546152389999999</v>
      </c>
      <c r="U1431" s="43">
        <f t="shared" si="318"/>
        <v>6.5343123480000003</v>
      </c>
      <c r="V1431" s="43">
        <f t="shared" si="319"/>
        <v>2.9988425999999999E-2</v>
      </c>
      <c r="W1431" s="230">
        <f t="shared" si="320"/>
        <v>0.22370398521308021</v>
      </c>
      <c r="X1431" s="43">
        <f t="shared" si="321"/>
        <v>0.67513690000000004</v>
      </c>
      <c r="Y1431" s="43">
        <v>176.35395249999999</v>
      </c>
      <c r="Z1431" s="43">
        <f t="shared" si="310"/>
        <v>1</v>
      </c>
      <c r="AA1431" s="43">
        <f t="shared" si="311"/>
        <v>127833</v>
      </c>
      <c r="AB1431" s="43">
        <f t="shared" si="312"/>
        <v>52297</v>
      </c>
      <c r="AC1431" s="43">
        <f t="shared" si="322"/>
        <v>6.9618232924242435E-2</v>
      </c>
      <c r="AD1431" s="43">
        <f t="shared" si="323"/>
        <v>0.78767596906060611</v>
      </c>
      <c r="AF1431" s="43">
        <v>11.484348935293857</v>
      </c>
      <c r="AG1431" s="43">
        <v>0.10502951000000001</v>
      </c>
      <c r="AH1431" s="43">
        <v>3.6792037999999999E-2</v>
      </c>
      <c r="AI1431" s="43">
        <v>0.73974771399999995</v>
      </c>
      <c r="AJ1431" s="43">
        <v>2.0546152389999999</v>
      </c>
      <c r="AK1431" s="43">
        <v>6.5343123480000003</v>
      </c>
      <c r="AL1431" s="43">
        <v>2.9988425999999999E-2</v>
      </c>
      <c r="AM1431" s="230">
        <v>0.22370398521308021</v>
      </c>
      <c r="AN1431" s="43">
        <v>0.67513690000000004</v>
      </c>
    </row>
    <row r="1432" spans="1:40" x14ac:dyDescent="0.25">
      <c r="A1432" s="134">
        <v>1422</v>
      </c>
      <c r="B1432" s="134" t="s">
        <v>213</v>
      </c>
      <c r="C1432" s="134" t="s">
        <v>210</v>
      </c>
      <c r="D1432" s="134" t="s">
        <v>211</v>
      </c>
      <c r="E1432" s="134">
        <v>507</v>
      </c>
      <c r="F1432" s="134">
        <v>1336</v>
      </c>
      <c r="G1432" s="134">
        <v>40</v>
      </c>
      <c r="H1432" s="134">
        <v>219</v>
      </c>
      <c r="I1432" s="200">
        <v>0.12684594946</v>
      </c>
      <c r="J1432" s="134">
        <v>1555</v>
      </c>
      <c r="K1432" s="134">
        <v>12258.9645678</v>
      </c>
      <c r="L1432" s="42">
        <v>0.73335970123100003</v>
      </c>
      <c r="M1432" s="42">
        <v>0.30165289256200001</v>
      </c>
      <c r="N1432" s="134">
        <v>1</v>
      </c>
      <c r="O1432" s="43" t="s">
        <v>664</v>
      </c>
      <c r="P1432" s="43">
        <f t="shared" si="313"/>
        <v>11.339181197348289</v>
      </c>
      <c r="Q1432" s="43">
        <f t="shared" si="314"/>
        <v>0.10553878</v>
      </c>
      <c r="R1432" s="43">
        <f t="shared" si="315"/>
        <v>3.8045835E-2</v>
      </c>
      <c r="S1432" s="43">
        <f t="shared" si="316"/>
        <v>0.73335970100000003</v>
      </c>
      <c r="T1432" s="43">
        <f t="shared" si="317"/>
        <v>2.0999650120000002</v>
      </c>
      <c r="U1432" s="43">
        <f t="shared" si="318"/>
        <v>6.5939607550000003</v>
      </c>
      <c r="V1432" s="43">
        <f t="shared" si="319"/>
        <v>2.9184824000000002E-2</v>
      </c>
      <c r="W1432" s="230">
        <f t="shared" si="320"/>
        <v>0.21058382974186757</v>
      </c>
      <c r="X1432" s="43">
        <f t="shared" si="321"/>
        <v>0.68800223900000002</v>
      </c>
      <c r="Y1432" s="43">
        <v>183.09691989999999</v>
      </c>
      <c r="Z1432" s="43">
        <f t="shared" si="310"/>
        <v>1</v>
      </c>
      <c r="AA1432" s="43">
        <f t="shared" si="311"/>
        <v>127833</v>
      </c>
      <c r="AB1432" s="43">
        <f t="shared" si="312"/>
        <v>52297</v>
      </c>
      <c r="AC1432" s="43">
        <f t="shared" si="322"/>
        <v>6.9618232924242435E-2</v>
      </c>
      <c r="AD1432" s="43">
        <f t="shared" si="323"/>
        <v>0.78767596906060611</v>
      </c>
      <c r="AF1432" s="43">
        <v>11.339181197348289</v>
      </c>
      <c r="AG1432" s="43">
        <v>0.10553878</v>
      </c>
      <c r="AH1432" s="43">
        <v>3.8045835E-2</v>
      </c>
      <c r="AI1432" s="43">
        <v>0.73335970100000003</v>
      </c>
      <c r="AJ1432" s="43">
        <v>2.0999650120000002</v>
      </c>
      <c r="AK1432" s="43">
        <v>6.5939607550000003</v>
      </c>
      <c r="AL1432" s="43">
        <v>2.9184824000000002E-2</v>
      </c>
      <c r="AM1432" s="230">
        <v>0.21058382974186757</v>
      </c>
      <c r="AN1432" s="43">
        <v>0.68800223900000002</v>
      </c>
    </row>
    <row r="1433" spans="1:40" x14ac:dyDescent="0.25">
      <c r="A1433" s="134">
        <v>1423</v>
      </c>
      <c r="B1433" s="134" t="s">
        <v>213</v>
      </c>
      <c r="C1433" s="134" t="s">
        <v>210</v>
      </c>
      <c r="D1433" s="134" t="s">
        <v>211</v>
      </c>
      <c r="E1433" s="134">
        <v>6</v>
      </c>
      <c r="F1433" s="134">
        <v>16</v>
      </c>
      <c r="G1433" s="134">
        <v>66</v>
      </c>
      <c r="H1433" s="134">
        <v>173</v>
      </c>
      <c r="I1433" s="200">
        <v>0.1111921964</v>
      </c>
      <c r="J1433" s="134">
        <v>189</v>
      </c>
      <c r="K1433" s="134">
        <v>1699.75957053</v>
      </c>
      <c r="L1433" s="42">
        <v>0.95324210960599998</v>
      </c>
      <c r="M1433" s="42">
        <v>0.96648044692699997</v>
      </c>
      <c r="N1433" s="134">
        <v>0</v>
      </c>
      <c r="O1433" s="43" t="s">
        <v>666</v>
      </c>
      <c r="P1433" s="43">
        <f t="shared" si="313"/>
        <v>15.251332897883996</v>
      </c>
      <c r="Q1433" s="43">
        <f t="shared" si="314"/>
        <v>9.3974200000000003E-4</v>
      </c>
      <c r="R1433" s="43">
        <f t="shared" si="315"/>
        <v>2.3768594000000001E-2</v>
      </c>
      <c r="S1433" s="43">
        <f t="shared" si="316"/>
        <v>0.95324211000000003</v>
      </c>
      <c r="T1433" s="43">
        <f t="shared" si="317"/>
        <v>4.9343780610000003</v>
      </c>
      <c r="U1433" s="43">
        <f t="shared" si="318"/>
        <v>10.638393150000001</v>
      </c>
      <c r="V1433" s="43">
        <f t="shared" si="319"/>
        <v>3.8233883000000003E-2</v>
      </c>
      <c r="W1433" s="230">
        <f t="shared" si="320"/>
        <v>2.6395776675731883E-3</v>
      </c>
      <c r="X1433" s="43">
        <f t="shared" si="321"/>
        <v>0.90545512699999997</v>
      </c>
      <c r="Y1433" s="43">
        <v>113.5047318</v>
      </c>
      <c r="Z1433" s="43">
        <f t="shared" si="310"/>
        <v>1</v>
      </c>
      <c r="AA1433" s="43">
        <f t="shared" si="311"/>
        <v>127833</v>
      </c>
      <c r="AB1433" s="43">
        <f t="shared" si="312"/>
        <v>52297</v>
      </c>
      <c r="AC1433" s="43">
        <f t="shared" si="322"/>
        <v>6.9618232924242435E-2</v>
      </c>
      <c r="AD1433" s="43">
        <f t="shared" si="323"/>
        <v>0.78767596906060611</v>
      </c>
      <c r="AF1433" s="43">
        <v>15.251332897883996</v>
      </c>
      <c r="AG1433" s="43">
        <v>9.3974200000000003E-4</v>
      </c>
      <c r="AH1433" s="43">
        <v>2.3768594000000001E-2</v>
      </c>
      <c r="AI1433" s="43">
        <v>0.95324211000000003</v>
      </c>
      <c r="AJ1433" s="43">
        <v>4.9343780610000003</v>
      </c>
      <c r="AK1433" s="43">
        <v>10.638393150000001</v>
      </c>
      <c r="AL1433" s="43">
        <v>3.8233883000000003E-2</v>
      </c>
      <c r="AM1433" s="230">
        <v>2.6395776675731883E-3</v>
      </c>
      <c r="AN1433" s="43">
        <v>0.90545512699999997</v>
      </c>
    </row>
    <row r="1434" spans="1:40" x14ac:dyDescent="0.25">
      <c r="A1434" s="134">
        <v>1424</v>
      </c>
      <c r="B1434" s="134" t="s">
        <v>215</v>
      </c>
      <c r="C1434" s="134" t="s">
        <v>210</v>
      </c>
      <c r="D1434" s="134" t="s">
        <v>211</v>
      </c>
      <c r="E1434" s="134">
        <v>305</v>
      </c>
      <c r="F1434" s="134">
        <v>543</v>
      </c>
      <c r="G1434" s="134">
        <v>31</v>
      </c>
      <c r="H1434" s="134">
        <v>1013</v>
      </c>
      <c r="I1434" s="200">
        <v>6.2052001560599999E-2</v>
      </c>
      <c r="J1434" s="134">
        <v>1556</v>
      </c>
      <c r="K1434" s="134">
        <v>25075.742294700001</v>
      </c>
      <c r="L1434" s="42">
        <v>0.759164003561</v>
      </c>
      <c r="M1434" s="42">
        <v>0.76858877086499999</v>
      </c>
      <c r="N1434" s="134">
        <v>0</v>
      </c>
      <c r="O1434" s="43" t="s">
        <v>627</v>
      </c>
      <c r="P1434" s="43">
        <f t="shared" si="313"/>
        <v>13.428126558844875</v>
      </c>
      <c r="Q1434" s="43">
        <f t="shared" si="314"/>
        <v>0.119157583</v>
      </c>
      <c r="R1434" s="43">
        <f t="shared" si="315"/>
        <v>1.6978213999999998E-2</v>
      </c>
      <c r="S1434" s="43">
        <f t="shared" si="316"/>
        <v>0.75916400399999995</v>
      </c>
      <c r="T1434" s="43">
        <f t="shared" si="317"/>
        <v>2.7671776179999998</v>
      </c>
      <c r="U1434" s="43">
        <f t="shared" si="318"/>
        <v>7.5189578819999996</v>
      </c>
      <c r="V1434" s="43">
        <f t="shared" si="319"/>
        <v>1.8682298E-2</v>
      </c>
      <c r="W1434" s="230">
        <f t="shared" si="320"/>
        <v>0.14439724736291687</v>
      </c>
      <c r="X1434" s="43">
        <f t="shared" si="321"/>
        <v>0.78095102800000005</v>
      </c>
      <c r="Y1434" s="43">
        <v>278.5413269</v>
      </c>
      <c r="Z1434" s="43">
        <f t="shared" si="310"/>
        <v>0</v>
      </c>
      <c r="AA1434" s="43">
        <f t="shared" si="311"/>
        <v>12594</v>
      </c>
      <c r="AB1434" s="43">
        <f t="shared" si="312"/>
        <v>7074</v>
      </c>
      <c r="AC1434" s="43">
        <f t="shared" si="322"/>
        <v>0.13292227829411765</v>
      </c>
      <c r="AD1434" s="43">
        <f t="shared" si="323"/>
        <v>0.76089565670588233</v>
      </c>
      <c r="AF1434" s="43">
        <v>13.428126558844875</v>
      </c>
      <c r="AG1434" s="43">
        <v>0.119157583</v>
      </c>
      <c r="AH1434" s="43">
        <v>1.6978213999999998E-2</v>
      </c>
      <c r="AI1434" s="43">
        <v>0.75916400399999995</v>
      </c>
      <c r="AJ1434" s="43">
        <v>2.7671776179999998</v>
      </c>
      <c r="AK1434" s="43">
        <v>7.5189578819999996</v>
      </c>
      <c r="AL1434" s="43">
        <v>1.8682298E-2</v>
      </c>
      <c r="AM1434" s="230">
        <v>0.14439724736291687</v>
      </c>
      <c r="AN1434" s="43">
        <v>0.78095102800000005</v>
      </c>
    </row>
    <row r="1435" spans="1:40" x14ac:dyDescent="0.25">
      <c r="A1435" s="134">
        <v>1425</v>
      </c>
      <c r="B1435" s="134" t="s">
        <v>215</v>
      </c>
      <c r="C1435" s="134" t="s">
        <v>210</v>
      </c>
      <c r="D1435" s="134" t="s">
        <v>211</v>
      </c>
      <c r="E1435" s="134">
        <v>295</v>
      </c>
      <c r="F1435" s="134">
        <v>525</v>
      </c>
      <c r="G1435" s="134">
        <v>28</v>
      </c>
      <c r="H1435" s="134">
        <v>1974</v>
      </c>
      <c r="I1435" s="200">
        <v>5.4724829737799997E-2</v>
      </c>
      <c r="J1435" s="134">
        <v>2499</v>
      </c>
      <c r="K1435" s="134">
        <v>45664.829145600001</v>
      </c>
      <c r="L1435" s="42">
        <v>0.73992499339899998</v>
      </c>
      <c r="M1435" s="42">
        <v>0.86998677831600002</v>
      </c>
      <c r="N1435" s="134">
        <v>0</v>
      </c>
      <c r="O1435" s="43" t="s">
        <v>627</v>
      </c>
      <c r="P1435" s="43">
        <f t="shared" si="313"/>
        <v>14.519477455504894</v>
      </c>
      <c r="Q1435" s="43">
        <f t="shared" si="314"/>
        <v>0.160966831</v>
      </c>
      <c r="R1435" s="43">
        <f t="shared" si="315"/>
        <v>1.4306625E-2</v>
      </c>
      <c r="S1435" s="43">
        <f t="shared" si="316"/>
        <v>0.73992499300000003</v>
      </c>
      <c r="T1435" s="43">
        <f t="shared" si="317"/>
        <v>3.1786162390000001</v>
      </c>
      <c r="U1435" s="43">
        <f t="shared" si="318"/>
        <v>8.5989087560000002</v>
      </c>
      <c r="V1435" s="43">
        <f t="shared" si="319"/>
        <v>1.6301639999999999E-2</v>
      </c>
      <c r="W1435" s="230">
        <f t="shared" si="320"/>
        <v>0.17977168779979921</v>
      </c>
      <c r="X1435" s="43">
        <f t="shared" si="321"/>
        <v>0.75917153199999998</v>
      </c>
      <c r="Y1435" s="43">
        <v>59.655329389999999</v>
      </c>
      <c r="Z1435" s="43">
        <f t="shared" si="310"/>
        <v>0</v>
      </c>
      <c r="AA1435" s="43">
        <f t="shared" si="311"/>
        <v>12594</v>
      </c>
      <c r="AB1435" s="43">
        <f t="shared" si="312"/>
        <v>7074</v>
      </c>
      <c r="AC1435" s="43">
        <f t="shared" si="322"/>
        <v>0.13292227829411765</v>
      </c>
      <c r="AD1435" s="43">
        <f t="shared" si="323"/>
        <v>0.76089565670588233</v>
      </c>
      <c r="AF1435" s="43">
        <v>14.519477455504894</v>
      </c>
      <c r="AG1435" s="43">
        <v>0.160966831</v>
      </c>
      <c r="AH1435" s="43">
        <v>1.4306625E-2</v>
      </c>
      <c r="AI1435" s="43">
        <v>0.73992499300000003</v>
      </c>
      <c r="AJ1435" s="43">
        <v>3.1786162390000001</v>
      </c>
      <c r="AK1435" s="43">
        <v>8.5989087560000002</v>
      </c>
      <c r="AL1435" s="43">
        <v>1.6301639999999999E-2</v>
      </c>
      <c r="AM1435" s="230">
        <v>0.17977168779979921</v>
      </c>
      <c r="AN1435" s="43">
        <v>0.75917153199999998</v>
      </c>
    </row>
    <row r="1436" spans="1:40" x14ac:dyDescent="0.25">
      <c r="A1436" s="134">
        <v>1426</v>
      </c>
      <c r="B1436" s="134" t="s">
        <v>215</v>
      </c>
      <c r="C1436" s="134" t="s">
        <v>210</v>
      </c>
      <c r="D1436" s="134" t="s">
        <v>211</v>
      </c>
      <c r="E1436" s="134">
        <v>783</v>
      </c>
      <c r="F1436" s="134">
        <v>1394</v>
      </c>
      <c r="G1436" s="134">
        <v>31</v>
      </c>
      <c r="H1436" s="134">
        <v>1376</v>
      </c>
      <c r="I1436" s="200">
        <v>6.0822563894800001E-2</v>
      </c>
      <c r="J1436" s="134">
        <v>2770</v>
      </c>
      <c r="K1436" s="134">
        <v>45542.309015300001</v>
      </c>
      <c r="L1436" s="42">
        <v>0.72763631492000003</v>
      </c>
      <c r="M1436" s="42">
        <v>0.63733209819400005</v>
      </c>
      <c r="N1436" s="134">
        <v>0</v>
      </c>
      <c r="O1436" s="43" t="s">
        <v>627</v>
      </c>
      <c r="P1436" s="43">
        <f t="shared" si="313"/>
        <v>14.035935771923251</v>
      </c>
      <c r="Q1436" s="43">
        <f t="shared" si="314"/>
        <v>0.15214575999999999</v>
      </c>
      <c r="R1436" s="43">
        <f t="shared" si="315"/>
        <v>1.6312239999999999E-2</v>
      </c>
      <c r="S1436" s="43">
        <f t="shared" si="316"/>
        <v>0.72763631500000003</v>
      </c>
      <c r="T1436" s="43">
        <f t="shared" si="317"/>
        <v>3.0242314850000001</v>
      </c>
      <c r="U1436" s="43">
        <f t="shared" si="318"/>
        <v>8.2032759639999995</v>
      </c>
      <c r="V1436" s="43">
        <f t="shared" si="319"/>
        <v>2.1093684000000001E-2</v>
      </c>
      <c r="W1436" s="230">
        <f t="shared" si="320"/>
        <v>0.19394658753709199</v>
      </c>
      <c r="X1436" s="43">
        <f t="shared" si="321"/>
        <v>0.737744807</v>
      </c>
      <c r="Y1436" s="43">
        <v>38.679697840000003</v>
      </c>
      <c r="Z1436" s="43">
        <f t="shared" si="310"/>
        <v>0</v>
      </c>
      <c r="AA1436" s="43">
        <f t="shared" si="311"/>
        <v>12594</v>
      </c>
      <c r="AB1436" s="43">
        <f t="shared" si="312"/>
        <v>7074</v>
      </c>
      <c r="AC1436" s="43">
        <f t="shared" si="322"/>
        <v>0.13292227829411765</v>
      </c>
      <c r="AD1436" s="43">
        <f t="shared" si="323"/>
        <v>0.76089565670588233</v>
      </c>
      <c r="AF1436" s="43">
        <v>14.035935771923251</v>
      </c>
      <c r="AG1436" s="43">
        <v>0.15214575999999999</v>
      </c>
      <c r="AH1436" s="43">
        <v>1.6312239999999999E-2</v>
      </c>
      <c r="AI1436" s="43">
        <v>0.72763631500000003</v>
      </c>
      <c r="AJ1436" s="43">
        <v>3.0242314850000001</v>
      </c>
      <c r="AK1436" s="43">
        <v>8.2032759639999995</v>
      </c>
      <c r="AL1436" s="43">
        <v>2.1093684000000001E-2</v>
      </c>
      <c r="AM1436" s="230">
        <v>0.19394658753709199</v>
      </c>
      <c r="AN1436" s="43">
        <v>0.737744807</v>
      </c>
    </row>
    <row r="1437" spans="1:40" x14ac:dyDescent="0.25">
      <c r="A1437" s="134">
        <v>1427</v>
      </c>
      <c r="B1437" s="134" t="s">
        <v>215</v>
      </c>
      <c r="C1437" s="134" t="s">
        <v>210</v>
      </c>
      <c r="D1437" s="134" t="s">
        <v>211</v>
      </c>
      <c r="E1437" s="134">
        <v>96</v>
      </c>
      <c r="F1437" s="134">
        <v>171</v>
      </c>
      <c r="G1437" s="134">
        <v>52</v>
      </c>
      <c r="H1437" s="134">
        <v>685</v>
      </c>
      <c r="I1437" s="200">
        <v>0.102459573725</v>
      </c>
      <c r="J1437" s="134">
        <v>856</v>
      </c>
      <c r="K1437" s="134">
        <v>8354.5145551900005</v>
      </c>
      <c r="L1437" s="42">
        <v>0.77647320179699997</v>
      </c>
      <c r="M1437" s="42">
        <v>0.87708066581300004</v>
      </c>
      <c r="N1437" s="134">
        <v>0</v>
      </c>
      <c r="O1437" s="43" t="s">
        <v>664</v>
      </c>
      <c r="P1437" s="43">
        <f t="shared" si="313"/>
        <v>13.505596902416556</v>
      </c>
      <c r="Q1437" s="43">
        <f t="shared" si="314"/>
        <v>0.138623311</v>
      </c>
      <c r="R1437" s="43">
        <f t="shared" si="315"/>
        <v>1.4637397E-2</v>
      </c>
      <c r="S1437" s="43">
        <f t="shared" si="316"/>
        <v>0.77647320200000003</v>
      </c>
      <c r="T1437" s="43">
        <f t="shared" si="317"/>
        <v>3.334083873</v>
      </c>
      <c r="U1437" s="43">
        <f t="shared" si="318"/>
        <v>8.2340065859999996</v>
      </c>
      <c r="V1437" s="43">
        <f t="shared" si="319"/>
        <v>1.6787902E-2</v>
      </c>
      <c r="W1437" s="230">
        <f t="shared" si="320"/>
        <v>0.11275840881612591</v>
      </c>
      <c r="X1437" s="43">
        <f t="shared" si="321"/>
        <v>0.82887043400000004</v>
      </c>
      <c r="Y1437" s="43">
        <v>104.1253494</v>
      </c>
      <c r="Z1437" s="43">
        <f t="shared" si="310"/>
        <v>0</v>
      </c>
      <c r="AA1437" s="43">
        <f t="shared" si="311"/>
        <v>12594</v>
      </c>
      <c r="AB1437" s="43">
        <f t="shared" si="312"/>
        <v>7074</v>
      </c>
      <c r="AC1437" s="43">
        <f t="shared" si="322"/>
        <v>0.13292227829411765</v>
      </c>
      <c r="AD1437" s="43">
        <f t="shared" si="323"/>
        <v>0.76089565670588233</v>
      </c>
      <c r="AF1437" s="43">
        <v>13.505596902416556</v>
      </c>
      <c r="AG1437" s="43">
        <v>0.138623311</v>
      </c>
      <c r="AH1437" s="43">
        <v>1.4637397E-2</v>
      </c>
      <c r="AI1437" s="43">
        <v>0.77647320200000003</v>
      </c>
      <c r="AJ1437" s="43">
        <v>3.334083873</v>
      </c>
      <c r="AK1437" s="43">
        <v>8.2340065859999996</v>
      </c>
      <c r="AL1437" s="43">
        <v>1.6787902E-2</v>
      </c>
      <c r="AM1437" s="230">
        <v>0.11275840881612591</v>
      </c>
      <c r="AN1437" s="43">
        <v>0.82887043400000004</v>
      </c>
    </row>
    <row r="1438" spans="1:40" x14ac:dyDescent="0.25">
      <c r="A1438" s="134">
        <v>1428</v>
      </c>
      <c r="B1438" s="134" t="s">
        <v>215</v>
      </c>
      <c r="C1438" s="134" t="s">
        <v>210</v>
      </c>
      <c r="D1438" s="134" t="s">
        <v>211</v>
      </c>
      <c r="E1438" s="134">
        <v>0</v>
      </c>
      <c r="F1438" s="134">
        <v>0</v>
      </c>
      <c r="G1438" s="134">
        <v>15</v>
      </c>
      <c r="H1438" s="134">
        <v>560</v>
      </c>
      <c r="I1438" s="200">
        <v>3.0267955470399999E-2</v>
      </c>
      <c r="J1438" s="134">
        <v>560</v>
      </c>
      <c r="K1438" s="134">
        <v>18501.414822899998</v>
      </c>
      <c r="L1438" s="42">
        <v>0.76902432726500003</v>
      </c>
      <c r="M1438" s="42">
        <v>1</v>
      </c>
      <c r="N1438" s="134">
        <v>0</v>
      </c>
      <c r="O1438" s="43" t="s">
        <v>664</v>
      </c>
      <c r="P1438" s="43">
        <f t="shared" si="313"/>
        <v>14.478565495084347</v>
      </c>
      <c r="Q1438" s="43">
        <f t="shared" si="314"/>
        <v>0.14569267299999999</v>
      </c>
      <c r="R1438" s="43">
        <f t="shared" si="315"/>
        <v>1.0370941E-2</v>
      </c>
      <c r="S1438" s="43">
        <f t="shared" si="316"/>
        <v>0.76902432700000001</v>
      </c>
      <c r="T1438" s="43">
        <f t="shared" si="317"/>
        <v>3.3077080350000001</v>
      </c>
      <c r="U1438" s="43">
        <f t="shared" si="318"/>
        <v>7.9138501999999997</v>
      </c>
      <c r="V1438" s="43">
        <f t="shared" si="319"/>
        <v>1.2433873E-2</v>
      </c>
      <c r="W1438" s="230">
        <f t="shared" si="320"/>
        <v>0.15268177781210177</v>
      </c>
      <c r="X1438" s="43">
        <f t="shared" si="321"/>
        <v>0.78897169599999994</v>
      </c>
      <c r="Y1438" s="43">
        <v>54.657476430000003</v>
      </c>
      <c r="Z1438" s="43">
        <f t="shared" si="310"/>
        <v>0</v>
      </c>
      <c r="AA1438" s="43">
        <f t="shared" si="311"/>
        <v>12594</v>
      </c>
      <c r="AB1438" s="43">
        <f t="shared" si="312"/>
        <v>7074</v>
      </c>
      <c r="AC1438" s="43">
        <f t="shared" si="322"/>
        <v>0.13292227829411765</v>
      </c>
      <c r="AD1438" s="43">
        <f t="shared" si="323"/>
        <v>0.76089565670588233</v>
      </c>
      <c r="AF1438" s="43">
        <v>14.478565495084347</v>
      </c>
      <c r="AG1438" s="43">
        <v>0.14569267299999999</v>
      </c>
      <c r="AH1438" s="43">
        <v>1.0370941E-2</v>
      </c>
      <c r="AI1438" s="43">
        <v>0.76902432700000001</v>
      </c>
      <c r="AJ1438" s="43">
        <v>3.3077080350000001</v>
      </c>
      <c r="AK1438" s="43">
        <v>7.9138501999999997</v>
      </c>
      <c r="AL1438" s="43">
        <v>1.2433873E-2</v>
      </c>
      <c r="AM1438" s="230">
        <v>0.15268177781210177</v>
      </c>
      <c r="AN1438" s="43">
        <v>0.78897169599999994</v>
      </c>
    </row>
    <row r="1439" spans="1:40" x14ac:dyDescent="0.25">
      <c r="A1439" s="134">
        <v>1429</v>
      </c>
      <c r="B1439" s="134" t="s">
        <v>209</v>
      </c>
      <c r="C1439" s="134" t="s">
        <v>210</v>
      </c>
      <c r="D1439" s="134" t="s">
        <v>211</v>
      </c>
      <c r="E1439" s="134">
        <v>672</v>
      </c>
      <c r="F1439" s="134">
        <v>1409</v>
      </c>
      <c r="G1439" s="134">
        <v>40</v>
      </c>
      <c r="H1439" s="134">
        <v>406</v>
      </c>
      <c r="I1439" s="200">
        <v>8.2967540194599995E-2</v>
      </c>
      <c r="J1439" s="134">
        <v>1815</v>
      </c>
      <c r="K1439" s="134">
        <v>21876.025199</v>
      </c>
      <c r="L1439" s="42">
        <v>0.77420155231099996</v>
      </c>
      <c r="M1439" s="42">
        <v>0.37662337662299999</v>
      </c>
      <c r="N1439" s="134">
        <v>1</v>
      </c>
      <c r="O1439" s="43" t="s">
        <v>664</v>
      </c>
      <c r="P1439" s="43">
        <f t="shared" si="313"/>
        <v>11.069242441495376</v>
      </c>
      <c r="Q1439" s="43">
        <f t="shared" si="314"/>
        <v>8.6772790000000002E-2</v>
      </c>
      <c r="R1439" s="43">
        <f t="shared" si="315"/>
        <v>2.0542404E-2</v>
      </c>
      <c r="S1439" s="43">
        <f t="shared" si="316"/>
        <v>0.77420155199999996</v>
      </c>
      <c r="T1439" s="43">
        <f t="shared" si="317"/>
        <v>2.2871131760000001</v>
      </c>
      <c r="U1439" s="43">
        <f t="shared" si="318"/>
        <v>6.8288568569999999</v>
      </c>
      <c r="V1439" s="43">
        <f t="shared" si="319"/>
        <v>2.1092367000000001E-2</v>
      </c>
      <c r="W1439" s="230">
        <f t="shared" si="320"/>
        <v>0.19176736131379762</v>
      </c>
      <c r="X1439" s="43">
        <f t="shared" si="321"/>
        <v>0.715778413</v>
      </c>
      <c r="Y1439" s="43">
        <v>123.327381</v>
      </c>
      <c r="Z1439" s="43">
        <f t="shared" si="310"/>
        <v>0</v>
      </c>
      <c r="AA1439" s="43">
        <f t="shared" si="311"/>
        <v>478718</v>
      </c>
      <c r="AB1439" s="43">
        <f t="shared" si="312"/>
        <v>186107</v>
      </c>
      <c r="AC1439" s="43">
        <f t="shared" si="322"/>
        <v>7.5967312731255288E-2</v>
      </c>
      <c r="AD1439" s="43">
        <f t="shared" si="323"/>
        <v>0.80847972010000058</v>
      </c>
      <c r="AF1439" s="43">
        <v>11.069242441495376</v>
      </c>
      <c r="AG1439" s="43">
        <v>8.6772790000000002E-2</v>
      </c>
      <c r="AH1439" s="43">
        <v>2.0542404E-2</v>
      </c>
      <c r="AI1439" s="43">
        <v>0.77420155199999996</v>
      </c>
      <c r="AJ1439" s="43">
        <v>2.2871131760000001</v>
      </c>
      <c r="AK1439" s="43">
        <v>6.8288568569999999</v>
      </c>
      <c r="AL1439" s="43">
        <v>2.1092367000000001E-2</v>
      </c>
      <c r="AM1439" s="230">
        <v>0.19176736131379762</v>
      </c>
      <c r="AN1439" s="43">
        <v>0.715778413</v>
      </c>
    </row>
    <row r="1440" spans="1:40" x14ac:dyDescent="0.25">
      <c r="A1440" s="134">
        <v>1430</v>
      </c>
      <c r="B1440" s="134" t="s">
        <v>209</v>
      </c>
      <c r="C1440" s="134" t="s">
        <v>210</v>
      </c>
      <c r="D1440" s="134" t="s">
        <v>211</v>
      </c>
      <c r="E1440" s="134">
        <v>246</v>
      </c>
      <c r="F1440" s="134">
        <v>573</v>
      </c>
      <c r="G1440" s="134">
        <v>29</v>
      </c>
      <c r="H1440" s="134">
        <v>1884</v>
      </c>
      <c r="I1440" s="200">
        <v>6.2435538460600001E-2</v>
      </c>
      <c r="J1440" s="134">
        <v>2457</v>
      </c>
      <c r="K1440" s="134">
        <v>39352.587654100003</v>
      </c>
      <c r="L1440" s="42">
        <v>0.82979915633099999</v>
      </c>
      <c r="M1440" s="42">
        <v>0.88450704225400001</v>
      </c>
      <c r="N1440" s="134">
        <v>1</v>
      </c>
      <c r="O1440" s="43" t="s">
        <v>627</v>
      </c>
      <c r="P1440" s="43">
        <f t="shared" si="313"/>
        <v>13.326123320510465</v>
      </c>
      <c r="Q1440" s="43">
        <f t="shared" si="314"/>
        <v>7.3951185000000003E-2</v>
      </c>
      <c r="R1440" s="43">
        <f t="shared" si="315"/>
        <v>1.4583726999999999E-2</v>
      </c>
      <c r="S1440" s="43">
        <f t="shared" si="316"/>
        <v>0.82979915599999998</v>
      </c>
      <c r="T1440" s="43">
        <f t="shared" si="317"/>
        <v>2.985265579</v>
      </c>
      <c r="U1440" s="43">
        <f t="shared" si="318"/>
        <v>8.6060608989999992</v>
      </c>
      <c r="V1440" s="43">
        <f t="shared" si="319"/>
        <v>1.7537179E-2</v>
      </c>
      <c r="W1440" s="230">
        <f t="shared" si="320"/>
        <v>0.13749583500499801</v>
      </c>
      <c r="X1440" s="43">
        <f t="shared" si="321"/>
        <v>0.80090303900000004</v>
      </c>
      <c r="Y1440" s="43">
        <v>130.42298790000001</v>
      </c>
      <c r="Z1440" s="43">
        <f t="shared" si="310"/>
        <v>0</v>
      </c>
      <c r="AA1440" s="43">
        <f t="shared" si="311"/>
        <v>478718</v>
      </c>
      <c r="AB1440" s="43">
        <f t="shared" si="312"/>
        <v>186107</v>
      </c>
      <c r="AC1440" s="43">
        <f t="shared" si="322"/>
        <v>7.5967312731255288E-2</v>
      </c>
      <c r="AD1440" s="43">
        <f t="shared" si="323"/>
        <v>0.80847972010000058</v>
      </c>
      <c r="AF1440" s="43">
        <v>13.326123320510465</v>
      </c>
      <c r="AG1440" s="43">
        <v>7.3951185000000003E-2</v>
      </c>
      <c r="AH1440" s="43">
        <v>1.4583726999999999E-2</v>
      </c>
      <c r="AI1440" s="43">
        <v>0.82979915599999998</v>
      </c>
      <c r="AJ1440" s="43">
        <v>2.985265579</v>
      </c>
      <c r="AK1440" s="43">
        <v>8.6060608989999992</v>
      </c>
      <c r="AL1440" s="43">
        <v>1.7537179E-2</v>
      </c>
      <c r="AM1440" s="230">
        <v>0.13749583500499801</v>
      </c>
      <c r="AN1440" s="43">
        <v>0.80090303900000004</v>
      </c>
    </row>
    <row r="1441" spans="1:40" x14ac:dyDescent="0.25">
      <c r="A1441" s="134">
        <v>1431</v>
      </c>
      <c r="B1441" s="134" t="s">
        <v>209</v>
      </c>
      <c r="C1441" s="134" t="s">
        <v>210</v>
      </c>
      <c r="D1441" s="134" t="s">
        <v>211</v>
      </c>
      <c r="E1441" s="134">
        <v>117</v>
      </c>
      <c r="F1441" s="134">
        <v>273</v>
      </c>
      <c r="G1441" s="134">
        <v>17</v>
      </c>
      <c r="H1441" s="134">
        <v>200</v>
      </c>
      <c r="I1441" s="200">
        <v>3.7314387420300001E-2</v>
      </c>
      <c r="J1441" s="134">
        <v>473</v>
      </c>
      <c r="K1441" s="134">
        <v>12676.075709700001</v>
      </c>
      <c r="L1441" s="42">
        <v>0.79425341594499999</v>
      </c>
      <c r="M1441" s="42">
        <v>0.63091482649800001</v>
      </c>
      <c r="N1441" s="134">
        <v>1</v>
      </c>
      <c r="O1441" s="43" t="s">
        <v>664</v>
      </c>
      <c r="P1441" s="43">
        <f t="shared" si="313"/>
        <v>11.751318857714406</v>
      </c>
      <c r="Q1441" s="43">
        <f t="shared" si="314"/>
        <v>9.0896967999999995E-2</v>
      </c>
      <c r="R1441" s="43">
        <f t="shared" si="315"/>
        <v>1.5961593999999999E-2</v>
      </c>
      <c r="S1441" s="43">
        <f t="shared" si="316"/>
        <v>0.79425341599999999</v>
      </c>
      <c r="T1441" s="43">
        <f t="shared" si="317"/>
        <v>2.6550612509999998</v>
      </c>
      <c r="U1441" s="43">
        <f t="shared" si="318"/>
        <v>7.2908590709999999</v>
      </c>
      <c r="V1441" s="43">
        <f t="shared" si="319"/>
        <v>1.525204E-2</v>
      </c>
      <c r="W1441" s="230">
        <f t="shared" si="320"/>
        <v>0.17608480134217952</v>
      </c>
      <c r="X1441" s="43">
        <f t="shared" si="321"/>
        <v>0.73221230800000003</v>
      </c>
      <c r="Y1441" s="43">
        <v>124.7186542</v>
      </c>
      <c r="Z1441" s="43">
        <f t="shared" si="310"/>
        <v>0</v>
      </c>
      <c r="AA1441" s="43">
        <f t="shared" si="311"/>
        <v>478718</v>
      </c>
      <c r="AB1441" s="43">
        <f t="shared" si="312"/>
        <v>186107</v>
      </c>
      <c r="AC1441" s="43">
        <f t="shared" si="322"/>
        <v>7.5967312731255288E-2</v>
      </c>
      <c r="AD1441" s="43">
        <f t="shared" si="323"/>
        <v>0.80847972010000058</v>
      </c>
      <c r="AF1441" s="43">
        <v>11.751318857714406</v>
      </c>
      <c r="AG1441" s="43">
        <v>9.0896967999999995E-2</v>
      </c>
      <c r="AH1441" s="43">
        <v>1.5961593999999999E-2</v>
      </c>
      <c r="AI1441" s="43">
        <v>0.79425341599999999</v>
      </c>
      <c r="AJ1441" s="43">
        <v>2.6550612509999998</v>
      </c>
      <c r="AK1441" s="43">
        <v>7.2908590709999999</v>
      </c>
      <c r="AL1441" s="43">
        <v>1.525204E-2</v>
      </c>
      <c r="AM1441" s="230">
        <v>0.17608480134217952</v>
      </c>
      <c r="AN1441" s="43">
        <v>0.73221230800000003</v>
      </c>
    </row>
    <row r="1442" spans="1:40" x14ac:dyDescent="0.25">
      <c r="A1442" s="134">
        <v>1432</v>
      </c>
      <c r="B1442" s="134" t="s">
        <v>209</v>
      </c>
      <c r="C1442" s="134" t="s">
        <v>210</v>
      </c>
      <c r="D1442" s="134" t="s">
        <v>211</v>
      </c>
      <c r="E1442" s="134">
        <v>602</v>
      </c>
      <c r="F1442" s="134">
        <v>1218</v>
      </c>
      <c r="G1442" s="134">
        <v>38</v>
      </c>
      <c r="H1442" s="134">
        <v>433</v>
      </c>
      <c r="I1442" s="200">
        <v>0.101339808223</v>
      </c>
      <c r="J1442" s="134">
        <v>1651</v>
      </c>
      <c r="K1442" s="134">
        <v>16291.722166699999</v>
      </c>
      <c r="L1442" s="42">
        <v>0.77583326589400003</v>
      </c>
      <c r="M1442" s="42">
        <v>0.41835748792299998</v>
      </c>
      <c r="N1442" s="134">
        <v>1</v>
      </c>
      <c r="O1442" s="43" t="s">
        <v>664</v>
      </c>
      <c r="P1442" s="43">
        <f t="shared" si="313"/>
        <v>12.171595284037211</v>
      </c>
      <c r="Q1442" s="43">
        <f t="shared" si="314"/>
        <v>0.10663953700000001</v>
      </c>
      <c r="R1442" s="43">
        <f t="shared" si="315"/>
        <v>1.7997734000000001E-2</v>
      </c>
      <c r="S1442" s="43">
        <f t="shared" si="316"/>
        <v>0.77583326600000002</v>
      </c>
      <c r="T1442" s="43">
        <f t="shared" si="317"/>
        <v>2.7633667329999998</v>
      </c>
      <c r="U1442" s="43">
        <f t="shared" si="318"/>
        <v>7.9402575630000003</v>
      </c>
      <c r="V1442" s="43">
        <f t="shared" si="319"/>
        <v>2.0897543000000001E-2</v>
      </c>
      <c r="W1442" s="230">
        <f t="shared" si="320"/>
        <v>0.21164320577208742</v>
      </c>
      <c r="X1442" s="43">
        <f t="shared" si="321"/>
        <v>0.71065794900000001</v>
      </c>
      <c r="Y1442" s="43">
        <v>78.760740269999999</v>
      </c>
      <c r="Z1442" s="43">
        <f t="shared" si="310"/>
        <v>0</v>
      </c>
      <c r="AA1442" s="43">
        <f t="shared" si="311"/>
        <v>478718</v>
      </c>
      <c r="AB1442" s="43">
        <f t="shared" si="312"/>
        <v>186107</v>
      </c>
      <c r="AC1442" s="43">
        <f t="shared" si="322"/>
        <v>7.5967312731255288E-2</v>
      </c>
      <c r="AD1442" s="43">
        <f t="shared" si="323"/>
        <v>0.80847972010000058</v>
      </c>
      <c r="AF1442" s="43">
        <v>12.171595284037211</v>
      </c>
      <c r="AG1442" s="43">
        <v>0.10663953700000001</v>
      </c>
      <c r="AH1442" s="43">
        <v>1.7997734000000001E-2</v>
      </c>
      <c r="AI1442" s="43">
        <v>0.77583326600000002</v>
      </c>
      <c r="AJ1442" s="43">
        <v>2.7633667329999998</v>
      </c>
      <c r="AK1442" s="43">
        <v>7.9402575630000003</v>
      </c>
      <c r="AL1442" s="43">
        <v>2.0897543000000001E-2</v>
      </c>
      <c r="AM1442" s="230">
        <v>0.21164320577208742</v>
      </c>
      <c r="AN1442" s="43">
        <v>0.71065794900000001</v>
      </c>
    </row>
    <row r="1443" spans="1:40" x14ac:dyDescent="0.25">
      <c r="A1443" s="134">
        <v>1433</v>
      </c>
      <c r="B1443" s="134" t="s">
        <v>209</v>
      </c>
      <c r="C1443" s="134" t="s">
        <v>210</v>
      </c>
      <c r="D1443" s="134" t="s">
        <v>211</v>
      </c>
      <c r="E1443" s="134">
        <v>712</v>
      </c>
      <c r="F1443" s="134">
        <v>1443</v>
      </c>
      <c r="G1443" s="134">
        <v>40</v>
      </c>
      <c r="H1443" s="134">
        <v>559</v>
      </c>
      <c r="I1443" s="200">
        <v>0.107018884127</v>
      </c>
      <c r="J1443" s="134">
        <v>2002</v>
      </c>
      <c r="K1443" s="134">
        <v>18706.978832100001</v>
      </c>
      <c r="L1443" s="42">
        <v>0.77807254530600001</v>
      </c>
      <c r="M1443" s="42">
        <v>0.439811172305</v>
      </c>
      <c r="N1443" s="134">
        <v>1</v>
      </c>
      <c r="O1443" s="43" t="s">
        <v>664</v>
      </c>
      <c r="P1443" s="43">
        <f t="shared" si="313"/>
        <v>11.547583483340818</v>
      </c>
      <c r="Q1443" s="43">
        <f t="shared" si="314"/>
        <v>9.2761252000000002E-2</v>
      </c>
      <c r="R1443" s="43">
        <f t="shared" si="315"/>
        <v>1.8168821000000002E-2</v>
      </c>
      <c r="S1443" s="43">
        <f t="shared" si="316"/>
        <v>0.778072545</v>
      </c>
      <c r="T1443" s="43">
        <f t="shared" si="317"/>
        <v>2.6732363819999998</v>
      </c>
      <c r="U1443" s="43">
        <f t="shared" si="318"/>
        <v>7.3041534520000004</v>
      </c>
      <c r="V1443" s="43">
        <f t="shared" si="319"/>
        <v>2.3324101999999999E-2</v>
      </c>
      <c r="W1443" s="230">
        <f t="shared" si="320"/>
        <v>0.19299109079382029</v>
      </c>
      <c r="X1443" s="43">
        <f t="shared" si="321"/>
        <v>0.71605659200000005</v>
      </c>
      <c r="Y1443" s="43">
        <v>167.04180550000001</v>
      </c>
      <c r="Z1443" s="43">
        <f t="shared" si="310"/>
        <v>0</v>
      </c>
      <c r="AA1443" s="43">
        <f t="shared" si="311"/>
        <v>478718</v>
      </c>
      <c r="AB1443" s="43">
        <f t="shared" si="312"/>
        <v>186107</v>
      </c>
      <c r="AC1443" s="43">
        <f t="shared" si="322"/>
        <v>7.5967312731255288E-2</v>
      </c>
      <c r="AD1443" s="43">
        <f t="shared" si="323"/>
        <v>0.80847972010000058</v>
      </c>
      <c r="AF1443" s="43">
        <v>11.547583483340818</v>
      </c>
      <c r="AG1443" s="43">
        <v>9.2761252000000002E-2</v>
      </c>
      <c r="AH1443" s="43">
        <v>1.8168821000000002E-2</v>
      </c>
      <c r="AI1443" s="43">
        <v>0.778072545</v>
      </c>
      <c r="AJ1443" s="43">
        <v>2.6732363819999998</v>
      </c>
      <c r="AK1443" s="43">
        <v>7.3041534520000004</v>
      </c>
      <c r="AL1443" s="43">
        <v>2.3324101999999999E-2</v>
      </c>
      <c r="AM1443" s="230">
        <v>0.19299109079382029</v>
      </c>
      <c r="AN1443" s="43">
        <v>0.71605659200000005</v>
      </c>
    </row>
    <row r="1444" spans="1:40" x14ac:dyDescent="0.25">
      <c r="A1444" s="134">
        <v>1434</v>
      </c>
      <c r="B1444" s="134" t="s">
        <v>209</v>
      </c>
      <c r="C1444" s="134" t="s">
        <v>210</v>
      </c>
      <c r="D1444" s="134" t="s">
        <v>211</v>
      </c>
      <c r="E1444" s="134">
        <v>486</v>
      </c>
      <c r="F1444" s="134">
        <v>985</v>
      </c>
      <c r="G1444" s="134">
        <v>33</v>
      </c>
      <c r="H1444" s="134">
        <v>383</v>
      </c>
      <c r="I1444" s="200">
        <v>8.69512815913E-2</v>
      </c>
      <c r="J1444" s="134">
        <v>1368</v>
      </c>
      <c r="K1444" s="134">
        <v>15732.948094199999</v>
      </c>
      <c r="L1444" s="42">
        <v>0.77231503580000005</v>
      </c>
      <c r="M1444" s="42">
        <v>0.44073647871100002</v>
      </c>
      <c r="N1444" s="134">
        <v>1</v>
      </c>
      <c r="O1444" s="43" t="s">
        <v>664</v>
      </c>
      <c r="P1444" s="43">
        <f t="shared" si="313"/>
        <v>11.57359931919089</v>
      </c>
      <c r="Q1444" s="43">
        <f t="shared" si="314"/>
        <v>9.8317521000000005E-2</v>
      </c>
      <c r="R1444" s="43">
        <f t="shared" si="315"/>
        <v>1.9254818E-2</v>
      </c>
      <c r="S1444" s="43">
        <f t="shared" si="316"/>
        <v>0.77231503599999995</v>
      </c>
      <c r="T1444" s="43">
        <f t="shared" si="317"/>
        <v>2.6420686839999998</v>
      </c>
      <c r="U1444" s="43">
        <f t="shared" si="318"/>
        <v>7.4764337989999996</v>
      </c>
      <c r="V1444" s="43">
        <f t="shared" si="319"/>
        <v>2.2166981999999998E-2</v>
      </c>
      <c r="W1444" s="230">
        <f t="shared" si="320"/>
        <v>0.18759276465832439</v>
      </c>
      <c r="X1444" s="43">
        <f t="shared" si="321"/>
        <v>0.72104837600000005</v>
      </c>
      <c r="Y1444" s="43">
        <v>164.36569359999999</v>
      </c>
      <c r="Z1444" s="43">
        <f t="shared" si="310"/>
        <v>0</v>
      </c>
      <c r="AA1444" s="43">
        <f t="shared" si="311"/>
        <v>478718</v>
      </c>
      <c r="AB1444" s="43">
        <f t="shared" si="312"/>
        <v>186107</v>
      </c>
      <c r="AC1444" s="43">
        <f t="shared" si="322"/>
        <v>7.5967312731255288E-2</v>
      </c>
      <c r="AD1444" s="43">
        <f t="shared" si="323"/>
        <v>0.80847972010000058</v>
      </c>
      <c r="AF1444" s="43">
        <v>11.57359931919089</v>
      </c>
      <c r="AG1444" s="43">
        <v>9.8317521000000005E-2</v>
      </c>
      <c r="AH1444" s="43">
        <v>1.9254818E-2</v>
      </c>
      <c r="AI1444" s="43">
        <v>0.77231503599999995</v>
      </c>
      <c r="AJ1444" s="43">
        <v>2.6420686839999998</v>
      </c>
      <c r="AK1444" s="43">
        <v>7.4764337989999996</v>
      </c>
      <c r="AL1444" s="43">
        <v>2.2166981999999998E-2</v>
      </c>
      <c r="AM1444" s="230">
        <v>0.18759276465832439</v>
      </c>
      <c r="AN1444" s="43">
        <v>0.72104837600000005</v>
      </c>
    </row>
    <row r="1445" spans="1:40" x14ac:dyDescent="0.25">
      <c r="A1445" s="134">
        <v>1435</v>
      </c>
      <c r="B1445" s="134" t="s">
        <v>209</v>
      </c>
      <c r="C1445" s="134" t="s">
        <v>210</v>
      </c>
      <c r="D1445" s="134" t="s">
        <v>211</v>
      </c>
      <c r="E1445" s="134">
        <v>318</v>
      </c>
      <c r="F1445" s="134">
        <v>768</v>
      </c>
      <c r="G1445" s="134">
        <v>20</v>
      </c>
      <c r="H1445" s="134">
        <v>123</v>
      </c>
      <c r="I1445" s="200">
        <v>4.9423824954899997E-2</v>
      </c>
      <c r="J1445" s="134">
        <v>891</v>
      </c>
      <c r="K1445" s="134">
        <v>18027.742709400001</v>
      </c>
      <c r="L1445" s="42">
        <v>0.76736851688100005</v>
      </c>
      <c r="M1445" s="42">
        <v>0.27891156462599997</v>
      </c>
      <c r="N1445" s="134">
        <v>1</v>
      </c>
      <c r="O1445" s="43" t="s">
        <v>664</v>
      </c>
      <c r="P1445" s="43">
        <f t="shared" si="313"/>
        <v>11.032776526516324</v>
      </c>
      <c r="Q1445" s="43">
        <f t="shared" si="314"/>
        <v>9.7110233000000004E-2</v>
      </c>
      <c r="R1445" s="43">
        <f t="shared" si="315"/>
        <v>2.4241794000000001E-2</v>
      </c>
      <c r="S1445" s="43">
        <f t="shared" si="316"/>
        <v>0.76736851699999997</v>
      </c>
      <c r="T1445" s="43">
        <f t="shared" si="317"/>
        <v>2.424969988</v>
      </c>
      <c r="U1445" s="43">
        <f t="shared" si="318"/>
        <v>6.5448884420000004</v>
      </c>
      <c r="V1445" s="43">
        <f t="shared" si="319"/>
        <v>1.9491984E-2</v>
      </c>
      <c r="W1445" s="230">
        <f t="shared" si="320"/>
        <v>0.20384189834977282</v>
      </c>
      <c r="X1445" s="43">
        <f t="shared" si="321"/>
        <v>0.708467713</v>
      </c>
      <c r="Y1445" s="43">
        <v>201.17950590000001</v>
      </c>
      <c r="Z1445" s="43">
        <f t="shared" si="310"/>
        <v>0</v>
      </c>
      <c r="AA1445" s="43">
        <f t="shared" si="311"/>
        <v>478718</v>
      </c>
      <c r="AB1445" s="43">
        <f t="shared" si="312"/>
        <v>186107</v>
      </c>
      <c r="AC1445" s="43">
        <f t="shared" si="322"/>
        <v>7.5967312731255288E-2</v>
      </c>
      <c r="AD1445" s="43">
        <f t="shared" si="323"/>
        <v>0.80847972010000058</v>
      </c>
      <c r="AF1445" s="43">
        <v>11.032776526516324</v>
      </c>
      <c r="AG1445" s="43">
        <v>9.7110233000000004E-2</v>
      </c>
      <c r="AH1445" s="43">
        <v>2.4241794000000001E-2</v>
      </c>
      <c r="AI1445" s="43">
        <v>0.76736851699999997</v>
      </c>
      <c r="AJ1445" s="43">
        <v>2.424969988</v>
      </c>
      <c r="AK1445" s="43">
        <v>6.5448884420000004</v>
      </c>
      <c r="AL1445" s="43">
        <v>1.9491984E-2</v>
      </c>
      <c r="AM1445" s="230">
        <v>0.20384189834977282</v>
      </c>
      <c r="AN1445" s="43">
        <v>0.708467713</v>
      </c>
    </row>
    <row r="1446" spans="1:40" x14ac:dyDescent="0.25">
      <c r="A1446" s="134">
        <v>1436</v>
      </c>
      <c r="B1446" s="134" t="s">
        <v>209</v>
      </c>
      <c r="C1446" s="134" t="s">
        <v>210</v>
      </c>
      <c r="D1446" s="134" t="s">
        <v>211</v>
      </c>
      <c r="E1446" s="134">
        <v>455</v>
      </c>
      <c r="F1446" s="134">
        <v>1024</v>
      </c>
      <c r="G1446" s="134">
        <v>31</v>
      </c>
      <c r="H1446" s="134">
        <v>93</v>
      </c>
      <c r="I1446" s="200">
        <v>6.35301529969E-2</v>
      </c>
      <c r="J1446" s="134">
        <v>1117</v>
      </c>
      <c r="K1446" s="134">
        <v>17582.202266299999</v>
      </c>
      <c r="L1446" s="42">
        <v>0.77634006603200001</v>
      </c>
      <c r="M1446" s="42">
        <v>0.16970802919700001</v>
      </c>
      <c r="N1446" s="134">
        <v>1</v>
      </c>
      <c r="O1446" s="43" t="s">
        <v>664</v>
      </c>
      <c r="P1446" s="43">
        <f t="shared" si="313"/>
        <v>10.715467858826173</v>
      </c>
      <c r="Q1446" s="43">
        <f t="shared" si="314"/>
        <v>9.4154205000000005E-2</v>
      </c>
      <c r="R1446" s="43">
        <f t="shared" si="315"/>
        <v>2.3116139000000001E-2</v>
      </c>
      <c r="S1446" s="43">
        <f t="shared" si="316"/>
        <v>0.77634006600000005</v>
      </c>
      <c r="T1446" s="43">
        <f t="shared" si="317"/>
        <v>2.3142737019999999</v>
      </c>
      <c r="U1446" s="43">
        <f t="shared" si="318"/>
        <v>6.4677007639999999</v>
      </c>
      <c r="V1446" s="43">
        <f t="shared" si="319"/>
        <v>1.7102262999999999E-2</v>
      </c>
      <c r="W1446" s="230">
        <f t="shared" si="320"/>
        <v>0.21233116997018064</v>
      </c>
      <c r="X1446" s="43">
        <f t="shared" si="321"/>
        <v>0.71027889799999999</v>
      </c>
      <c r="Y1446" s="43">
        <v>138.24841409999999</v>
      </c>
      <c r="Z1446" s="43">
        <f t="shared" si="310"/>
        <v>0</v>
      </c>
      <c r="AA1446" s="43">
        <f t="shared" si="311"/>
        <v>478718</v>
      </c>
      <c r="AB1446" s="43">
        <f t="shared" si="312"/>
        <v>186107</v>
      </c>
      <c r="AC1446" s="43">
        <f t="shared" si="322"/>
        <v>7.5967312731255288E-2</v>
      </c>
      <c r="AD1446" s="43">
        <f t="shared" si="323"/>
        <v>0.80847972010000058</v>
      </c>
      <c r="AF1446" s="43">
        <v>10.715467858826173</v>
      </c>
      <c r="AG1446" s="43">
        <v>9.4154205000000005E-2</v>
      </c>
      <c r="AH1446" s="43">
        <v>2.3116139000000001E-2</v>
      </c>
      <c r="AI1446" s="43">
        <v>0.77634006600000005</v>
      </c>
      <c r="AJ1446" s="43">
        <v>2.3142737019999999</v>
      </c>
      <c r="AK1446" s="43">
        <v>6.4677007639999999</v>
      </c>
      <c r="AL1446" s="43">
        <v>1.7102262999999999E-2</v>
      </c>
      <c r="AM1446" s="230">
        <v>0.21233116997018064</v>
      </c>
      <c r="AN1446" s="43">
        <v>0.71027889799999999</v>
      </c>
    </row>
    <row r="1447" spans="1:40" x14ac:dyDescent="0.25">
      <c r="A1447" s="134">
        <v>1437</v>
      </c>
      <c r="B1447" s="134" t="s">
        <v>209</v>
      </c>
      <c r="C1447" s="134" t="s">
        <v>210</v>
      </c>
      <c r="D1447" s="134" t="s">
        <v>211</v>
      </c>
      <c r="E1447" s="134">
        <v>318</v>
      </c>
      <c r="F1447" s="134">
        <v>768</v>
      </c>
      <c r="G1447" s="134">
        <v>37</v>
      </c>
      <c r="H1447" s="134">
        <v>123</v>
      </c>
      <c r="I1447" s="200">
        <v>9.2662859822600002E-2</v>
      </c>
      <c r="J1447" s="134">
        <v>891</v>
      </c>
      <c r="K1447" s="134">
        <v>9615.5029286400004</v>
      </c>
      <c r="L1447" s="42">
        <v>0.77484955786499998</v>
      </c>
      <c r="M1447" s="42">
        <v>0.27891156462599997</v>
      </c>
      <c r="N1447" s="134">
        <v>1</v>
      </c>
      <c r="O1447" s="43" t="s">
        <v>664</v>
      </c>
      <c r="P1447" s="43">
        <f t="shared" si="313"/>
        <v>10.788322088458605</v>
      </c>
      <c r="Q1447" s="43">
        <f t="shared" si="314"/>
        <v>9.0897363999999994E-2</v>
      </c>
      <c r="R1447" s="43">
        <f t="shared" si="315"/>
        <v>2.3406409999999999E-2</v>
      </c>
      <c r="S1447" s="43">
        <f t="shared" si="316"/>
        <v>0.77484955799999999</v>
      </c>
      <c r="T1447" s="43">
        <f t="shared" si="317"/>
        <v>2.36738056</v>
      </c>
      <c r="U1447" s="43">
        <f t="shared" si="318"/>
        <v>6.4271134060000001</v>
      </c>
      <c r="V1447" s="43">
        <f t="shared" si="319"/>
        <v>1.5693174000000001E-2</v>
      </c>
      <c r="W1447" s="230">
        <f t="shared" si="320"/>
        <v>0.17912268355618108</v>
      </c>
      <c r="X1447" s="43">
        <f t="shared" si="321"/>
        <v>0.73903354399999999</v>
      </c>
      <c r="Y1447" s="43">
        <v>201.99267929999999</v>
      </c>
      <c r="Z1447" s="43">
        <f t="shared" si="310"/>
        <v>0</v>
      </c>
      <c r="AA1447" s="43">
        <f t="shared" si="311"/>
        <v>478718</v>
      </c>
      <c r="AB1447" s="43">
        <f t="shared" si="312"/>
        <v>186107</v>
      </c>
      <c r="AC1447" s="43">
        <f t="shared" si="322"/>
        <v>7.5967312731255288E-2</v>
      </c>
      <c r="AD1447" s="43">
        <f t="shared" si="323"/>
        <v>0.80847972010000058</v>
      </c>
      <c r="AF1447" s="43">
        <v>10.788322088458605</v>
      </c>
      <c r="AG1447" s="43">
        <v>9.0897363999999994E-2</v>
      </c>
      <c r="AH1447" s="43">
        <v>2.3406409999999999E-2</v>
      </c>
      <c r="AI1447" s="43">
        <v>0.77484955799999999</v>
      </c>
      <c r="AJ1447" s="43">
        <v>2.36738056</v>
      </c>
      <c r="AK1447" s="43">
        <v>6.4271134060000001</v>
      </c>
      <c r="AL1447" s="43">
        <v>1.5693174000000001E-2</v>
      </c>
      <c r="AM1447" s="230">
        <v>0.17912268355618108</v>
      </c>
      <c r="AN1447" s="43">
        <v>0.73903354399999999</v>
      </c>
    </row>
    <row r="1448" spans="1:40" x14ac:dyDescent="0.25">
      <c r="A1448" s="134">
        <v>1438</v>
      </c>
      <c r="B1448" s="134" t="s">
        <v>209</v>
      </c>
      <c r="C1448" s="134" t="s">
        <v>210</v>
      </c>
      <c r="D1448" s="134" t="s">
        <v>211</v>
      </c>
      <c r="E1448" s="134">
        <v>202</v>
      </c>
      <c r="F1448" s="134">
        <v>488</v>
      </c>
      <c r="G1448" s="134">
        <v>16</v>
      </c>
      <c r="H1448" s="134">
        <v>123</v>
      </c>
      <c r="I1448" s="200">
        <v>3.9325278728599998E-2</v>
      </c>
      <c r="J1448" s="134">
        <v>611</v>
      </c>
      <c r="K1448" s="134">
        <v>15537.079958599999</v>
      </c>
      <c r="L1448" s="42">
        <v>0.76451208344900001</v>
      </c>
      <c r="M1448" s="42">
        <v>0.37846153846199998</v>
      </c>
      <c r="N1448" s="134">
        <v>0</v>
      </c>
      <c r="O1448" s="43" t="s">
        <v>664</v>
      </c>
      <c r="P1448" s="43">
        <f t="shared" si="313"/>
        <v>10.578167042987584</v>
      </c>
      <c r="Q1448" s="43">
        <f t="shared" si="314"/>
        <v>9.9882550000000001E-2</v>
      </c>
      <c r="R1448" s="43">
        <f t="shared" si="315"/>
        <v>2.2016961000000002E-2</v>
      </c>
      <c r="S1448" s="43">
        <f t="shared" si="316"/>
        <v>0.76451208299999995</v>
      </c>
      <c r="T1448" s="43">
        <f t="shared" si="317"/>
        <v>2.5852221210000002</v>
      </c>
      <c r="U1448" s="43">
        <f t="shared" si="318"/>
        <v>6.3875193619999999</v>
      </c>
      <c r="V1448" s="43">
        <f t="shared" si="319"/>
        <v>1.9236139999999999E-2</v>
      </c>
      <c r="W1448" s="230">
        <f t="shared" si="320"/>
        <v>0.20325373551180004</v>
      </c>
      <c r="X1448" s="43">
        <f t="shared" si="321"/>
        <v>0.693827678</v>
      </c>
      <c r="Y1448" s="43">
        <v>167.80546090000001</v>
      </c>
      <c r="Z1448" s="43">
        <f t="shared" si="310"/>
        <v>0</v>
      </c>
      <c r="AA1448" s="43">
        <f t="shared" si="311"/>
        <v>478718</v>
      </c>
      <c r="AB1448" s="43">
        <f t="shared" si="312"/>
        <v>186107</v>
      </c>
      <c r="AC1448" s="43">
        <f t="shared" si="322"/>
        <v>7.5967312731255288E-2</v>
      </c>
      <c r="AD1448" s="43">
        <f t="shared" si="323"/>
        <v>0.80847972010000058</v>
      </c>
      <c r="AF1448" s="43">
        <v>10.578167042987584</v>
      </c>
      <c r="AG1448" s="43">
        <v>9.9882550000000001E-2</v>
      </c>
      <c r="AH1448" s="43">
        <v>2.2016961000000002E-2</v>
      </c>
      <c r="AI1448" s="43">
        <v>0.76451208299999995</v>
      </c>
      <c r="AJ1448" s="43">
        <v>2.5852221210000002</v>
      </c>
      <c r="AK1448" s="43">
        <v>6.3875193619999999</v>
      </c>
      <c r="AL1448" s="43">
        <v>1.9236139999999999E-2</v>
      </c>
      <c r="AM1448" s="230">
        <v>0.20325373551180004</v>
      </c>
      <c r="AN1448" s="43">
        <v>0.693827678</v>
      </c>
    </row>
    <row r="1449" spans="1:40" x14ac:dyDescent="0.25">
      <c r="A1449" s="134">
        <v>1439</v>
      </c>
      <c r="B1449" s="134" t="s">
        <v>209</v>
      </c>
      <c r="C1449" s="134" t="s">
        <v>210</v>
      </c>
      <c r="D1449" s="134" t="s">
        <v>211</v>
      </c>
      <c r="E1449" s="134">
        <v>595</v>
      </c>
      <c r="F1449" s="134">
        <v>1445</v>
      </c>
      <c r="G1449" s="134">
        <v>43</v>
      </c>
      <c r="H1449" s="134">
        <v>780</v>
      </c>
      <c r="I1449" s="200">
        <v>0.102008888545</v>
      </c>
      <c r="J1449" s="134">
        <v>2225</v>
      </c>
      <c r="K1449" s="134">
        <v>21811.824751</v>
      </c>
      <c r="L1449" s="42">
        <v>0.751457234325</v>
      </c>
      <c r="M1449" s="42">
        <v>0.56727272727300004</v>
      </c>
      <c r="N1449" s="134">
        <v>1</v>
      </c>
      <c r="O1449" s="43" t="s">
        <v>627</v>
      </c>
      <c r="P1449" s="43">
        <f t="shared" si="313"/>
        <v>11.451721171095684</v>
      </c>
      <c r="Q1449" s="43">
        <f t="shared" si="314"/>
        <v>0.10939576400000001</v>
      </c>
      <c r="R1449" s="43">
        <f t="shared" si="315"/>
        <v>2.0811520999999999E-2</v>
      </c>
      <c r="S1449" s="43">
        <f t="shared" si="316"/>
        <v>0.75145723399999997</v>
      </c>
      <c r="T1449" s="43">
        <f t="shared" si="317"/>
        <v>2.5233441910000001</v>
      </c>
      <c r="U1449" s="43">
        <f t="shared" si="318"/>
        <v>6.9620636649999996</v>
      </c>
      <c r="V1449" s="43">
        <f t="shared" si="319"/>
        <v>2.3933691999999999E-2</v>
      </c>
      <c r="W1449" s="230">
        <f t="shared" si="320"/>
        <v>0.1702986624974567</v>
      </c>
      <c r="X1449" s="43">
        <f t="shared" si="321"/>
        <v>0.73558356400000002</v>
      </c>
      <c r="Y1449" s="43">
        <v>143.7374792</v>
      </c>
      <c r="Z1449" s="43">
        <f t="shared" si="310"/>
        <v>0</v>
      </c>
      <c r="AA1449" s="43">
        <f t="shared" si="311"/>
        <v>478718</v>
      </c>
      <c r="AB1449" s="43">
        <f t="shared" si="312"/>
        <v>186107</v>
      </c>
      <c r="AC1449" s="43">
        <f t="shared" si="322"/>
        <v>7.5967312731255288E-2</v>
      </c>
      <c r="AD1449" s="43">
        <f t="shared" si="323"/>
        <v>0.80847972010000058</v>
      </c>
      <c r="AF1449" s="43">
        <v>11.451721171095684</v>
      </c>
      <c r="AG1449" s="43">
        <v>0.10939576400000001</v>
      </c>
      <c r="AH1449" s="43">
        <v>2.0811520999999999E-2</v>
      </c>
      <c r="AI1449" s="43">
        <v>0.75145723399999997</v>
      </c>
      <c r="AJ1449" s="43">
        <v>2.5233441910000001</v>
      </c>
      <c r="AK1449" s="43">
        <v>6.9620636649999996</v>
      </c>
      <c r="AL1449" s="43">
        <v>2.3933691999999999E-2</v>
      </c>
      <c r="AM1449" s="230">
        <v>0.1702986624974567</v>
      </c>
      <c r="AN1449" s="43">
        <v>0.73558356400000002</v>
      </c>
    </row>
    <row r="1450" spans="1:40" x14ac:dyDescent="0.25">
      <c r="A1450" s="134">
        <v>1440</v>
      </c>
      <c r="B1450" s="134" t="s">
        <v>209</v>
      </c>
      <c r="C1450" s="134" t="s">
        <v>210</v>
      </c>
      <c r="D1450" s="134" t="s">
        <v>211</v>
      </c>
      <c r="E1450" s="134">
        <v>216</v>
      </c>
      <c r="F1450" s="134">
        <v>525</v>
      </c>
      <c r="G1450" s="134">
        <v>15</v>
      </c>
      <c r="H1450" s="134">
        <v>285</v>
      </c>
      <c r="I1450" s="200">
        <v>3.6534716465500001E-2</v>
      </c>
      <c r="J1450" s="134">
        <v>810</v>
      </c>
      <c r="K1450" s="134">
        <v>22170.693476299999</v>
      </c>
      <c r="L1450" s="42">
        <v>0.71647445887399996</v>
      </c>
      <c r="M1450" s="42">
        <v>0.56886227544900003</v>
      </c>
      <c r="N1450" s="134">
        <v>1</v>
      </c>
      <c r="O1450" s="43" t="s">
        <v>627</v>
      </c>
      <c r="P1450" s="43">
        <f t="shared" si="313"/>
        <v>11.488295945750973</v>
      </c>
      <c r="Q1450" s="43">
        <f t="shared" si="314"/>
        <v>0.13560519500000001</v>
      </c>
      <c r="R1450" s="43">
        <f t="shared" si="315"/>
        <v>2.0516017000000001E-2</v>
      </c>
      <c r="S1450" s="43">
        <f t="shared" si="316"/>
        <v>0.71647445899999995</v>
      </c>
      <c r="T1450" s="43">
        <f t="shared" si="317"/>
        <v>2.5482677429999998</v>
      </c>
      <c r="U1450" s="43">
        <f t="shared" si="318"/>
        <v>6.46249523</v>
      </c>
      <c r="V1450" s="43">
        <f t="shared" si="319"/>
        <v>2.3298122000000001E-2</v>
      </c>
      <c r="W1450" s="230">
        <f t="shared" si="320"/>
        <v>0.19471830985915492</v>
      </c>
      <c r="X1450" s="43">
        <f t="shared" si="321"/>
        <v>0.68808685400000003</v>
      </c>
      <c r="Y1450" s="43">
        <v>153.754244</v>
      </c>
      <c r="Z1450" s="43">
        <f t="shared" si="310"/>
        <v>0</v>
      </c>
      <c r="AA1450" s="43">
        <f t="shared" si="311"/>
        <v>478718</v>
      </c>
      <c r="AB1450" s="43">
        <f t="shared" si="312"/>
        <v>186107</v>
      </c>
      <c r="AC1450" s="43">
        <f t="shared" si="322"/>
        <v>7.5967312731255288E-2</v>
      </c>
      <c r="AD1450" s="43">
        <f t="shared" si="323"/>
        <v>0.80847972010000058</v>
      </c>
      <c r="AF1450" s="43">
        <v>11.488295945750973</v>
      </c>
      <c r="AG1450" s="43">
        <v>0.13560519500000001</v>
      </c>
      <c r="AH1450" s="43">
        <v>2.0516017000000001E-2</v>
      </c>
      <c r="AI1450" s="43">
        <v>0.71647445899999995</v>
      </c>
      <c r="AJ1450" s="43">
        <v>2.5482677429999998</v>
      </c>
      <c r="AK1450" s="43">
        <v>6.46249523</v>
      </c>
      <c r="AL1450" s="43">
        <v>2.3298122000000001E-2</v>
      </c>
      <c r="AM1450" s="230">
        <v>0.19471830985915492</v>
      </c>
      <c r="AN1450" s="43">
        <v>0.68808685400000003</v>
      </c>
    </row>
    <row r="1451" spans="1:40" x14ac:dyDescent="0.25">
      <c r="A1451" s="134">
        <v>1441</v>
      </c>
      <c r="B1451" s="134" t="s">
        <v>209</v>
      </c>
      <c r="C1451" s="134" t="s">
        <v>210</v>
      </c>
      <c r="D1451" s="134" t="s">
        <v>211</v>
      </c>
      <c r="E1451" s="134">
        <v>331</v>
      </c>
      <c r="F1451" s="134">
        <v>682</v>
      </c>
      <c r="G1451" s="134">
        <v>16</v>
      </c>
      <c r="H1451" s="134">
        <v>159</v>
      </c>
      <c r="I1451" s="200">
        <v>3.0781446873800002E-2</v>
      </c>
      <c r="J1451" s="134">
        <v>841</v>
      </c>
      <c r="K1451" s="134">
        <v>27321.652664599998</v>
      </c>
      <c r="L1451" s="42">
        <v>0.68298094492299999</v>
      </c>
      <c r="M1451" s="42">
        <v>0.32448979591799998</v>
      </c>
      <c r="N1451" s="134">
        <v>1</v>
      </c>
      <c r="O1451" s="43" t="s">
        <v>627</v>
      </c>
      <c r="P1451" s="43">
        <f t="shared" si="313"/>
        <v>11.448217807056682</v>
      </c>
      <c r="Q1451" s="43">
        <f t="shared" si="314"/>
        <v>0.164547364</v>
      </c>
      <c r="R1451" s="43">
        <f t="shared" si="315"/>
        <v>2.1261388999999999E-2</v>
      </c>
      <c r="S1451" s="43">
        <f t="shared" si="316"/>
        <v>0.68298094499999995</v>
      </c>
      <c r="T1451" s="43">
        <f t="shared" si="317"/>
        <v>2.6092492319999998</v>
      </c>
      <c r="U1451" s="43">
        <f t="shared" si="318"/>
        <v>6.7914573559999996</v>
      </c>
      <c r="V1451" s="43">
        <f t="shared" si="319"/>
        <v>2.4979919999999999E-2</v>
      </c>
      <c r="W1451" s="230">
        <f t="shared" si="320"/>
        <v>0.25064257028112447</v>
      </c>
      <c r="X1451" s="43">
        <f t="shared" si="321"/>
        <v>0.62375502000000005</v>
      </c>
      <c r="Y1451" s="43">
        <v>152.2179142</v>
      </c>
      <c r="Z1451" s="43">
        <f t="shared" si="310"/>
        <v>0</v>
      </c>
      <c r="AA1451" s="43">
        <f t="shared" si="311"/>
        <v>478718</v>
      </c>
      <c r="AB1451" s="43">
        <f t="shared" si="312"/>
        <v>186107</v>
      </c>
      <c r="AC1451" s="43">
        <f t="shared" si="322"/>
        <v>7.5967312731255288E-2</v>
      </c>
      <c r="AD1451" s="43">
        <f t="shared" si="323"/>
        <v>0.80847972010000058</v>
      </c>
      <c r="AF1451" s="43">
        <v>11.448217807056682</v>
      </c>
      <c r="AG1451" s="43">
        <v>0.164547364</v>
      </c>
      <c r="AH1451" s="43">
        <v>2.1261388999999999E-2</v>
      </c>
      <c r="AI1451" s="43">
        <v>0.68298094499999995</v>
      </c>
      <c r="AJ1451" s="43">
        <v>2.6092492319999998</v>
      </c>
      <c r="AK1451" s="43">
        <v>6.7914573559999996</v>
      </c>
      <c r="AL1451" s="43">
        <v>2.4979919999999999E-2</v>
      </c>
      <c r="AM1451" s="230">
        <v>0.25064257028112447</v>
      </c>
      <c r="AN1451" s="43">
        <v>0.62375502000000005</v>
      </c>
    </row>
    <row r="1452" spans="1:40" x14ac:dyDescent="0.25">
      <c r="A1452" s="134">
        <v>1442</v>
      </c>
      <c r="B1452" s="134" t="s">
        <v>209</v>
      </c>
      <c r="C1452" s="134" t="s">
        <v>210</v>
      </c>
      <c r="D1452" s="134" t="s">
        <v>211</v>
      </c>
      <c r="E1452" s="134">
        <v>547</v>
      </c>
      <c r="F1452" s="134">
        <v>1126</v>
      </c>
      <c r="G1452" s="134">
        <v>24</v>
      </c>
      <c r="H1452" s="134">
        <v>145</v>
      </c>
      <c r="I1452" s="200">
        <v>4.5250376526699998E-2</v>
      </c>
      <c r="J1452" s="134">
        <v>1271</v>
      </c>
      <c r="K1452" s="134">
        <v>28088.164067500002</v>
      </c>
      <c r="L1452" s="42">
        <v>0.66155391664399998</v>
      </c>
      <c r="M1452" s="42">
        <v>0.20953757225399999</v>
      </c>
      <c r="N1452" s="134">
        <v>1</v>
      </c>
      <c r="O1452" s="43" t="s">
        <v>627</v>
      </c>
      <c r="P1452" s="43">
        <f t="shared" si="313"/>
        <v>10.876913529280465</v>
      </c>
      <c r="Q1452" s="43">
        <f t="shared" si="314"/>
        <v>0.17545063299999999</v>
      </c>
      <c r="R1452" s="43">
        <f t="shared" si="315"/>
        <v>2.0128389999999999E-2</v>
      </c>
      <c r="S1452" s="43">
        <f t="shared" si="316"/>
        <v>0.66155391699999999</v>
      </c>
      <c r="T1452" s="43">
        <f t="shared" si="317"/>
        <v>2.5584955389999999</v>
      </c>
      <c r="U1452" s="43">
        <f t="shared" si="318"/>
        <v>6.3161399200000004</v>
      </c>
      <c r="V1452" s="43">
        <f t="shared" si="319"/>
        <v>2.2577244E-2</v>
      </c>
      <c r="W1452" s="230">
        <f t="shared" si="320"/>
        <v>0.28349391151107201</v>
      </c>
      <c r="X1452" s="43">
        <f t="shared" si="321"/>
        <v>0.58286267300000005</v>
      </c>
      <c r="Y1452" s="43">
        <v>101.61641830000001</v>
      </c>
      <c r="Z1452" s="43">
        <f t="shared" si="310"/>
        <v>0</v>
      </c>
      <c r="AA1452" s="43">
        <f t="shared" si="311"/>
        <v>478718</v>
      </c>
      <c r="AB1452" s="43">
        <f t="shared" si="312"/>
        <v>186107</v>
      </c>
      <c r="AC1452" s="43">
        <f t="shared" si="322"/>
        <v>7.5967312731255288E-2</v>
      </c>
      <c r="AD1452" s="43">
        <f t="shared" si="323"/>
        <v>0.80847972010000058</v>
      </c>
      <c r="AF1452" s="43">
        <v>10.876913529280465</v>
      </c>
      <c r="AG1452" s="43">
        <v>0.17545063299999999</v>
      </c>
      <c r="AH1452" s="43">
        <v>2.0128389999999999E-2</v>
      </c>
      <c r="AI1452" s="43">
        <v>0.66155391699999999</v>
      </c>
      <c r="AJ1452" s="43">
        <v>2.5584955389999999</v>
      </c>
      <c r="AK1452" s="43">
        <v>6.3161399200000004</v>
      </c>
      <c r="AL1452" s="43">
        <v>2.2577244E-2</v>
      </c>
      <c r="AM1452" s="230">
        <v>0.28349391151107201</v>
      </c>
      <c r="AN1452" s="43">
        <v>0.58286267300000005</v>
      </c>
    </row>
    <row r="1453" spans="1:40" x14ac:dyDescent="0.25">
      <c r="A1453" s="134">
        <v>1443</v>
      </c>
      <c r="B1453" s="134" t="s">
        <v>209</v>
      </c>
      <c r="C1453" s="134" t="s">
        <v>210</v>
      </c>
      <c r="D1453" s="134" t="s">
        <v>211</v>
      </c>
      <c r="E1453" s="134">
        <v>492</v>
      </c>
      <c r="F1453" s="134">
        <v>1194</v>
      </c>
      <c r="G1453" s="134">
        <v>32</v>
      </c>
      <c r="H1453" s="134">
        <v>220</v>
      </c>
      <c r="I1453" s="200">
        <v>7.4631534780200001E-2</v>
      </c>
      <c r="J1453" s="134">
        <v>1414</v>
      </c>
      <c r="K1453" s="134">
        <v>18946.4145976</v>
      </c>
      <c r="L1453" s="42">
        <v>0.69140363601400001</v>
      </c>
      <c r="M1453" s="42">
        <v>0.30898876404499998</v>
      </c>
      <c r="N1453" s="134">
        <v>1</v>
      </c>
      <c r="O1453" s="43" t="s">
        <v>627</v>
      </c>
      <c r="P1453" s="43">
        <f t="shared" si="313"/>
        <v>11.12387659764881</v>
      </c>
      <c r="Q1453" s="43">
        <f t="shared" si="314"/>
        <v>0.17201944199999999</v>
      </c>
      <c r="R1453" s="43">
        <f t="shared" si="315"/>
        <v>1.9786904000000001E-2</v>
      </c>
      <c r="S1453" s="43">
        <f t="shared" si="316"/>
        <v>0.69140363599999999</v>
      </c>
      <c r="T1453" s="43">
        <f t="shared" si="317"/>
        <v>2.7264664380000001</v>
      </c>
      <c r="U1453" s="43">
        <f t="shared" si="318"/>
        <v>6.5733364380000001</v>
      </c>
      <c r="V1453" s="43">
        <f t="shared" si="319"/>
        <v>1.9814875999999999E-2</v>
      </c>
      <c r="W1453" s="230">
        <f t="shared" si="320"/>
        <v>0.21699112585311636</v>
      </c>
      <c r="X1453" s="43">
        <f t="shared" si="321"/>
        <v>0.68858864600000003</v>
      </c>
      <c r="Y1453" s="43">
        <v>107.47355570000001</v>
      </c>
      <c r="Z1453" s="43">
        <f t="shared" si="310"/>
        <v>0</v>
      </c>
      <c r="AA1453" s="43">
        <f t="shared" si="311"/>
        <v>478718</v>
      </c>
      <c r="AB1453" s="43">
        <f t="shared" si="312"/>
        <v>186107</v>
      </c>
      <c r="AC1453" s="43">
        <f t="shared" si="322"/>
        <v>7.5967312731255288E-2</v>
      </c>
      <c r="AD1453" s="43">
        <f t="shared" si="323"/>
        <v>0.80847972010000058</v>
      </c>
      <c r="AF1453" s="43">
        <v>11.12387659764881</v>
      </c>
      <c r="AG1453" s="43">
        <v>0.17201944199999999</v>
      </c>
      <c r="AH1453" s="43">
        <v>1.9786904000000001E-2</v>
      </c>
      <c r="AI1453" s="43">
        <v>0.69140363599999999</v>
      </c>
      <c r="AJ1453" s="43">
        <v>2.7264664380000001</v>
      </c>
      <c r="AK1453" s="43">
        <v>6.5733364380000001</v>
      </c>
      <c r="AL1453" s="43">
        <v>1.9814875999999999E-2</v>
      </c>
      <c r="AM1453" s="230">
        <v>0.21699112585311636</v>
      </c>
      <c r="AN1453" s="43">
        <v>0.68858864600000003</v>
      </c>
    </row>
    <row r="1454" spans="1:40" x14ac:dyDescent="0.25">
      <c r="A1454" s="134">
        <v>1444</v>
      </c>
      <c r="B1454" s="134" t="s">
        <v>209</v>
      </c>
      <c r="C1454" s="134" t="s">
        <v>210</v>
      </c>
      <c r="D1454" s="134" t="s">
        <v>211</v>
      </c>
      <c r="E1454" s="134">
        <v>159</v>
      </c>
      <c r="F1454" s="134">
        <v>261</v>
      </c>
      <c r="G1454" s="134">
        <v>9</v>
      </c>
      <c r="H1454" s="134">
        <v>210</v>
      </c>
      <c r="I1454" s="200">
        <v>1.6726831373599999E-2</v>
      </c>
      <c r="J1454" s="134">
        <v>471</v>
      </c>
      <c r="K1454" s="134">
        <v>28158.3516614</v>
      </c>
      <c r="L1454" s="42">
        <v>0.76064882625399999</v>
      </c>
      <c r="M1454" s="42">
        <v>0.56910569105700004</v>
      </c>
      <c r="N1454" s="134">
        <v>0</v>
      </c>
      <c r="O1454" s="43" t="s">
        <v>627</v>
      </c>
      <c r="P1454" s="43">
        <f t="shared" si="313"/>
        <v>11.012964237756409</v>
      </c>
      <c r="Q1454" s="43">
        <f t="shared" si="314"/>
        <v>9.1316653999999997E-2</v>
      </c>
      <c r="R1454" s="43">
        <f t="shared" si="315"/>
        <v>1.5607062E-2</v>
      </c>
      <c r="S1454" s="43">
        <f t="shared" si="316"/>
        <v>0.76064882599999994</v>
      </c>
      <c r="T1454" s="43">
        <f t="shared" si="317"/>
        <v>2.6391263060000001</v>
      </c>
      <c r="U1454" s="43">
        <f t="shared" si="318"/>
        <v>6.28259641</v>
      </c>
      <c r="V1454" s="43">
        <f t="shared" si="319"/>
        <v>2.0511779000000001E-2</v>
      </c>
      <c r="W1454" s="230">
        <f t="shared" si="320"/>
        <v>0.16283509341998378</v>
      </c>
      <c r="X1454" s="43">
        <f t="shared" si="321"/>
        <v>0.70194963399999999</v>
      </c>
      <c r="Y1454" s="43">
        <v>156.20823100000001</v>
      </c>
      <c r="Z1454" s="43">
        <f t="shared" si="310"/>
        <v>0</v>
      </c>
      <c r="AA1454" s="43">
        <f t="shared" si="311"/>
        <v>478718</v>
      </c>
      <c r="AB1454" s="43">
        <f t="shared" si="312"/>
        <v>186107</v>
      </c>
      <c r="AC1454" s="43">
        <f t="shared" si="322"/>
        <v>7.5967312731255288E-2</v>
      </c>
      <c r="AD1454" s="43">
        <f t="shared" si="323"/>
        <v>0.80847972010000058</v>
      </c>
      <c r="AF1454" s="43">
        <v>11.012964237756409</v>
      </c>
      <c r="AG1454" s="43">
        <v>9.1316653999999997E-2</v>
      </c>
      <c r="AH1454" s="43">
        <v>1.5607062E-2</v>
      </c>
      <c r="AI1454" s="43">
        <v>0.76064882599999994</v>
      </c>
      <c r="AJ1454" s="43">
        <v>2.6391263060000001</v>
      </c>
      <c r="AK1454" s="43">
        <v>6.28259641</v>
      </c>
      <c r="AL1454" s="43">
        <v>2.0511779000000001E-2</v>
      </c>
      <c r="AM1454" s="230">
        <v>0.16283509341998378</v>
      </c>
      <c r="AN1454" s="43">
        <v>0.70194963399999999</v>
      </c>
    </row>
    <row r="1455" spans="1:40" x14ac:dyDescent="0.25">
      <c r="A1455" s="134">
        <v>1445</v>
      </c>
      <c r="B1455" s="134" t="s">
        <v>209</v>
      </c>
      <c r="C1455" s="134" t="s">
        <v>210</v>
      </c>
      <c r="D1455" s="134" t="s">
        <v>211</v>
      </c>
      <c r="E1455" s="134">
        <v>853</v>
      </c>
      <c r="F1455" s="134">
        <v>1404</v>
      </c>
      <c r="G1455" s="134">
        <v>36</v>
      </c>
      <c r="H1455" s="134">
        <v>545</v>
      </c>
      <c r="I1455" s="200">
        <v>7.2053463778399995E-2</v>
      </c>
      <c r="J1455" s="134">
        <v>1949</v>
      </c>
      <c r="K1455" s="134">
        <v>27049.358875999998</v>
      </c>
      <c r="L1455" s="42">
        <v>0.76892285543200001</v>
      </c>
      <c r="M1455" s="42">
        <v>0.38984263233200001</v>
      </c>
      <c r="N1455" s="134">
        <v>0</v>
      </c>
      <c r="O1455" s="43" t="s">
        <v>627</v>
      </c>
      <c r="P1455" s="43">
        <f t="shared" si="313"/>
        <v>11.055698499410202</v>
      </c>
      <c r="Q1455" s="43">
        <f t="shared" si="314"/>
        <v>8.6533954999999996E-2</v>
      </c>
      <c r="R1455" s="43">
        <f t="shared" si="315"/>
        <v>1.6269406E-2</v>
      </c>
      <c r="S1455" s="43">
        <f t="shared" si="316"/>
        <v>0.76892285500000002</v>
      </c>
      <c r="T1455" s="43">
        <f t="shared" si="317"/>
        <v>2.6849400079999999</v>
      </c>
      <c r="U1455" s="43">
        <f t="shared" si="318"/>
        <v>6.5109464859999999</v>
      </c>
      <c r="V1455" s="43">
        <f t="shared" si="319"/>
        <v>2.1709230999999999E-2</v>
      </c>
      <c r="W1455" s="230">
        <f t="shared" si="320"/>
        <v>0.16505308199167587</v>
      </c>
      <c r="X1455" s="43">
        <f t="shared" si="321"/>
        <v>0.72534002099999995</v>
      </c>
      <c r="Y1455" s="43">
        <v>107.2125805</v>
      </c>
      <c r="Z1455" s="43">
        <f t="shared" si="310"/>
        <v>0</v>
      </c>
      <c r="AA1455" s="43">
        <f t="shared" si="311"/>
        <v>478718</v>
      </c>
      <c r="AB1455" s="43">
        <f t="shared" si="312"/>
        <v>186107</v>
      </c>
      <c r="AC1455" s="43">
        <f t="shared" si="322"/>
        <v>7.5967312731255288E-2</v>
      </c>
      <c r="AD1455" s="43">
        <f t="shared" si="323"/>
        <v>0.80847972010000058</v>
      </c>
      <c r="AF1455" s="43">
        <v>11.055698499410202</v>
      </c>
      <c r="AG1455" s="43">
        <v>8.6533954999999996E-2</v>
      </c>
      <c r="AH1455" s="43">
        <v>1.6269406E-2</v>
      </c>
      <c r="AI1455" s="43">
        <v>0.76892285500000002</v>
      </c>
      <c r="AJ1455" s="43">
        <v>2.6849400079999999</v>
      </c>
      <c r="AK1455" s="43">
        <v>6.5109464859999999</v>
      </c>
      <c r="AL1455" s="43">
        <v>2.1709230999999999E-2</v>
      </c>
      <c r="AM1455" s="230">
        <v>0.16505308199167587</v>
      </c>
      <c r="AN1455" s="43">
        <v>0.72534002099999995</v>
      </c>
    </row>
    <row r="1456" spans="1:40" x14ac:dyDescent="0.25">
      <c r="A1456" s="134">
        <v>1446</v>
      </c>
      <c r="B1456" s="134" t="s">
        <v>209</v>
      </c>
      <c r="C1456" s="134" t="s">
        <v>210</v>
      </c>
      <c r="D1456" s="134" t="s">
        <v>211</v>
      </c>
      <c r="E1456" s="134">
        <v>1648</v>
      </c>
      <c r="F1456" s="134">
        <v>2536</v>
      </c>
      <c r="G1456" s="134">
        <v>26</v>
      </c>
      <c r="H1456" s="134">
        <v>2500</v>
      </c>
      <c r="I1456" s="200">
        <v>4.52622324248E-2</v>
      </c>
      <c r="J1456" s="134">
        <v>5036</v>
      </c>
      <c r="K1456" s="134">
        <v>111262.740042</v>
      </c>
      <c r="L1456" s="42">
        <v>0.58836314328799999</v>
      </c>
      <c r="M1456" s="42">
        <v>0.60270009643199995</v>
      </c>
      <c r="N1456" s="134">
        <v>1</v>
      </c>
      <c r="O1456" s="43" t="s">
        <v>627</v>
      </c>
      <c r="P1456" s="43">
        <f t="shared" si="313"/>
        <v>12.755844705829984</v>
      </c>
      <c r="Q1456" s="43">
        <f t="shared" si="314"/>
        <v>0.18393042700000001</v>
      </c>
      <c r="R1456" s="43">
        <f t="shared" si="315"/>
        <v>1.8764907000000001E-2</v>
      </c>
      <c r="S1456" s="43">
        <f t="shared" si="316"/>
        <v>0.58836314300000003</v>
      </c>
      <c r="T1456" s="43">
        <f t="shared" si="317"/>
        <v>2.5039378270000001</v>
      </c>
      <c r="U1456" s="43">
        <f t="shared" si="318"/>
        <v>6.4363425000000003</v>
      </c>
      <c r="V1456" s="43">
        <f t="shared" si="319"/>
        <v>3.3656249999999999E-2</v>
      </c>
      <c r="W1456" s="230">
        <f t="shared" si="320"/>
        <v>0.30947265321888112</v>
      </c>
      <c r="X1456" s="43">
        <f t="shared" si="321"/>
        <v>0.47403271499999999</v>
      </c>
      <c r="Y1456" s="43">
        <v>68.330741430000003</v>
      </c>
      <c r="Z1456" s="43">
        <f t="shared" si="310"/>
        <v>0</v>
      </c>
      <c r="AA1456" s="43">
        <f t="shared" si="311"/>
        <v>478718</v>
      </c>
      <c r="AB1456" s="43">
        <f t="shared" si="312"/>
        <v>186107</v>
      </c>
      <c r="AC1456" s="43">
        <f t="shared" si="322"/>
        <v>7.5967312731255288E-2</v>
      </c>
      <c r="AD1456" s="43">
        <f t="shared" si="323"/>
        <v>0.80847972010000058</v>
      </c>
      <c r="AF1456" s="43">
        <v>12.755844705829984</v>
      </c>
      <c r="AG1456" s="43">
        <v>0.18393042700000001</v>
      </c>
      <c r="AH1456" s="43">
        <v>1.8764907000000001E-2</v>
      </c>
      <c r="AI1456" s="43">
        <v>0.58836314300000003</v>
      </c>
      <c r="AJ1456" s="43">
        <v>2.5039378270000001</v>
      </c>
      <c r="AK1456" s="43">
        <v>6.4363425000000003</v>
      </c>
      <c r="AL1456" s="43">
        <v>3.3656249999999999E-2</v>
      </c>
      <c r="AM1456" s="230">
        <v>0.30947265321888112</v>
      </c>
      <c r="AN1456" s="43">
        <v>0.47403271499999999</v>
      </c>
    </row>
    <row r="1457" spans="1:40" x14ac:dyDescent="0.25">
      <c r="A1457" s="134">
        <v>1447</v>
      </c>
      <c r="B1457" s="134" t="s">
        <v>209</v>
      </c>
      <c r="C1457" s="134" t="s">
        <v>210</v>
      </c>
      <c r="D1457" s="134" t="s">
        <v>211</v>
      </c>
      <c r="E1457" s="134">
        <v>244</v>
      </c>
      <c r="F1457" s="134">
        <v>641</v>
      </c>
      <c r="G1457" s="134">
        <v>13</v>
      </c>
      <c r="H1457" s="134">
        <v>145</v>
      </c>
      <c r="I1457" s="200">
        <v>3.3792430909300002E-2</v>
      </c>
      <c r="J1457" s="134">
        <v>786</v>
      </c>
      <c r="K1457" s="134">
        <v>23259.646579100001</v>
      </c>
      <c r="L1457" s="42">
        <v>0.63011649672199999</v>
      </c>
      <c r="M1457" s="42">
        <v>0.37275064267399999</v>
      </c>
      <c r="N1457" s="134">
        <v>1</v>
      </c>
      <c r="O1457" s="43" t="s">
        <v>664</v>
      </c>
      <c r="P1457" s="43">
        <f t="shared" si="313"/>
        <v>13.70482420969771</v>
      </c>
      <c r="Q1457" s="43">
        <f t="shared" si="314"/>
        <v>0.18995034099999999</v>
      </c>
      <c r="R1457" s="43">
        <f t="shared" si="315"/>
        <v>2.3367721000000001E-2</v>
      </c>
      <c r="S1457" s="43">
        <f t="shared" si="316"/>
        <v>0.63011649700000005</v>
      </c>
      <c r="T1457" s="43">
        <f t="shared" si="317"/>
        <v>3.1973539139999998</v>
      </c>
      <c r="U1457" s="43">
        <f t="shared" si="318"/>
        <v>7.2603677190000004</v>
      </c>
      <c r="V1457" s="43">
        <f t="shared" si="319"/>
        <v>2.6793402000000001E-2</v>
      </c>
      <c r="W1457" s="230">
        <f t="shared" si="320"/>
        <v>0.34521472603919134</v>
      </c>
      <c r="X1457" s="43">
        <f t="shared" si="321"/>
        <v>0.50704273899999996</v>
      </c>
      <c r="Y1457" s="43">
        <v>126.6123946</v>
      </c>
      <c r="Z1457" s="43">
        <f t="shared" si="310"/>
        <v>0</v>
      </c>
      <c r="AA1457" s="43">
        <f t="shared" si="311"/>
        <v>478718</v>
      </c>
      <c r="AB1457" s="43">
        <f t="shared" si="312"/>
        <v>186107</v>
      </c>
      <c r="AC1457" s="43">
        <f t="shared" si="322"/>
        <v>7.5967312731255288E-2</v>
      </c>
      <c r="AD1457" s="43">
        <f t="shared" si="323"/>
        <v>0.80847972010000058</v>
      </c>
      <c r="AF1457" s="43">
        <v>13.70482420969771</v>
      </c>
      <c r="AG1457" s="43">
        <v>0.18995034099999999</v>
      </c>
      <c r="AH1457" s="43">
        <v>2.3367721000000001E-2</v>
      </c>
      <c r="AI1457" s="43">
        <v>0.63011649700000005</v>
      </c>
      <c r="AJ1457" s="43">
        <v>3.1973539139999998</v>
      </c>
      <c r="AK1457" s="43">
        <v>7.2603677190000004</v>
      </c>
      <c r="AL1457" s="43">
        <v>2.6793402000000001E-2</v>
      </c>
      <c r="AM1457" s="230">
        <v>0.34521472603919134</v>
      </c>
      <c r="AN1457" s="43">
        <v>0.50704273899999996</v>
      </c>
    </row>
    <row r="1458" spans="1:40" x14ac:dyDescent="0.25">
      <c r="A1458" s="134">
        <v>1448</v>
      </c>
      <c r="B1458" s="134" t="s">
        <v>209</v>
      </c>
      <c r="C1458" s="134" t="s">
        <v>210</v>
      </c>
      <c r="D1458" s="134" t="s">
        <v>211</v>
      </c>
      <c r="E1458" s="134">
        <v>236</v>
      </c>
      <c r="F1458" s="134">
        <v>620</v>
      </c>
      <c r="G1458" s="134">
        <v>13</v>
      </c>
      <c r="H1458" s="134">
        <v>139</v>
      </c>
      <c r="I1458" s="200">
        <v>3.3310003483700001E-2</v>
      </c>
      <c r="J1458" s="134">
        <v>759</v>
      </c>
      <c r="K1458" s="134">
        <v>22785.947781999999</v>
      </c>
      <c r="L1458" s="42">
        <v>0.62447508896799997</v>
      </c>
      <c r="M1458" s="42">
        <v>0.37066666666699999</v>
      </c>
      <c r="N1458" s="134">
        <v>1</v>
      </c>
      <c r="O1458" s="43" t="s">
        <v>664</v>
      </c>
      <c r="P1458" s="43">
        <f t="shared" si="313"/>
        <v>13.794544781354743</v>
      </c>
      <c r="Q1458" s="43">
        <f t="shared" si="314"/>
        <v>0.189964413</v>
      </c>
      <c r="R1458" s="43">
        <f t="shared" si="315"/>
        <v>2.3923488E-2</v>
      </c>
      <c r="S1458" s="43">
        <f t="shared" si="316"/>
        <v>0.62447508900000004</v>
      </c>
      <c r="T1458" s="43">
        <f t="shared" si="317"/>
        <v>3.1620267260000001</v>
      </c>
      <c r="U1458" s="43">
        <f t="shared" si="318"/>
        <v>7.3288205900000003</v>
      </c>
      <c r="V1458" s="43">
        <f t="shared" si="319"/>
        <v>2.6644856000000001E-2</v>
      </c>
      <c r="W1458" s="230">
        <f t="shared" si="320"/>
        <v>0.34852780806979278</v>
      </c>
      <c r="X1458" s="43">
        <f t="shared" si="321"/>
        <v>0.50414394799999995</v>
      </c>
      <c r="Y1458" s="43">
        <v>126.2772188</v>
      </c>
      <c r="Z1458" s="43">
        <f t="shared" si="310"/>
        <v>0</v>
      </c>
      <c r="AA1458" s="43">
        <f t="shared" si="311"/>
        <v>478718</v>
      </c>
      <c r="AB1458" s="43">
        <f t="shared" si="312"/>
        <v>186107</v>
      </c>
      <c r="AC1458" s="43">
        <f t="shared" si="322"/>
        <v>7.5967312731255288E-2</v>
      </c>
      <c r="AD1458" s="43">
        <f t="shared" si="323"/>
        <v>0.80847972010000058</v>
      </c>
      <c r="AF1458" s="43">
        <v>13.794544781354743</v>
      </c>
      <c r="AG1458" s="43">
        <v>0.189964413</v>
      </c>
      <c r="AH1458" s="43">
        <v>2.3923488E-2</v>
      </c>
      <c r="AI1458" s="43">
        <v>0.62447508900000004</v>
      </c>
      <c r="AJ1458" s="43">
        <v>3.1620267260000001</v>
      </c>
      <c r="AK1458" s="43">
        <v>7.3288205900000003</v>
      </c>
      <c r="AL1458" s="43">
        <v>2.6644856000000001E-2</v>
      </c>
      <c r="AM1458" s="230">
        <v>0.34852780806979278</v>
      </c>
      <c r="AN1458" s="43">
        <v>0.50414394799999995</v>
      </c>
    </row>
    <row r="1459" spans="1:40" x14ac:dyDescent="0.25">
      <c r="A1459" s="134">
        <v>1449</v>
      </c>
      <c r="B1459" s="134" t="s">
        <v>209</v>
      </c>
      <c r="C1459" s="134" t="s">
        <v>210</v>
      </c>
      <c r="D1459" s="134" t="s">
        <v>211</v>
      </c>
      <c r="E1459" s="134">
        <v>477</v>
      </c>
      <c r="F1459" s="134">
        <v>1306</v>
      </c>
      <c r="G1459" s="134">
        <v>26</v>
      </c>
      <c r="H1459" s="134">
        <v>115</v>
      </c>
      <c r="I1459" s="200">
        <v>6.3495016807099999E-2</v>
      </c>
      <c r="J1459" s="134">
        <v>1421</v>
      </c>
      <c r="K1459" s="134">
        <v>22379.709014299999</v>
      </c>
      <c r="L1459" s="42">
        <v>0.68111018610499996</v>
      </c>
      <c r="M1459" s="42">
        <v>0.19425675675699999</v>
      </c>
      <c r="N1459" s="134">
        <v>1</v>
      </c>
      <c r="O1459" s="43" t="s">
        <v>664</v>
      </c>
      <c r="P1459" s="43">
        <f t="shared" si="313"/>
        <v>12.765238041898128</v>
      </c>
      <c r="Q1459" s="43">
        <f t="shared" si="314"/>
        <v>0.15746435</v>
      </c>
      <c r="R1459" s="43">
        <f t="shared" si="315"/>
        <v>2.1179651000000001E-2</v>
      </c>
      <c r="S1459" s="43">
        <f t="shared" si="316"/>
        <v>0.68111018599999995</v>
      </c>
      <c r="T1459" s="43">
        <f t="shared" si="317"/>
        <v>3.1740002110000001</v>
      </c>
      <c r="U1459" s="43">
        <f t="shared" si="318"/>
        <v>7.0294392209999996</v>
      </c>
      <c r="V1459" s="43">
        <f t="shared" si="319"/>
        <v>1.8274460999999999E-2</v>
      </c>
      <c r="W1459" s="230">
        <f t="shared" si="320"/>
        <v>0.30520499645260468</v>
      </c>
      <c r="X1459" s="43">
        <f t="shared" si="321"/>
        <v>0.57837593799999998</v>
      </c>
      <c r="Y1459" s="43">
        <v>150.57887640000001</v>
      </c>
      <c r="Z1459" s="43">
        <f t="shared" si="310"/>
        <v>0</v>
      </c>
      <c r="AA1459" s="43">
        <f t="shared" si="311"/>
        <v>478718</v>
      </c>
      <c r="AB1459" s="43">
        <f t="shared" si="312"/>
        <v>186107</v>
      </c>
      <c r="AC1459" s="43">
        <f t="shared" si="322"/>
        <v>7.5967312731255288E-2</v>
      </c>
      <c r="AD1459" s="43">
        <f t="shared" si="323"/>
        <v>0.80847972010000058</v>
      </c>
      <c r="AF1459" s="43">
        <v>12.765238041898128</v>
      </c>
      <c r="AG1459" s="43">
        <v>0.15746435</v>
      </c>
      <c r="AH1459" s="43">
        <v>2.1179651000000001E-2</v>
      </c>
      <c r="AI1459" s="43">
        <v>0.68111018599999995</v>
      </c>
      <c r="AJ1459" s="43">
        <v>3.1740002110000001</v>
      </c>
      <c r="AK1459" s="43">
        <v>7.0294392209999996</v>
      </c>
      <c r="AL1459" s="43">
        <v>1.8274460999999999E-2</v>
      </c>
      <c r="AM1459" s="230">
        <v>0.30520499645260468</v>
      </c>
      <c r="AN1459" s="43">
        <v>0.57837593799999998</v>
      </c>
    </row>
    <row r="1460" spans="1:40" x14ac:dyDescent="0.25">
      <c r="A1460" s="134">
        <v>1450</v>
      </c>
      <c r="B1460" s="134" t="s">
        <v>209</v>
      </c>
      <c r="C1460" s="134" t="s">
        <v>210</v>
      </c>
      <c r="D1460" s="134" t="s">
        <v>211</v>
      </c>
      <c r="E1460" s="134">
        <v>402</v>
      </c>
      <c r="F1460" s="134">
        <v>1083</v>
      </c>
      <c r="G1460" s="134">
        <v>26</v>
      </c>
      <c r="H1460" s="134">
        <v>219</v>
      </c>
      <c r="I1460" s="200">
        <v>6.0770721309199999E-2</v>
      </c>
      <c r="J1460" s="134">
        <v>1302</v>
      </c>
      <c r="K1460" s="134">
        <v>21424.7909511</v>
      </c>
      <c r="L1460" s="42">
        <v>0.73270717582400002</v>
      </c>
      <c r="M1460" s="42">
        <v>0.35265700483099999</v>
      </c>
      <c r="N1460" s="134">
        <v>1</v>
      </c>
      <c r="O1460" s="43" t="s">
        <v>664</v>
      </c>
      <c r="P1460" s="43">
        <f t="shared" si="313"/>
        <v>13.11770894502436</v>
      </c>
      <c r="Q1460" s="43">
        <f t="shared" si="314"/>
        <v>0.12823000300000001</v>
      </c>
      <c r="R1460" s="43">
        <f t="shared" si="315"/>
        <v>1.9534349999999999E-2</v>
      </c>
      <c r="S1460" s="43">
        <f t="shared" si="316"/>
        <v>0.73270717600000002</v>
      </c>
      <c r="T1460" s="43">
        <f t="shared" si="317"/>
        <v>3.3077887869999998</v>
      </c>
      <c r="U1460" s="43">
        <f t="shared" si="318"/>
        <v>7.8514129349999999</v>
      </c>
      <c r="V1460" s="43">
        <f t="shared" si="319"/>
        <v>1.7238006E-2</v>
      </c>
      <c r="W1460" s="230">
        <f t="shared" si="320"/>
        <v>0.21802925896137212</v>
      </c>
      <c r="X1460" s="43">
        <f t="shared" si="321"/>
        <v>0.69252005299999997</v>
      </c>
      <c r="Y1460" s="43">
        <v>237.5856771</v>
      </c>
      <c r="Z1460" s="43">
        <f t="shared" si="310"/>
        <v>0</v>
      </c>
      <c r="AA1460" s="43">
        <f t="shared" si="311"/>
        <v>478718</v>
      </c>
      <c r="AB1460" s="43">
        <f t="shared" si="312"/>
        <v>186107</v>
      </c>
      <c r="AC1460" s="43">
        <f t="shared" si="322"/>
        <v>7.5967312731255288E-2</v>
      </c>
      <c r="AD1460" s="43">
        <f t="shared" si="323"/>
        <v>0.80847972010000058</v>
      </c>
      <c r="AF1460" s="43">
        <v>13.11770894502436</v>
      </c>
      <c r="AG1460" s="43">
        <v>0.12823000300000001</v>
      </c>
      <c r="AH1460" s="43">
        <v>1.9534349999999999E-2</v>
      </c>
      <c r="AI1460" s="43">
        <v>0.73270717600000002</v>
      </c>
      <c r="AJ1460" s="43">
        <v>3.3077887869999998</v>
      </c>
      <c r="AK1460" s="43">
        <v>7.8514129349999999</v>
      </c>
      <c r="AL1460" s="43">
        <v>1.7238006E-2</v>
      </c>
      <c r="AM1460" s="230">
        <v>0.21802925896137212</v>
      </c>
      <c r="AN1460" s="43">
        <v>0.69252005299999997</v>
      </c>
    </row>
    <row r="1461" spans="1:40" x14ac:dyDescent="0.25">
      <c r="A1461" s="134">
        <v>1451</v>
      </c>
      <c r="B1461" s="134" t="s">
        <v>209</v>
      </c>
      <c r="C1461" s="134" t="s">
        <v>210</v>
      </c>
      <c r="D1461" s="134" t="s">
        <v>211</v>
      </c>
      <c r="E1461" s="134">
        <v>305</v>
      </c>
      <c r="F1461" s="134">
        <v>605</v>
      </c>
      <c r="G1461" s="134">
        <v>22</v>
      </c>
      <c r="H1461" s="134">
        <v>343</v>
      </c>
      <c r="I1461" s="200">
        <v>3.8733194133799997E-2</v>
      </c>
      <c r="J1461" s="134">
        <v>948</v>
      </c>
      <c r="K1461" s="134">
        <v>24475.130987799999</v>
      </c>
      <c r="L1461" s="42">
        <v>0.71332173611600003</v>
      </c>
      <c r="M1461" s="42">
        <v>0.52932098765400004</v>
      </c>
      <c r="N1461" s="134">
        <v>1</v>
      </c>
      <c r="O1461" s="43" t="s">
        <v>627</v>
      </c>
      <c r="P1461" s="43">
        <f t="shared" si="313"/>
        <v>11.578644150925982</v>
      </c>
      <c r="Q1461" s="43">
        <f t="shared" si="314"/>
        <v>0.12128172</v>
      </c>
      <c r="R1461" s="43">
        <f t="shared" si="315"/>
        <v>1.9704952000000001E-2</v>
      </c>
      <c r="S1461" s="43">
        <f t="shared" si="316"/>
        <v>0.71332173600000004</v>
      </c>
      <c r="T1461" s="43">
        <f t="shared" si="317"/>
        <v>2.8721461189999999</v>
      </c>
      <c r="U1461" s="43">
        <f t="shared" si="318"/>
        <v>6.7682524129999999</v>
      </c>
      <c r="V1461" s="43">
        <f t="shared" si="319"/>
        <v>2.5207638000000001E-2</v>
      </c>
      <c r="W1461" s="230">
        <f t="shared" si="320"/>
        <v>0.19106574555615927</v>
      </c>
      <c r="X1461" s="43">
        <f t="shared" si="321"/>
        <v>0.66919583900000001</v>
      </c>
      <c r="Y1461" s="43">
        <v>107.4447337</v>
      </c>
      <c r="Z1461" s="43">
        <f t="shared" si="310"/>
        <v>0</v>
      </c>
      <c r="AA1461" s="43">
        <f t="shared" si="311"/>
        <v>478718</v>
      </c>
      <c r="AB1461" s="43">
        <f t="shared" si="312"/>
        <v>186107</v>
      </c>
      <c r="AC1461" s="43">
        <f t="shared" si="322"/>
        <v>7.5967312731255288E-2</v>
      </c>
      <c r="AD1461" s="43">
        <f t="shared" si="323"/>
        <v>0.80847972010000058</v>
      </c>
      <c r="AF1461" s="43">
        <v>11.578644150925982</v>
      </c>
      <c r="AG1461" s="43">
        <v>0.12128172</v>
      </c>
      <c r="AH1461" s="43">
        <v>1.9704952000000001E-2</v>
      </c>
      <c r="AI1461" s="43">
        <v>0.71332173600000004</v>
      </c>
      <c r="AJ1461" s="43">
        <v>2.8721461189999999</v>
      </c>
      <c r="AK1461" s="43">
        <v>6.7682524129999999</v>
      </c>
      <c r="AL1461" s="43">
        <v>2.5207638000000001E-2</v>
      </c>
      <c r="AM1461" s="230">
        <v>0.19106574555615927</v>
      </c>
      <c r="AN1461" s="43">
        <v>0.66919583900000001</v>
      </c>
    </row>
    <row r="1462" spans="1:40" x14ac:dyDescent="0.25">
      <c r="A1462" s="134">
        <v>1452</v>
      </c>
      <c r="B1462" s="134" t="s">
        <v>209</v>
      </c>
      <c r="C1462" s="134" t="s">
        <v>210</v>
      </c>
      <c r="D1462" s="134" t="s">
        <v>211</v>
      </c>
      <c r="E1462" s="134">
        <v>360</v>
      </c>
      <c r="F1462" s="134">
        <v>1005</v>
      </c>
      <c r="G1462" s="134">
        <v>27</v>
      </c>
      <c r="H1462" s="134">
        <v>145</v>
      </c>
      <c r="I1462" s="200">
        <v>5.6808153330799999E-2</v>
      </c>
      <c r="J1462" s="134">
        <v>1150</v>
      </c>
      <c r="K1462" s="134">
        <v>20243.573018499999</v>
      </c>
      <c r="L1462" s="42">
        <v>0.79113505201800005</v>
      </c>
      <c r="M1462" s="42">
        <v>0.287128712871</v>
      </c>
      <c r="N1462" s="134">
        <v>0</v>
      </c>
      <c r="O1462" s="43" t="s">
        <v>664</v>
      </c>
      <c r="P1462" s="43">
        <f t="shared" si="313"/>
        <v>11.046581270821422</v>
      </c>
      <c r="Q1462" s="43">
        <f t="shared" si="314"/>
        <v>8.4065671999999994E-2</v>
      </c>
      <c r="R1462" s="43">
        <f t="shared" si="315"/>
        <v>1.9298706999999998E-2</v>
      </c>
      <c r="S1462" s="43">
        <f t="shared" si="316"/>
        <v>0.79113505200000001</v>
      </c>
      <c r="T1462" s="43">
        <f t="shared" si="317"/>
        <v>3.098906623</v>
      </c>
      <c r="U1462" s="43">
        <f t="shared" si="318"/>
        <v>7.1468555389999997</v>
      </c>
      <c r="V1462" s="43">
        <f t="shared" si="319"/>
        <v>1.4415525E-2</v>
      </c>
      <c r="W1462" s="230">
        <f t="shared" si="320"/>
        <v>0.16489372278448292</v>
      </c>
      <c r="X1462" s="43">
        <f t="shared" si="321"/>
        <v>0.76559362099999995</v>
      </c>
      <c r="Y1462" s="43">
        <v>108.7017081</v>
      </c>
      <c r="Z1462" s="43">
        <f t="shared" si="310"/>
        <v>0</v>
      </c>
      <c r="AA1462" s="43">
        <f t="shared" si="311"/>
        <v>478718</v>
      </c>
      <c r="AB1462" s="43">
        <f t="shared" si="312"/>
        <v>186107</v>
      </c>
      <c r="AC1462" s="43">
        <f t="shared" si="322"/>
        <v>7.5967312731255288E-2</v>
      </c>
      <c r="AD1462" s="43">
        <f t="shared" si="323"/>
        <v>0.80847972010000058</v>
      </c>
      <c r="AF1462" s="43">
        <v>11.046581270821422</v>
      </c>
      <c r="AG1462" s="43">
        <v>8.4065671999999994E-2</v>
      </c>
      <c r="AH1462" s="43">
        <v>1.9298706999999998E-2</v>
      </c>
      <c r="AI1462" s="43">
        <v>0.79113505200000001</v>
      </c>
      <c r="AJ1462" s="43">
        <v>3.098906623</v>
      </c>
      <c r="AK1462" s="43">
        <v>7.1468555389999997</v>
      </c>
      <c r="AL1462" s="43">
        <v>1.4415525E-2</v>
      </c>
      <c r="AM1462" s="230">
        <v>0.16489372278448292</v>
      </c>
      <c r="AN1462" s="43">
        <v>0.76559362099999995</v>
      </c>
    </row>
    <row r="1463" spans="1:40" x14ac:dyDescent="0.25">
      <c r="A1463" s="134">
        <v>1453</v>
      </c>
      <c r="B1463" s="134" t="s">
        <v>209</v>
      </c>
      <c r="C1463" s="134" t="s">
        <v>210</v>
      </c>
      <c r="D1463" s="134" t="s">
        <v>211</v>
      </c>
      <c r="E1463" s="134">
        <v>616</v>
      </c>
      <c r="F1463" s="134">
        <v>1718</v>
      </c>
      <c r="G1463" s="134">
        <v>49</v>
      </c>
      <c r="H1463" s="134">
        <v>98</v>
      </c>
      <c r="I1463" s="200">
        <v>0.105037589556</v>
      </c>
      <c r="J1463" s="134">
        <v>1816</v>
      </c>
      <c r="K1463" s="134">
        <v>17289.048688899999</v>
      </c>
      <c r="L1463" s="42">
        <v>0.796314767353</v>
      </c>
      <c r="M1463" s="42">
        <v>0.13725490196099999</v>
      </c>
      <c r="N1463" s="134">
        <v>0</v>
      </c>
      <c r="O1463" s="43" t="s">
        <v>664</v>
      </c>
      <c r="P1463" s="43">
        <f t="shared" si="313"/>
        <v>10.788601031125701</v>
      </c>
      <c r="Q1463" s="43">
        <f t="shared" si="314"/>
        <v>7.4543556999999996E-2</v>
      </c>
      <c r="R1463" s="43">
        <f t="shared" si="315"/>
        <v>1.9608555E-2</v>
      </c>
      <c r="S1463" s="43">
        <f t="shared" si="316"/>
        <v>0.79631476700000003</v>
      </c>
      <c r="T1463" s="43">
        <f t="shared" si="317"/>
        <v>3.1309293120000001</v>
      </c>
      <c r="U1463" s="43">
        <f t="shared" si="318"/>
        <v>6.9496443939999999</v>
      </c>
      <c r="V1463" s="43">
        <f t="shared" si="319"/>
        <v>1.1370557999999999E-2</v>
      </c>
      <c r="W1463" s="230">
        <f t="shared" si="320"/>
        <v>0.1646700507614213</v>
      </c>
      <c r="X1463" s="43">
        <f t="shared" si="321"/>
        <v>0.77325598299999998</v>
      </c>
      <c r="Y1463" s="43">
        <v>108.4230821</v>
      </c>
      <c r="Z1463" s="43">
        <f t="shared" si="310"/>
        <v>0</v>
      </c>
      <c r="AA1463" s="43">
        <f t="shared" si="311"/>
        <v>478718</v>
      </c>
      <c r="AB1463" s="43">
        <f t="shared" si="312"/>
        <v>186107</v>
      </c>
      <c r="AC1463" s="43">
        <f t="shared" si="322"/>
        <v>7.5967312731255288E-2</v>
      </c>
      <c r="AD1463" s="43">
        <f t="shared" si="323"/>
        <v>0.80847972010000058</v>
      </c>
      <c r="AF1463" s="43">
        <v>10.788601031125701</v>
      </c>
      <c r="AG1463" s="43">
        <v>7.4543556999999996E-2</v>
      </c>
      <c r="AH1463" s="43">
        <v>1.9608555E-2</v>
      </c>
      <c r="AI1463" s="43">
        <v>0.79631476700000003</v>
      </c>
      <c r="AJ1463" s="43">
        <v>3.1309293120000001</v>
      </c>
      <c r="AK1463" s="43">
        <v>6.9496443939999999</v>
      </c>
      <c r="AL1463" s="43">
        <v>1.1370557999999999E-2</v>
      </c>
      <c r="AM1463" s="230">
        <v>0.1646700507614213</v>
      </c>
      <c r="AN1463" s="43">
        <v>0.77325598299999998</v>
      </c>
    </row>
    <row r="1464" spans="1:40" x14ac:dyDescent="0.25">
      <c r="A1464" s="134">
        <v>1454</v>
      </c>
      <c r="B1464" s="134" t="s">
        <v>209</v>
      </c>
      <c r="C1464" s="134" t="s">
        <v>210</v>
      </c>
      <c r="D1464" s="134" t="s">
        <v>211</v>
      </c>
      <c r="E1464" s="134">
        <v>226</v>
      </c>
      <c r="F1464" s="134">
        <v>779</v>
      </c>
      <c r="G1464" s="134">
        <v>19</v>
      </c>
      <c r="H1464" s="134">
        <v>28</v>
      </c>
      <c r="I1464" s="200">
        <v>3.5953394623999997E-2</v>
      </c>
      <c r="J1464" s="134">
        <v>807</v>
      </c>
      <c r="K1464" s="134">
        <v>22445.7247623</v>
      </c>
      <c r="L1464" s="42">
        <v>0.77517395076600004</v>
      </c>
      <c r="M1464" s="42">
        <v>0.110236220472</v>
      </c>
      <c r="N1464" s="134">
        <v>0</v>
      </c>
      <c r="O1464" s="43" t="s">
        <v>664</v>
      </c>
      <c r="P1464" s="43">
        <f t="shared" si="313"/>
        <v>11.119499993333639</v>
      </c>
      <c r="Q1464" s="43">
        <f t="shared" si="314"/>
        <v>7.9472958999999996E-2</v>
      </c>
      <c r="R1464" s="43">
        <f t="shared" si="315"/>
        <v>2.1112263999999999E-2</v>
      </c>
      <c r="S1464" s="43">
        <f t="shared" si="316"/>
        <v>0.77517395099999997</v>
      </c>
      <c r="T1464" s="43">
        <f t="shared" si="317"/>
        <v>3.08891129</v>
      </c>
      <c r="U1464" s="43">
        <f t="shared" si="318"/>
        <v>6.6894456330000001</v>
      </c>
      <c r="V1464" s="43">
        <f t="shared" si="319"/>
        <v>9.4920769999999998E-3</v>
      </c>
      <c r="W1464" s="230">
        <f t="shared" si="320"/>
        <v>0.19143001046065627</v>
      </c>
      <c r="X1464" s="43">
        <f t="shared" si="321"/>
        <v>0.72147534000000002</v>
      </c>
      <c r="Y1464" s="43">
        <v>133.98011829999999</v>
      </c>
      <c r="Z1464" s="43">
        <f t="shared" si="310"/>
        <v>0</v>
      </c>
      <c r="AA1464" s="43">
        <f t="shared" si="311"/>
        <v>478718</v>
      </c>
      <c r="AB1464" s="43">
        <f t="shared" si="312"/>
        <v>186107</v>
      </c>
      <c r="AC1464" s="43">
        <f t="shared" si="322"/>
        <v>7.5967312731255288E-2</v>
      </c>
      <c r="AD1464" s="43">
        <f t="shared" si="323"/>
        <v>0.80847972010000058</v>
      </c>
      <c r="AF1464" s="43">
        <v>11.119499993333639</v>
      </c>
      <c r="AG1464" s="43">
        <v>7.9472958999999996E-2</v>
      </c>
      <c r="AH1464" s="43">
        <v>2.1112263999999999E-2</v>
      </c>
      <c r="AI1464" s="43">
        <v>0.77517395099999997</v>
      </c>
      <c r="AJ1464" s="43">
        <v>3.08891129</v>
      </c>
      <c r="AK1464" s="43">
        <v>6.6894456330000001</v>
      </c>
      <c r="AL1464" s="43">
        <v>9.4920769999999998E-3</v>
      </c>
      <c r="AM1464" s="230">
        <v>0.19143001046065627</v>
      </c>
      <c r="AN1464" s="43">
        <v>0.72147534000000002</v>
      </c>
    </row>
    <row r="1465" spans="1:40" x14ac:dyDescent="0.25">
      <c r="A1465" s="134">
        <v>1455</v>
      </c>
      <c r="B1465" s="134" t="s">
        <v>209</v>
      </c>
      <c r="C1465" s="134" t="s">
        <v>210</v>
      </c>
      <c r="D1465" s="134" t="s">
        <v>211</v>
      </c>
      <c r="E1465" s="134">
        <v>323</v>
      </c>
      <c r="F1465" s="134">
        <v>1114</v>
      </c>
      <c r="G1465" s="134">
        <v>26</v>
      </c>
      <c r="H1465" s="134">
        <v>90</v>
      </c>
      <c r="I1465" s="200">
        <v>4.9080748520600001E-2</v>
      </c>
      <c r="J1465" s="134">
        <v>1204</v>
      </c>
      <c r="K1465" s="134">
        <v>24531.003219999999</v>
      </c>
      <c r="L1465" s="42">
        <v>0.784191934225</v>
      </c>
      <c r="M1465" s="42">
        <v>0.21791767554499999</v>
      </c>
      <c r="N1465" s="134">
        <v>0</v>
      </c>
      <c r="O1465" s="43" t="s">
        <v>664</v>
      </c>
      <c r="P1465" s="43">
        <f t="shared" si="313"/>
        <v>11.680908216168875</v>
      </c>
      <c r="Q1465" s="43">
        <f t="shared" si="314"/>
        <v>7.8068752000000005E-2</v>
      </c>
      <c r="R1465" s="43">
        <f t="shared" si="315"/>
        <v>2.1661116000000001E-2</v>
      </c>
      <c r="S1465" s="43">
        <f t="shared" si="316"/>
        <v>0.78419193399999998</v>
      </c>
      <c r="T1465" s="43">
        <f t="shared" si="317"/>
        <v>3.1261694389999999</v>
      </c>
      <c r="U1465" s="43">
        <f t="shared" si="318"/>
        <v>7.2636523659999996</v>
      </c>
      <c r="V1465" s="43">
        <f t="shared" si="319"/>
        <v>1.4543502E-2</v>
      </c>
      <c r="W1465" s="230">
        <f t="shared" si="320"/>
        <v>0.16562784508719097</v>
      </c>
      <c r="X1465" s="43">
        <f t="shared" si="321"/>
        <v>0.75353082599999999</v>
      </c>
      <c r="Y1465" s="43">
        <v>34.684700620000001</v>
      </c>
      <c r="Z1465" s="43">
        <f t="shared" si="310"/>
        <v>0</v>
      </c>
      <c r="AA1465" s="43">
        <f t="shared" si="311"/>
        <v>478718</v>
      </c>
      <c r="AB1465" s="43">
        <f t="shared" si="312"/>
        <v>186107</v>
      </c>
      <c r="AC1465" s="43">
        <f t="shared" si="322"/>
        <v>7.5967312731255288E-2</v>
      </c>
      <c r="AD1465" s="43">
        <f t="shared" si="323"/>
        <v>0.80847972010000058</v>
      </c>
      <c r="AF1465" s="43">
        <v>11.680908216168875</v>
      </c>
      <c r="AG1465" s="43">
        <v>7.8068752000000005E-2</v>
      </c>
      <c r="AH1465" s="43">
        <v>2.1661116000000001E-2</v>
      </c>
      <c r="AI1465" s="43">
        <v>0.78419193399999998</v>
      </c>
      <c r="AJ1465" s="43">
        <v>3.1261694389999999</v>
      </c>
      <c r="AK1465" s="43">
        <v>7.2636523659999996</v>
      </c>
      <c r="AL1465" s="43">
        <v>1.4543502E-2</v>
      </c>
      <c r="AM1465" s="230">
        <v>0.16562784508719097</v>
      </c>
      <c r="AN1465" s="43">
        <v>0.75353082599999999</v>
      </c>
    </row>
    <row r="1466" spans="1:40" x14ac:dyDescent="0.25">
      <c r="A1466" s="134">
        <v>1456</v>
      </c>
      <c r="B1466" s="134" t="s">
        <v>209</v>
      </c>
      <c r="C1466" s="134" t="s">
        <v>210</v>
      </c>
      <c r="D1466" s="134" t="s">
        <v>211</v>
      </c>
      <c r="E1466" s="134">
        <v>755</v>
      </c>
      <c r="F1466" s="134">
        <v>2771</v>
      </c>
      <c r="G1466" s="134">
        <v>43</v>
      </c>
      <c r="H1466" s="134">
        <v>559</v>
      </c>
      <c r="I1466" s="200">
        <v>9.1127716640200002E-2</v>
      </c>
      <c r="J1466" s="134">
        <v>3330</v>
      </c>
      <c r="K1466" s="134">
        <v>36542.120474199997</v>
      </c>
      <c r="L1466" s="42">
        <v>0.74548094245499996</v>
      </c>
      <c r="M1466" s="42">
        <v>0.42541856925400001</v>
      </c>
      <c r="N1466" s="134">
        <v>1</v>
      </c>
      <c r="O1466" s="43" t="s">
        <v>627</v>
      </c>
      <c r="P1466" s="43">
        <f t="shared" si="313"/>
        <v>11.214369169065527</v>
      </c>
      <c r="Q1466" s="43">
        <f t="shared" si="314"/>
        <v>9.7412433000000007E-2</v>
      </c>
      <c r="R1466" s="43">
        <f t="shared" si="315"/>
        <v>2.1038838000000001E-2</v>
      </c>
      <c r="S1466" s="43">
        <f t="shared" si="316"/>
        <v>0.74548094200000004</v>
      </c>
      <c r="T1466" s="43">
        <f t="shared" si="317"/>
        <v>2.9996732480000001</v>
      </c>
      <c r="U1466" s="43">
        <f t="shared" si="318"/>
        <v>6.8933027960000004</v>
      </c>
      <c r="V1466" s="43">
        <f t="shared" si="319"/>
        <v>2.4236779999999999E-2</v>
      </c>
      <c r="W1466" s="230">
        <f t="shared" si="320"/>
        <v>0.19325251797998139</v>
      </c>
      <c r="X1466" s="43">
        <f t="shared" si="321"/>
        <v>0.69740415200000005</v>
      </c>
      <c r="Y1466" s="43">
        <v>129.33096219999999</v>
      </c>
      <c r="Z1466" s="43">
        <f t="shared" si="310"/>
        <v>0</v>
      </c>
      <c r="AA1466" s="43">
        <f t="shared" si="311"/>
        <v>478718</v>
      </c>
      <c r="AB1466" s="43">
        <f t="shared" si="312"/>
        <v>186107</v>
      </c>
      <c r="AC1466" s="43">
        <f t="shared" si="322"/>
        <v>7.5967312731255288E-2</v>
      </c>
      <c r="AD1466" s="43">
        <f t="shared" si="323"/>
        <v>0.80847972010000058</v>
      </c>
      <c r="AF1466" s="43">
        <v>11.214369169065527</v>
      </c>
      <c r="AG1466" s="43">
        <v>9.7412433000000007E-2</v>
      </c>
      <c r="AH1466" s="43">
        <v>2.1038838000000001E-2</v>
      </c>
      <c r="AI1466" s="43">
        <v>0.74548094200000004</v>
      </c>
      <c r="AJ1466" s="43">
        <v>2.9996732480000001</v>
      </c>
      <c r="AK1466" s="43">
        <v>6.8933027960000004</v>
      </c>
      <c r="AL1466" s="43">
        <v>2.4236779999999999E-2</v>
      </c>
      <c r="AM1466" s="230">
        <v>0.19325251797998139</v>
      </c>
      <c r="AN1466" s="43">
        <v>0.69740415200000005</v>
      </c>
    </row>
    <row r="1467" spans="1:40" x14ac:dyDescent="0.25">
      <c r="A1467" s="134">
        <v>1457</v>
      </c>
      <c r="B1467" s="134" t="s">
        <v>209</v>
      </c>
      <c r="C1467" s="134" t="s">
        <v>210</v>
      </c>
      <c r="D1467" s="134" t="s">
        <v>211</v>
      </c>
      <c r="E1467" s="134">
        <v>505</v>
      </c>
      <c r="F1467" s="134">
        <v>1860</v>
      </c>
      <c r="G1467" s="134">
        <v>25</v>
      </c>
      <c r="H1467" s="134">
        <v>231</v>
      </c>
      <c r="I1467" s="200">
        <v>5.2143628961500002E-2</v>
      </c>
      <c r="J1467" s="134">
        <v>2091</v>
      </c>
      <c r="K1467" s="134">
        <v>40100.776291299997</v>
      </c>
      <c r="L1467" s="42">
        <v>0.71632820059900004</v>
      </c>
      <c r="M1467" s="42">
        <v>0.31385869565199997</v>
      </c>
      <c r="N1467" s="134">
        <v>1</v>
      </c>
      <c r="O1467" s="43" t="s">
        <v>627</v>
      </c>
      <c r="P1467" s="43">
        <f t="shared" si="313"/>
        <v>11.480014755445263</v>
      </c>
      <c r="Q1467" s="43">
        <f t="shared" si="314"/>
        <v>0.123838316</v>
      </c>
      <c r="R1467" s="43">
        <f t="shared" si="315"/>
        <v>2.2762844000000001E-2</v>
      </c>
      <c r="S1467" s="43">
        <f t="shared" si="316"/>
        <v>0.71632820100000005</v>
      </c>
      <c r="T1467" s="43">
        <f t="shared" si="317"/>
        <v>2.9694929819999998</v>
      </c>
      <c r="U1467" s="43">
        <f t="shared" si="318"/>
        <v>6.9937068990000002</v>
      </c>
      <c r="V1467" s="43">
        <f t="shared" si="319"/>
        <v>2.5160709999999999E-2</v>
      </c>
      <c r="W1467" s="230">
        <f t="shared" si="320"/>
        <v>0.23238621753664182</v>
      </c>
      <c r="X1467" s="43">
        <f t="shared" si="321"/>
        <v>0.66492671599999997</v>
      </c>
      <c r="Y1467" s="43">
        <v>98.707680580000002</v>
      </c>
      <c r="Z1467" s="43">
        <f t="shared" si="310"/>
        <v>0</v>
      </c>
      <c r="AA1467" s="43">
        <f t="shared" si="311"/>
        <v>478718</v>
      </c>
      <c r="AB1467" s="43">
        <f t="shared" si="312"/>
        <v>186107</v>
      </c>
      <c r="AC1467" s="43">
        <f t="shared" si="322"/>
        <v>7.5967312731255288E-2</v>
      </c>
      <c r="AD1467" s="43">
        <f t="shared" si="323"/>
        <v>0.80847972010000058</v>
      </c>
      <c r="AF1467" s="43">
        <v>11.480014755445263</v>
      </c>
      <c r="AG1467" s="43">
        <v>0.123838316</v>
      </c>
      <c r="AH1467" s="43">
        <v>2.2762844000000001E-2</v>
      </c>
      <c r="AI1467" s="43">
        <v>0.71632820100000005</v>
      </c>
      <c r="AJ1467" s="43">
        <v>2.9694929819999998</v>
      </c>
      <c r="AK1467" s="43">
        <v>6.9937068990000002</v>
      </c>
      <c r="AL1467" s="43">
        <v>2.5160709999999999E-2</v>
      </c>
      <c r="AM1467" s="230">
        <v>0.23238621753664182</v>
      </c>
      <c r="AN1467" s="43">
        <v>0.66492671599999997</v>
      </c>
    </row>
    <row r="1468" spans="1:40" x14ac:dyDescent="0.25">
      <c r="A1468" s="134">
        <v>1458</v>
      </c>
      <c r="B1468" s="134" t="s">
        <v>209</v>
      </c>
      <c r="C1468" s="134" t="s">
        <v>210</v>
      </c>
      <c r="D1468" s="134" t="s">
        <v>211</v>
      </c>
      <c r="E1468" s="134">
        <v>94</v>
      </c>
      <c r="F1468" s="134">
        <v>282</v>
      </c>
      <c r="G1468" s="134">
        <v>36</v>
      </c>
      <c r="H1468" s="134">
        <v>187</v>
      </c>
      <c r="I1468" s="200">
        <v>7.5568402590900002E-2</v>
      </c>
      <c r="J1468" s="134">
        <v>469</v>
      </c>
      <c r="K1468" s="134">
        <v>6206.2976577500003</v>
      </c>
      <c r="L1468" s="42">
        <v>0.80231845224599996</v>
      </c>
      <c r="M1468" s="42">
        <v>0.66548042704599997</v>
      </c>
      <c r="N1468" s="134">
        <v>1</v>
      </c>
      <c r="O1468" s="43" t="s">
        <v>664</v>
      </c>
      <c r="P1468" s="43">
        <f t="shared" si="313"/>
        <v>11.319527575604559</v>
      </c>
      <c r="Q1468" s="43">
        <f t="shared" si="314"/>
        <v>6.3445206000000004E-2</v>
      </c>
      <c r="R1468" s="43">
        <f t="shared" si="315"/>
        <v>1.5622871E-2</v>
      </c>
      <c r="S1468" s="43">
        <f t="shared" si="316"/>
        <v>0.80231845199999996</v>
      </c>
      <c r="T1468" s="43">
        <f t="shared" si="317"/>
        <v>2.8112318840000001</v>
      </c>
      <c r="U1468" s="43">
        <f t="shared" si="318"/>
        <v>6.4096959379999996</v>
      </c>
      <c r="V1468" s="43">
        <f t="shared" si="319"/>
        <v>1.1656237E-2</v>
      </c>
      <c r="W1468" s="230">
        <f t="shared" si="320"/>
        <v>0.10844121721683467</v>
      </c>
      <c r="X1468" s="43">
        <f t="shared" si="321"/>
        <v>0.772130129</v>
      </c>
      <c r="Y1468" s="43">
        <v>149.48587430000001</v>
      </c>
      <c r="Z1468" s="43">
        <f t="shared" si="310"/>
        <v>0</v>
      </c>
      <c r="AA1468" s="43">
        <f t="shared" si="311"/>
        <v>478718</v>
      </c>
      <c r="AB1468" s="43">
        <f t="shared" si="312"/>
        <v>186107</v>
      </c>
      <c r="AC1468" s="43">
        <f t="shared" si="322"/>
        <v>7.5967312731255288E-2</v>
      </c>
      <c r="AD1468" s="43">
        <f t="shared" si="323"/>
        <v>0.80847972010000058</v>
      </c>
      <c r="AF1468" s="43">
        <v>11.319527575604559</v>
      </c>
      <c r="AG1468" s="43">
        <v>6.3445206000000004E-2</v>
      </c>
      <c r="AH1468" s="43">
        <v>1.5622871E-2</v>
      </c>
      <c r="AI1468" s="43">
        <v>0.80231845199999996</v>
      </c>
      <c r="AJ1468" s="43">
        <v>2.8112318840000001</v>
      </c>
      <c r="AK1468" s="43">
        <v>6.4096959379999996</v>
      </c>
      <c r="AL1468" s="43">
        <v>1.1656237E-2</v>
      </c>
      <c r="AM1468" s="230">
        <v>0.10844121721683467</v>
      </c>
      <c r="AN1468" s="43">
        <v>0.772130129</v>
      </c>
    </row>
    <row r="1469" spans="1:40" x14ac:dyDescent="0.25">
      <c r="A1469" s="134">
        <v>1459</v>
      </c>
      <c r="B1469" s="134" t="s">
        <v>209</v>
      </c>
      <c r="C1469" s="134" t="s">
        <v>210</v>
      </c>
      <c r="D1469" s="134" t="s">
        <v>211</v>
      </c>
      <c r="E1469" s="134">
        <v>37</v>
      </c>
      <c r="F1469" s="134">
        <v>111</v>
      </c>
      <c r="G1469" s="134">
        <v>41</v>
      </c>
      <c r="H1469" s="134">
        <v>690</v>
      </c>
      <c r="I1469" s="200">
        <v>8.3871606610399996E-2</v>
      </c>
      <c r="J1469" s="134">
        <v>801</v>
      </c>
      <c r="K1469" s="134">
        <v>9550.3118680099997</v>
      </c>
      <c r="L1469" s="42">
        <v>0.87176324153700002</v>
      </c>
      <c r="M1469" s="42">
        <v>0.94910591471799999</v>
      </c>
      <c r="N1469" s="134">
        <v>1</v>
      </c>
      <c r="O1469" s="43" t="s">
        <v>664</v>
      </c>
      <c r="P1469" s="43">
        <f t="shared" si="313"/>
        <v>12.466547852371308</v>
      </c>
      <c r="Q1469" s="43">
        <f t="shared" si="314"/>
        <v>4.0524772000000001E-2</v>
      </c>
      <c r="R1469" s="43">
        <f t="shared" si="315"/>
        <v>1.2835901E-2</v>
      </c>
      <c r="S1469" s="43">
        <f t="shared" si="316"/>
        <v>0.87176324199999999</v>
      </c>
      <c r="T1469" s="43">
        <f t="shared" si="317"/>
        <v>3.168357436</v>
      </c>
      <c r="U1469" s="43">
        <f t="shared" si="318"/>
        <v>7.2811633090000001</v>
      </c>
      <c r="V1469" s="43">
        <f t="shared" si="319"/>
        <v>1.4184537000000001E-2</v>
      </c>
      <c r="W1469" s="230">
        <f t="shared" si="320"/>
        <v>6.3128115850280914E-2</v>
      </c>
      <c r="X1469" s="43">
        <f t="shared" si="321"/>
        <v>0.87287330900000004</v>
      </c>
      <c r="Y1469" s="43">
        <v>57.584835099999999</v>
      </c>
      <c r="Z1469" s="43">
        <f t="shared" si="310"/>
        <v>0</v>
      </c>
      <c r="AA1469" s="43">
        <f t="shared" si="311"/>
        <v>478718</v>
      </c>
      <c r="AB1469" s="43">
        <f t="shared" si="312"/>
        <v>186107</v>
      </c>
      <c r="AC1469" s="43">
        <f t="shared" si="322"/>
        <v>7.5967312731255288E-2</v>
      </c>
      <c r="AD1469" s="43">
        <f t="shared" si="323"/>
        <v>0.80847972010000058</v>
      </c>
      <c r="AF1469" s="43">
        <v>12.466547852371308</v>
      </c>
      <c r="AG1469" s="43">
        <v>4.0524772000000001E-2</v>
      </c>
      <c r="AH1469" s="43">
        <v>1.2835901E-2</v>
      </c>
      <c r="AI1469" s="43">
        <v>0.87176324199999999</v>
      </c>
      <c r="AJ1469" s="43">
        <v>3.168357436</v>
      </c>
      <c r="AK1469" s="43">
        <v>7.2811633090000001</v>
      </c>
      <c r="AL1469" s="43">
        <v>1.4184537000000001E-2</v>
      </c>
      <c r="AM1469" s="230">
        <v>6.3128115850280914E-2</v>
      </c>
      <c r="AN1469" s="43">
        <v>0.87287330900000004</v>
      </c>
    </row>
    <row r="1470" spans="1:40" x14ac:dyDescent="0.25">
      <c r="A1470" s="134">
        <v>1460</v>
      </c>
      <c r="B1470" s="134" t="s">
        <v>209</v>
      </c>
      <c r="C1470" s="134" t="s">
        <v>210</v>
      </c>
      <c r="D1470" s="134" t="s">
        <v>211</v>
      </c>
      <c r="E1470" s="134">
        <v>313</v>
      </c>
      <c r="F1470" s="134">
        <v>943</v>
      </c>
      <c r="G1470" s="134">
        <v>37</v>
      </c>
      <c r="H1470" s="134">
        <v>413</v>
      </c>
      <c r="I1470" s="200">
        <v>7.6147331424600007E-2</v>
      </c>
      <c r="J1470" s="134">
        <v>1356</v>
      </c>
      <c r="K1470" s="134">
        <v>17807.5839906</v>
      </c>
      <c r="L1470" s="42">
        <v>0.79002359564500002</v>
      </c>
      <c r="M1470" s="42">
        <v>0.56887052341599997</v>
      </c>
      <c r="N1470" s="134">
        <v>1</v>
      </c>
      <c r="O1470" s="43" t="s">
        <v>664</v>
      </c>
      <c r="P1470" s="43">
        <f t="shared" si="313"/>
        <v>11.452932721038495</v>
      </c>
      <c r="Q1470" s="43">
        <f t="shared" si="314"/>
        <v>7.5030011999999993E-2</v>
      </c>
      <c r="R1470" s="43">
        <f t="shared" si="315"/>
        <v>1.8056877999999998E-2</v>
      </c>
      <c r="S1470" s="43">
        <f t="shared" si="316"/>
        <v>0.79002359600000005</v>
      </c>
      <c r="T1470" s="43">
        <f t="shared" si="317"/>
        <v>2.7465580539999999</v>
      </c>
      <c r="U1470" s="43">
        <f t="shared" si="318"/>
        <v>6.8299223080000004</v>
      </c>
      <c r="V1470" s="43">
        <f t="shared" si="319"/>
        <v>1.8233359000000001E-2</v>
      </c>
      <c r="W1470" s="230">
        <f t="shared" si="320"/>
        <v>0.15564849163575278</v>
      </c>
      <c r="X1470" s="43">
        <f t="shared" si="321"/>
        <v>0.747497725</v>
      </c>
      <c r="Y1470" s="43">
        <v>192.98476669999999</v>
      </c>
      <c r="Z1470" s="43">
        <f t="shared" si="310"/>
        <v>0</v>
      </c>
      <c r="AA1470" s="43">
        <f t="shared" si="311"/>
        <v>478718</v>
      </c>
      <c r="AB1470" s="43">
        <f t="shared" si="312"/>
        <v>186107</v>
      </c>
      <c r="AC1470" s="43">
        <f t="shared" si="322"/>
        <v>7.5967312731255288E-2</v>
      </c>
      <c r="AD1470" s="43">
        <f t="shared" si="323"/>
        <v>0.80847972010000058</v>
      </c>
      <c r="AF1470" s="43">
        <v>11.452932721038495</v>
      </c>
      <c r="AG1470" s="43">
        <v>7.5030011999999993E-2</v>
      </c>
      <c r="AH1470" s="43">
        <v>1.8056877999999998E-2</v>
      </c>
      <c r="AI1470" s="43">
        <v>0.79002359600000005</v>
      </c>
      <c r="AJ1470" s="43">
        <v>2.7465580539999999</v>
      </c>
      <c r="AK1470" s="43">
        <v>6.8299223080000004</v>
      </c>
      <c r="AL1470" s="43">
        <v>1.8233359000000001E-2</v>
      </c>
      <c r="AM1470" s="230">
        <v>0.15564849163575278</v>
      </c>
      <c r="AN1470" s="43">
        <v>0.747497725</v>
      </c>
    </row>
    <row r="1471" spans="1:40" x14ac:dyDescent="0.25">
      <c r="A1471" s="134">
        <v>1461</v>
      </c>
      <c r="B1471" s="134" t="s">
        <v>209</v>
      </c>
      <c r="C1471" s="134" t="s">
        <v>210</v>
      </c>
      <c r="D1471" s="134" t="s">
        <v>211</v>
      </c>
      <c r="E1471" s="134">
        <v>602</v>
      </c>
      <c r="F1471" s="134">
        <v>1484</v>
      </c>
      <c r="G1471" s="134">
        <v>40</v>
      </c>
      <c r="H1471" s="134">
        <v>212</v>
      </c>
      <c r="I1471" s="200">
        <v>7.22874258287E-2</v>
      </c>
      <c r="J1471" s="134">
        <v>1696</v>
      </c>
      <c r="K1471" s="134">
        <v>23461.8950745</v>
      </c>
      <c r="L1471" s="42">
        <v>0.90402247808900005</v>
      </c>
      <c r="M1471" s="42">
        <v>0.26044226044199997</v>
      </c>
      <c r="N1471" s="134">
        <v>0</v>
      </c>
      <c r="O1471" s="43" t="s">
        <v>666</v>
      </c>
      <c r="P1471" s="43">
        <f t="shared" si="313"/>
        <v>13.014151948698789</v>
      </c>
      <c r="Q1471" s="43">
        <f t="shared" si="314"/>
        <v>4.8179975999999999E-2</v>
      </c>
      <c r="R1471" s="43">
        <f t="shared" si="315"/>
        <v>1.4156266000000001E-2</v>
      </c>
      <c r="S1471" s="43">
        <f t="shared" si="316"/>
        <v>0.90402247800000002</v>
      </c>
      <c r="T1471" s="43">
        <f t="shared" si="317"/>
        <v>4.4665997549999998</v>
      </c>
      <c r="U1471" s="43">
        <f t="shared" si="318"/>
        <v>10.280188040000001</v>
      </c>
      <c r="V1471" s="43">
        <f t="shared" si="319"/>
        <v>9.6247889999999999E-3</v>
      </c>
      <c r="W1471" s="230">
        <f t="shared" si="320"/>
        <v>9.286621022620857E-2</v>
      </c>
      <c r="X1471" s="43">
        <f t="shared" si="321"/>
        <v>0.88338917400000005</v>
      </c>
      <c r="Y1471" s="43">
        <v>67.300991420000003</v>
      </c>
      <c r="Z1471" s="43">
        <f t="shared" si="310"/>
        <v>0</v>
      </c>
      <c r="AA1471" s="43">
        <f t="shared" si="311"/>
        <v>478718</v>
      </c>
      <c r="AB1471" s="43">
        <f t="shared" si="312"/>
        <v>186107</v>
      </c>
      <c r="AC1471" s="43">
        <f t="shared" si="322"/>
        <v>7.5967312731255288E-2</v>
      </c>
      <c r="AD1471" s="43">
        <f t="shared" si="323"/>
        <v>0.80847972010000058</v>
      </c>
      <c r="AF1471" s="43">
        <v>13.014151948698789</v>
      </c>
      <c r="AG1471" s="43">
        <v>4.8179975999999999E-2</v>
      </c>
      <c r="AH1471" s="43">
        <v>1.4156266000000001E-2</v>
      </c>
      <c r="AI1471" s="43">
        <v>0.90402247800000002</v>
      </c>
      <c r="AJ1471" s="43">
        <v>4.4665997549999998</v>
      </c>
      <c r="AK1471" s="43">
        <v>10.280188040000001</v>
      </c>
      <c r="AL1471" s="43">
        <v>9.6247889999999999E-3</v>
      </c>
      <c r="AM1471" s="230">
        <v>9.286621022620857E-2</v>
      </c>
      <c r="AN1471" s="43">
        <v>0.88338917400000005</v>
      </c>
    </row>
    <row r="1472" spans="1:40" x14ac:dyDescent="0.25">
      <c r="A1472" s="134">
        <v>1462</v>
      </c>
      <c r="B1472" s="134" t="s">
        <v>209</v>
      </c>
      <c r="C1472" s="134" t="s">
        <v>210</v>
      </c>
      <c r="D1472" s="134" t="s">
        <v>211</v>
      </c>
      <c r="E1472" s="134">
        <v>112</v>
      </c>
      <c r="F1472" s="134">
        <v>403</v>
      </c>
      <c r="G1472" s="134">
        <v>55</v>
      </c>
      <c r="H1472" s="134">
        <v>424</v>
      </c>
      <c r="I1472" s="200">
        <v>0.117910778161</v>
      </c>
      <c r="J1472" s="134">
        <v>827</v>
      </c>
      <c r="K1472" s="134">
        <v>7013.7778148500001</v>
      </c>
      <c r="L1472" s="42">
        <v>0.80953649913799997</v>
      </c>
      <c r="M1472" s="42">
        <v>0.79104477611900004</v>
      </c>
      <c r="N1472" s="134">
        <v>1</v>
      </c>
      <c r="O1472" s="43" t="s">
        <v>664</v>
      </c>
      <c r="P1472" s="43">
        <f t="shared" si="313"/>
        <v>13.171486866946649</v>
      </c>
      <c r="Q1472" s="43">
        <f t="shared" si="314"/>
        <v>6.6984667999999997E-2</v>
      </c>
      <c r="R1472" s="43">
        <f t="shared" si="315"/>
        <v>1.6788359999999999E-2</v>
      </c>
      <c r="S1472" s="43">
        <f t="shared" si="316"/>
        <v>0.80953649900000002</v>
      </c>
      <c r="T1472" s="43">
        <f t="shared" si="317"/>
        <v>3.2806366050000002</v>
      </c>
      <c r="U1472" s="43">
        <f t="shared" si="318"/>
        <v>7.8671989309999999</v>
      </c>
      <c r="V1472" s="43">
        <f t="shared" si="319"/>
        <v>1.3186757E-2</v>
      </c>
      <c r="W1472" s="230">
        <f t="shared" si="320"/>
        <v>9.5954700811100357E-2</v>
      </c>
      <c r="X1472" s="43">
        <f t="shared" si="321"/>
        <v>0.80781002899999999</v>
      </c>
      <c r="Y1472" s="43">
        <v>66.933020549999995</v>
      </c>
      <c r="Z1472" s="43">
        <f t="shared" si="310"/>
        <v>0</v>
      </c>
      <c r="AA1472" s="43">
        <f t="shared" si="311"/>
        <v>478718</v>
      </c>
      <c r="AB1472" s="43">
        <f t="shared" si="312"/>
        <v>186107</v>
      </c>
      <c r="AC1472" s="43">
        <f t="shared" si="322"/>
        <v>7.5967312731255288E-2</v>
      </c>
      <c r="AD1472" s="43">
        <f t="shared" si="323"/>
        <v>0.80847972010000058</v>
      </c>
      <c r="AF1472" s="43">
        <v>13.171486866946649</v>
      </c>
      <c r="AG1472" s="43">
        <v>6.6984667999999997E-2</v>
      </c>
      <c r="AH1472" s="43">
        <v>1.6788359999999999E-2</v>
      </c>
      <c r="AI1472" s="43">
        <v>0.80953649900000002</v>
      </c>
      <c r="AJ1472" s="43">
        <v>3.2806366050000002</v>
      </c>
      <c r="AK1472" s="43">
        <v>7.8671989309999999</v>
      </c>
      <c r="AL1472" s="43">
        <v>1.3186757E-2</v>
      </c>
      <c r="AM1472" s="230">
        <v>9.5954700811100357E-2</v>
      </c>
      <c r="AN1472" s="43">
        <v>0.80781002899999999</v>
      </c>
    </row>
    <row r="1473" spans="1:40" x14ac:dyDescent="0.25">
      <c r="A1473" s="134">
        <v>1463</v>
      </c>
      <c r="B1473" s="134" t="s">
        <v>212</v>
      </c>
      <c r="C1473" s="134" t="s">
        <v>210</v>
      </c>
      <c r="D1473" s="134" t="s">
        <v>211</v>
      </c>
      <c r="E1473" s="134">
        <v>451</v>
      </c>
      <c r="F1473" s="134">
        <v>1338</v>
      </c>
      <c r="G1473" s="134">
        <v>74</v>
      </c>
      <c r="H1473" s="134">
        <v>100</v>
      </c>
      <c r="I1473" s="200">
        <v>0.135600860405</v>
      </c>
      <c r="J1473" s="134">
        <v>1438</v>
      </c>
      <c r="K1473" s="134">
        <v>10604.652475700001</v>
      </c>
      <c r="L1473" s="42">
        <v>0.80178145429900005</v>
      </c>
      <c r="M1473" s="42">
        <v>0.18148820326699999</v>
      </c>
      <c r="N1473" s="134">
        <v>0</v>
      </c>
      <c r="O1473" s="43" t="s">
        <v>664</v>
      </c>
      <c r="P1473" s="43">
        <f t="shared" si="313"/>
        <v>11.600767670890663</v>
      </c>
      <c r="Q1473" s="43">
        <f t="shared" si="314"/>
        <v>6.9019445999999998E-2</v>
      </c>
      <c r="R1473" s="43">
        <f t="shared" si="315"/>
        <v>1.4901024000000001E-2</v>
      </c>
      <c r="S1473" s="43">
        <f t="shared" si="316"/>
        <v>0.801781454</v>
      </c>
      <c r="T1473" s="43">
        <f t="shared" si="317"/>
        <v>3.1926972280000001</v>
      </c>
      <c r="U1473" s="43">
        <f t="shared" si="318"/>
        <v>8.0133208479999993</v>
      </c>
      <c r="V1473" s="43">
        <f t="shared" si="319"/>
        <v>1.2250795E-2</v>
      </c>
      <c r="W1473" s="230">
        <f t="shared" si="320"/>
        <v>0.12393747021842383</v>
      </c>
      <c r="X1473" s="43">
        <f t="shared" si="321"/>
        <v>0.797254715</v>
      </c>
      <c r="Y1473" s="43">
        <v>170.5974731</v>
      </c>
      <c r="Z1473" s="43">
        <f t="shared" si="310"/>
        <v>0</v>
      </c>
      <c r="AA1473" s="43">
        <f t="shared" si="311"/>
        <v>86244</v>
      </c>
      <c r="AB1473" s="43">
        <f t="shared" si="312"/>
        <v>34108</v>
      </c>
      <c r="AC1473" s="43">
        <f t="shared" si="322"/>
        <v>6.3645432270270294E-2</v>
      </c>
      <c r="AD1473" s="43">
        <f t="shared" si="323"/>
        <v>0.82651807273333366</v>
      </c>
      <c r="AF1473" s="43">
        <v>11.600767670890663</v>
      </c>
      <c r="AG1473" s="43">
        <v>6.9019445999999998E-2</v>
      </c>
      <c r="AH1473" s="43">
        <v>1.4901024000000001E-2</v>
      </c>
      <c r="AI1473" s="43">
        <v>0.801781454</v>
      </c>
      <c r="AJ1473" s="43">
        <v>3.1926972280000001</v>
      </c>
      <c r="AK1473" s="43">
        <v>8.0133208479999993</v>
      </c>
      <c r="AL1473" s="43">
        <v>1.2250795E-2</v>
      </c>
      <c r="AM1473" s="230">
        <v>0.12393747021842383</v>
      </c>
      <c r="AN1473" s="43">
        <v>0.797254715</v>
      </c>
    </row>
    <row r="1474" spans="1:40" x14ac:dyDescent="0.25">
      <c r="A1474" s="134">
        <v>1464</v>
      </c>
      <c r="B1474" s="134" t="s">
        <v>212</v>
      </c>
      <c r="C1474" s="134" t="s">
        <v>210</v>
      </c>
      <c r="D1474" s="134" t="s">
        <v>211</v>
      </c>
      <c r="E1474" s="134">
        <v>904</v>
      </c>
      <c r="F1474" s="134">
        <v>2436</v>
      </c>
      <c r="G1474" s="134">
        <v>81</v>
      </c>
      <c r="H1474" s="134">
        <v>650</v>
      </c>
      <c r="I1474" s="200">
        <v>0.20471035518399999</v>
      </c>
      <c r="J1474" s="134">
        <v>3086</v>
      </c>
      <c r="K1474" s="134">
        <v>15074.9579679</v>
      </c>
      <c r="L1474" s="42">
        <v>0.84689697160900002</v>
      </c>
      <c r="M1474" s="42">
        <v>0.41827541827499998</v>
      </c>
      <c r="N1474" s="134">
        <v>0</v>
      </c>
      <c r="O1474" s="43" t="s">
        <v>664</v>
      </c>
      <c r="P1474" s="43">
        <f t="shared" si="313"/>
        <v>13.80332739254618</v>
      </c>
      <c r="Q1474" s="43">
        <f t="shared" si="314"/>
        <v>4.3386648999999999E-2</v>
      </c>
      <c r="R1474" s="43">
        <f t="shared" si="315"/>
        <v>1.3757413E-2</v>
      </c>
      <c r="S1474" s="43">
        <f t="shared" si="316"/>
        <v>0.84689697200000003</v>
      </c>
      <c r="T1474" s="43">
        <f t="shared" si="317"/>
        <v>4.1444651659999998</v>
      </c>
      <c r="U1474" s="43">
        <f t="shared" si="318"/>
        <v>9.2157290219999997</v>
      </c>
      <c r="V1474" s="43">
        <f t="shared" si="319"/>
        <v>9.5576429999999993E-3</v>
      </c>
      <c r="W1474" s="230">
        <f t="shared" si="320"/>
        <v>9.0684884713919736E-2</v>
      </c>
      <c r="X1474" s="43">
        <f t="shared" si="321"/>
        <v>0.85973697699999996</v>
      </c>
      <c r="Y1474" s="43">
        <v>191.849988</v>
      </c>
      <c r="Z1474" s="43">
        <f t="shared" si="310"/>
        <v>0</v>
      </c>
      <c r="AA1474" s="43">
        <f t="shared" si="311"/>
        <v>86244</v>
      </c>
      <c r="AB1474" s="43">
        <f t="shared" si="312"/>
        <v>34108</v>
      </c>
      <c r="AC1474" s="43">
        <f t="shared" si="322"/>
        <v>6.3645432270270294E-2</v>
      </c>
      <c r="AD1474" s="43">
        <f t="shared" si="323"/>
        <v>0.82651807273333366</v>
      </c>
      <c r="AF1474" s="43">
        <v>13.80332739254618</v>
      </c>
      <c r="AG1474" s="43">
        <v>4.3386648999999999E-2</v>
      </c>
      <c r="AH1474" s="43">
        <v>1.3757413E-2</v>
      </c>
      <c r="AI1474" s="43">
        <v>0.84689697200000003</v>
      </c>
      <c r="AJ1474" s="43">
        <v>4.1444651659999998</v>
      </c>
      <c r="AK1474" s="43">
        <v>9.2157290219999997</v>
      </c>
      <c r="AL1474" s="43">
        <v>9.5576429999999993E-3</v>
      </c>
      <c r="AM1474" s="230">
        <v>9.0684884713919736E-2</v>
      </c>
      <c r="AN1474" s="43">
        <v>0.85973697699999996</v>
      </c>
    </row>
    <row r="1475" spans="1:40" x14ac:dyDescent="0.25">
      <c r="A1475" s="134">
        <v>1465</v>
      </c>
      <c r="B1475" s="134" t="s">
        <v>212</v>
      </c>
      <c r="C1475" s="134" t="s">
        <v>210</v>
      </c>
      <c r="D1475" s="134" t="s">
        <v>211</v>
      </c>
      <c r="E1475" s="134">
        <v>1197</v>
      </c>
      <c r="F1475" s="134">
        <v>3226</v>
      </c>
      <c r="G1475" s="134">
        <v>107</v>
      </c>
      <c r="H1475" s="134">
        <v>862</v>
      </c>
      <c r="I1475" s="200">
        <v>0.27043996496</v>
      </c>
      <c r="J1475" s="134">
        <v>4088</v>
      </c>
      <c r="K1475" s="134">
        <v>15116.109043300001</v>
      </c>
      <c r="L1475" s="42">
        <v>0.86198508103500004</v>
      </c>
      <c r="M1475" s="42">
        <v>0.418649830015</v>
      </c>
      <c r="N1475" s="134">
        <v>0</v>
      </c>
      <c r="O1475" s="43" t="s">
        <v>666</v>
      </c>
      <c r="P1475" s="43">
        <f t="shared" si="313"/>
        <v>13.48451281849707</v>
      </c>
      <c r="Q1475" s="43">
        <f t="shared" si="314"/>
        <v>4.2752235999999999E-2</v>
      </c>
      <c r="R1475" s="43">
        <f t="shared" si="315"/>
        <v>1.4539293999999999E-2</v>
      </c>
      <c r="S1475" s="43">
        <f t="shared" si="316"/>
        <v>0.86198508100000004</v>
      </c>
      <c r="T1475" s="43">
        <f t="shared" si="317"/>
        <v>4.2214937289999996</v>
      </c>
      <c r="U1475" s="43">
        <f t="shared" si="318"/>
        <v>9.4715788340000007</v>
      </c>
      <c r="V1475" s="43">
        <f t="shared" si="319"/>
        <v>1.0028476E-2</v>
      </c>
      <c r="W1475" s="230">
        <f t="shared" si="320"/>
        <v>8.8048367793322604E-2</v>
      </c>
      <c r="X1475" s="43">
        <f t="shared" si="321"/>
        <v>0.87516507799999999</v>
      </c>
      <c r="Y1475" s="43">
        <v>185.52834279999999</v>
      </c>
      <c r="Z1475" s="43">
        <f t="shared" si="310"/>
        <v>0</v>
      </c>
      <c r="AA1475" s="43">
        <f t="shared" si="311"/>
        <v>86244</v>
      </c>
      <c r="AB1475" s="43">
        <f t="shared" si="312"/>
        <v>34108</v>
      </c>
      <c r="AC1475" s="43">
        <f t="shared" si="322"/>
        <v>6.3645432270270294E-2</v>
      </c>
      <c r="AD1475" s="43">
        <f t="shared" si="323"/>
        <v>0.82651807273333366</v>
      </c>
      <c r="AF1475" s="43">
        <v>13.48451281849707</v>
      </c>
      <c r="AG1475" s="43">
        <v>4.2752235999999999E-2</v>
      </c>
      <c r="AH1475" s="43">
        <v>1.4539293999999999E-2</v>
      </c>
      <c r="AI1475" s="43">
        <v>0.86198508100000004</v>
      </c>
      <c r="AJ1475" s="43">
        <v>4.2214937289999996</v>
      </c>
      <c r="AK1475" s="43">
        <v>9.4715788340000007</v>
      </c>
      <c r="AL1475" s="43">
        <v>1.0028476E-2</v>
      </c>
      <c r="AM1475" s="230">
        <v>8.8048367793322604E-2</v>
      </c>
      <c r="AN1475" s="43">
        <v>0.87516507799999999</v>
      </c>
    </row>
    <row r="1476" spans="1:40" x14ac:dyDescent="0.25">
      <c r="A1476" s="134">
        <v>1466</v>
      </c>
      <c r="B1476" s="134" t="s">
        <v>212</v>
      </c>
      <c r="C1476" s="134" t="s">
        <v>210</v>
      </c>
      <c r="D1476" s="134" t="s">
        <v>211</v>
      </c>
      <c r="E1476" s="134">
        <v>0</v>
      </c>
      <c r="F1476" s="134">
        <v>0</v>
      </c>
      <c r="G1476" s="134">
        <v>184</v>
      </c>
      <c r="H1476" s="134">
        <v>1918</v>
      </c>
      <c r="I1476" s="200">
        <v>0.46333626211399997</v>
      </c>
      <c r="J1476" s="134">
        <v>1918</v>
      </c>
      <c r="K1476" s="134">
        <v>4139.5421788200001</v>
      </c>
      <c r="L1476" s="42">
        <v>0.96163315468400001</v>
      </c>
      <c r="M1476" s="42">
        <v>1</v>
      </c>
      <c r="N1476" s="134">
        <v>0</v>
      </c>
      <c r="O1476" s="43" t="s">
        <v>666</v>
      </c>
      <c r="P1476" s="43">
        <f t="shared" si="313"/>
        <v>15.907942587251588</v>
      </c>
      <c r="Q1476" s="43">
        <f t="shared" si="314"/>
        <v>6.364543227027028E-2</v>
      </c>
      <c r="R1476" s="43">
        <f t="shared" si="315"/>
        <v>9.3597520000000007E-3</v>
      </c>
      <c r="S1476" s="43">
        <f t="shared" si="316"/>
        <v>0.96163315500000002</v>
      </c>
      <c r="T1476" s="43">
        <f t="shared" si="317"/>
        <v>6.0056179780000001</v>
      </c>
      <c r="U1476" s="43">
        <f t="shared" si="318"/>
        <v>10.69906084</v>
      </c>
      <c r="V1476" s="43">
        <f t="shared" si="319"/>
        <v>1.0645610999999999E-2</v>
      </c>
      <c r="W1476" s="230">
        <f t="shared" si="320"/>
        <v>0.12011843503759743</v>
      </c>
      <c r="X1476" s="43">
        <f t="shared" si="321"/>
        <v>0.98113448400000003</v>
      </c>
      <c r="Y1476" s="43">
        <v>35.285264189999999</v>
      </c>
      <c r="Z1476" s="43">
        <f t="shared" si="310"/>
        <v>0</v>
      </c>
      <c r="AA1476" s="43">
        <f t="shared" si="311"/>
        <v>86244</v>
      </c>
      <c r="AB1476" s="43">
        <f t="shared" si="312"/>
        <v>34108</v>
      </c>
      <c r="AC1476" s="43">
        <f t="shared" si="322"/>
        <v>6.3645432270270294E-2</v>
      </c>
      <c r="AD1476" s="43">
        <f t="shared" si="323"/>
        <v>0.82651807273333366</v>
      </c>
      <c r="AF1476" s="43">
        <v>15.907942587251588</v>
      </c>
      <c r="AG1476" s="43">
        <v>0</v>
      </c>
      <c r="AH1476" s="43">
        <v>9.3597520000000007E-3</v>
      </c>
      <c r="AI1476" s="43">
        <v>0.96163315500000002</v>
      </c>
      <c r="AJ1476" s="43">
        <v>6.0056179780000001</v>
      </c>
      <c r="AK1476" s="43">
        <v>10.69906084</v>
      </c>
      <c r="AL1476" s="43">
        <v>1.0645610999999999E-2</v>
      </c>
      <c r="AM1476" s="230">
        <v>0</v>
      </c>
      <c r="AN1476" s="43">
        <v>0.98113448400000003</v>
      </c>
    </row>
    <row r="1477" spans="1:40" x14ac:dyDescent="0.25">
      <c r="A1477" s="134">
        <v>1467</v>
      </c>
      <c r="B1477" s="134" t="s">
        <v>212</v>
      </c>
      <c r="C1477" s="134" t="s">
        <v>210</v>
      </c>
      <c r="D1477" s="134" t="s">
        <v>211</v>
      </c>
      <c r="E1477" s="134">
        <v>1795</v>
      </c>
      <c r="F1477" s="134">
        <v>4804</v>
      </c>
      <c r="G1477" s="134">
        <v>225</v>
      </c>
      <c r="H1477" s="134">
        <v>772</v>
      </c>
      <c r="I1477" s="200">
        <v>0.57164242991100001</v>
      </c>
      <c r="J1477" s="134">
        <v>5576</v>
      </c>
      <c r="K1477" s="134">
        <v>9754.3494118599992</v>
      </c>
      <c r="L1477" s="42">
        <v>0.84955327653199997</v>
      </c>
      <c r="M1477" s="42">
        <v>0.300740163615</v>
      </c>
      <c r="N1477" s="134">
        <v>0</v>
      </c>
      <c r="O1477" s="43" t="s">
        <v>666</v>
      </c>
      <c r="P1477" s="43">
        <f t="shared" si="313"/>
        <v>13.294400675087703</v>
      </c>
      <c r="Q1477" s="43">
        <f t="shared" si="314"/>
        <v>4.2150923999999999E-2</v>
      </c>
      <c r="R1477" s="43">
        <f t="shared" si="315"/>
        <v>1.3658389E-2</v>
      </c>
      <c r="S1477" s="43">
        <f t="shared" si="316"/>
        <v>0.84955327700000005</v>
      </c>
      <c r="T1477" s="43">
        <f t="shared" si="317"/>
        <v>3.7230871809999999</v>
      </c>
      <c r="U1477" s="43">
        <f t="shared" si="318"/>
        <v>8.9424475270000006</v>
      </c>
      <c r="V1477" s="43">
        <f t="shared" si="319"/>
        <v>7.6549519999999996E-3</v>
      </c>
      <c r="W1477" s="230">
        <f t="shared" si="320"/>
        <v>9.3483395946676054E-2</v>
      </c>
      <c r="X1477" s="43">
        <f t="shared" si="321"/>
        <v>0.86060887799999997</v>
      </c>
      <c r="Y1477" s="43">
        <v>147.81989279999999</v>
      </c>
      <c r="Z1477" s="43">
        <f t="shared" si="310"/>
        <v>0</v>
      </c>
      <c r="AA1477" s="43">
        <f t="shared" si="311"/>
        <v>86244</v>
      </c>
      <c r="AB1477" s="43">
        <f t="shared" si="312"/>
        <v>34108</v>
      </c>
      <c r="AC1477" s="43">
        <f t="shared" si="322"/>
        <v>6.3645432270270294E-2</v>
      </c>
      <c r="AD1477" s="43">
        <f t="shared" si="323"/>
        <v>0.82651807273333366</v>
      </c>
      <c r="AF1477" s="43">
        <v>13.294400675087703</v>
      </c>
      <c r="AG1477" s="43">
        <v>4.2150923999999999E-2</v>
      </c>
      <c r="AH1477" s="43">
        <v>1.3658389E-2</v>
      </c>
      <c r="AI1477" s="43">
        <v>0.84955327700000005</v>
      </c>
      <c r="AJ1477" s="43">
        <v>3.7230871809999999</v>
      </c>
      <c r="AK1477" s="43">
        <v>8.9424475270000006</v>
      </c>
      <c r="AL1477" s="43">
        <v>7.6549519999999996E-3</v>
      </c>
      <c r="AM1477" s="230">
        <v>9.3483395946676054E-2</v>
      </c>
      <c r="AN1477" s="43">
        <v>0.86060887799999997</v>
      </c>
    </row>
    <row r="1478" spans="1:40" x14ac:dyDescent="0.25">
      <c r="A1478" s="134">
        <v>1468</v>
      </c>
      <c r="B1478" s="134" t="s">
        <v>201</v>
      </c>
      <c r="C1478" s="134" t="s">
        <v>61</v>
      </c>
      <c r="D1478" s="134" t="s">
        <v>197</v>
      </c>
      <c r="E1478" s="134">
        <v>545</v>
      </c>
      <c r="F1478" s="134">
        <v>1788</v>
      </c>
      <c r="G1478" s="134">
        <v>50</v>
      </c>
      <c r="H1478" s="134">
        <v>56</v>
      </c>
      <c r="I1478" s="200">
        <v>0.12079780383700001</v>
      </c>
      <c r="J1478" s="134">
        <v>1844</v>
      </c>
      <c r="K1478" s="134">
        <v>15265.1781856</v>
      </c>
      <c r="L1478" s="42">
        <v>0.81479718472700002</v>
      </c>
      <c r="M1478" s="42">
        <v>9.3178036605699996E-2</v>
      </c>
      <c r="N1478" s="134">
        <v>1</v>
      </c>
      <c r="O1478" s="43" t="s">
        <v>664</v>
      </c>
      <c r="P1478" s="43">
        <f t="shared" si="313"/>
        <v>12.559721916803927</v>
      </c>
      <c r="Q1478" s="43">
        <f t="shared" si="314"/>
        <v>7.6610791999999997E-2</v>
      </c>
      <c r="R1478" s="43">
        <f t="shared" si="315"/>
        <v>1.6204821000000001E-2</v>
      </c>
      <c r="S1478" s="43">
        <f t="shared" si="316"/>
        <v>0.81479718499999998</v>
      </c>
      <c r="T1478" s="43">
        <f t="shared" si="317"/>
        <v>3.3432398490000002</v>
      </c>
      <c r="U1478" s="43">
        <f t="shared" si="318"/>
        <v>8.2186481409999992</v>
      </c>
      <c r="V1478" s="43">
        <f t="shared" si="319"/>
        <v>6.4491180000000002E-3</v>
      </c>
      <c r="W1478" s="230">
        <f t="shared" si="320"/>
        <v>0.16299559471365638</v>
      </c>
      <c r="X1478" s="43">
        <f t="shared" si="321"/>
        <v>0.786709569</v>
      </c>
      <c r="Y1478" s="43">
        <v>84.975704289999996</v>
      </c>
      <c r="Z1478" s="43">
        <f t="shared" si="310"/>
        <v>0</v>
      </c>
      <c r="AA1478" s="43">
        <f t="shared" si="311"/>
        <v>96880</v>
      </c>
      <c r="AB1478" s="43">
        <f t="shared" si="312"/>
        <v>34598</v>
      </c>
      <c r="AC1478" s="43">
        <f t="shared" si="322"/>
        <v>3.788298035593219E-2</v>
      </c>
      <c r="AD1478" s="43">
        <f t="shared" si="323"/>
        <v>0.86369592135593187</v>
      </c>
      <c r="AF1478" s="43">
        <v>12.559721916803927</v>
      </c>
      <c r="AG1478" s="43">
        <v>7.6610791999999997E-2</v>
      </c>
      <c r="AH1478" s="43">
        <v>1.6204821000000001E-2</v>
      </c>
      <c r="AI1478" s="43">
        <v>0.81479718499999998</v>
      </c>
      <c r="AJ1478" s="43">
        <v>3.3432398490000002</v>
      </c>
      <c r="AK1478" s="43">
        <v>8.2186481409999992</v>
      </c>
      <c r="AL1478" s="43">
        <v>6.4491180000000002E-3</v>
      </c>
      <c r="AM1478" s="230">
        <v>0.16299559471365638</v>
      </c>
      <c r="AN1478" s="43">
        <v>0.786709569</v>
      </c>
    </row>
    <row r="1479" spans="1:40" x14ac:dyDescent="0.25">
      <c r="A1479" s="134">
        <v>1469</v>
      </c>
      <c r="B1479" s="134" t="s">
        <v>201</v>
      </c>
      <c r="C1479" s="134" t="s">
        <v>61</v>
      </c>
      <c r="D1479" s="134" t="s">
        <v>197</v>
      </c>
      <c r="E1479" s="134">
        <v>253</v>
      </c>
      <c r="F1479" s="134">
        <v>609</v>
      </c>
      <c r="G1479" s="134">
        <v>25</v>
      </c>
      <c r="H1479" s="134">
        <v>341</v>
      </c>
      <c r="I1479" s="200">
        <v>4.2397944472099998E-2</v>
      </c>
      <c r="J1479" s="134">
        <v>950</v>
      </c>
      <c r="K1479" s="134">
        <v>22406.7466437</v>
      </c>
      <c r="L1479" s="42">
        <v>0.798257682192</v>
      </c>
      <c r="M1479" s="42">
        <v>0.57407407407400002</v>
      </c>
      <c r="N1479" s="134">
        <v>1</v>
      </c>
      <c r="O1479" s="43" t="s">
        <v>664</v>
      </c>
      <c r="P1479" s="43">
        <f t="shared" si="313"/>
        <v>12.097441702005009</v>
      </c>
      <c r="Q1479" s="43">
        <f t="shared" si="314"/>
        <v>6.7184241000000006E-2</v>
      </c>
      <c r="R1479" s="43">
        <f t="shared" si="315"/>
        <v>1.4438292E-2</v>
      </c>
      <c r="S1479" s="43">
        <f t="shared" si="316"/>
        <v>0.79825768200000002</v>
      </c>
      <c r="T1479" s="43">
        <f t="shared" si="317"/>
        <v>2.8744107739999998</v>
      </c>
      <c r="U1479" s="43">
        <f t="shared" si="318"/>
        <v>6.5985630039999998</v>
      </c>
      <c r="V1479" s="43">
        <f t="shared" si="319"/>
        <v>1.2586322E-2</v>
      </c>
      <c r="W1479" s="230">
        <f t="shared" si="320"/>
        <v>0.13987525061260861</v>
      </c>
      <c r="X1479" s="43">
        <f t="shared" si="321"/>
        <v>0.76442414800000003</v>
      </c>
      <c r="Y1479" s="43">
        <v>170.2164118</v>
      </c>
      <c r="Z1479" s="43">
        <f t="shared" si="310"/>
        <v>0</v>
      </c>
      <c r="AA1479" s="43">
        <f t="shared" si="311"/>
        <v>96880</v>
      </c>
      <c r="AB1479" s="43">
        <f t="shared" si="312"/>
        <v>34598</v>
      </c>
      <c r="AC1479" s="43">
        <f t="shared" si="322"/>
        <v>3.788298035593219E-2</v>
      </c>
      <c r="AD1479" s="43">
        <f t="shared" si="323"/>
        <v>0.86369592135593187</v>
      </c>
      <c r="AF1479" s="43">
        <v>12.097441702005009</v>
      </c>
      <c r="AG1479" s="43">
        <v>6.7184241000000006E-2</v>
      </c>
      <c r="AH1479" s="43">
        <v>1.4438292E-2</v>
      </c>
      <c r="AI1479" s="43">
        <v>0.79825768200000002</v>
      </c>
      <c r="AJ1479" s="43">
        <v>2.8744107739999998</v>
      </c>
      <c r="AK1479" s="43">
        <v>6.5985630039999998</v>
      </c>
      <c r="AL1479" s="43">
        <v>1.2586322E-2</v>
      </c>
      <c r="AM1479" s="230">
        <v>0.13987525061260861</v>
      </c>
      <c r="AN1479" s="43">
        <v>0.76442414800000003</v>
      </c>
    </row>
    <row r="1480" spans="1:40" x14ac:dyDescent="0.25">
      <c r="A1480" s="134">
        <v>1470</v>
      </c>
      <c r="B1480" s="134" t="s">
        <v>201</v>
      </c>
      <c r="C1480" s="134" t="s">
        <v>61</v>
      </c>
      <c r="D1480" s="134" t="s">
        <v>197</v>
      </c>
      <c r="E1480" s="134">
        <v>787</v>
      </c>
      <c r="F1480" s="134">
        <v>2582</v>
      </c>
      <c r="G1480" s="134">
        <v>99</v>
      </c>
      <c r="H1480" s="134">
        <v>434</v>
      </c>
      <c r="I1480" s="200">
        <v>0.239490548828</v>
      </c>
      <c r="J1480" s="134">
        <v>3016</v>
      </c>
      <c r="K1480" s="134">
        <v>12593.3988408</v>
      </c>
      <c r="L1480" s="42">
        <v>0.83118446394199996</v>
      </c>
      <c r="M1480" s="42">
        <v>0.35544635544600001</v>
      </c>
      <c r="N1480" s="134">
        <v>1</v>
      </c>
      <c r="O1480" s="43" t="s">
        <v>666</v>
      </c>
      <c r="P1480" s="43">
        <f t="shared" si="313"/>
        <v>12.678998806369473</v>
      </c>
      <c r="Q1480" s="43">
        <f t="shared" si="314"/>
        <v>5.9901485999999997E-2</v>
      </c>
      <c r="R1480" s="43">
        <f t="shared" si="315"/>
        <v>1.5531855000000001E-2</v>
      </c>
      <c r="S1480" s="43">
        <f t="shared" si="316"/>
        <v>0.83118446400000001</v>
      </c>
      <c r="T1480" s="43">
        <f t="shared" si="317"/>
        <v>3.3194307539999999</v>
      </c>
      <c r="U1480" s="43">
        <f t="shared" si="318"/>
        <v>8.2004402439999993</v>
      </c>
      <c r="V1480" s="43">
        <f t="shared" si="319"/>
        <v>1.0165538999999999E-2</v>
      </c>
      <c r="W1480" s="230">
        <f t="shared" si="320"/>
        <v>0.11257772444638377</v>
      </c>
      <c r="X1480" s="43">
        <f t="shared" si="321"/>
        <v>0.83210837800000004</v>
      </c>
      <c r="Y1480" s="43">
        <v>131.2518675</v>
      </c>
      <c r="Z1480" s="43">
        <f t="shared" si="310"/>
        <v>0</v>
      </c>
      <c r="AA1480" s="43">
        <f t="shared" si="311"/>
        <v>96880</v>
      </c>
      <c r="AB1480" s="43">
        <f t="shared" si="312"/>
        <v>34598</v>
      </c>
      <c r="AC1480" s="43">
        <f t="shared" si="322"/>
        <v>3.788298035593219E-2</v>
      </c>
      <c r="AD1480" s="43">
        <f t="shared" si="323"/>
        <v>0.86369592135593187</v>
      </c>
      <c r="AF1480" s="43">
        <v>12.678998806369473</v>
      </c>
      <c r="AG1480" s="43">
        <v>5.9901485999999997E-2</v>
      </c>
      <c r="AH1480" s="43">
        <v>1.5531855000000001E-2</v>
      </c>
      <c r="AI1480" s="43">
        <v>0.83118446400000001</v>
      </c>
      <c r="AJ1480" s="43">
        <v>3.3194307539999999</v>
      </c>
      <c r="AK1480" s="43">
        <v>8.2004402439999993</v>
      </c>
      <c r="AL1480" s="43">
        <v>1.0165538999999999E-2</v>
      </c>
      <c r="AM1480" s="230">
        <v>0.11257772444638377</v>
      </c>
      <c r="AN1480" s="43">
        <v>0.83210837800000004</v>
      </c>
    </row>
    <row r="1481" spans="1:40" x14ac:dyDescent="0.25">
      <c r="A1481" s="134">
        <v>1471</v>
      </c>
      <c r="B1481" s="134" t="s">
        <v>201</v>
      </c>
      <c r="C1481" s="134" t="s">
        <v>61</v>
      </c>
      <c r="D1481" s="134" t="s">
        <v>197</v>
      </c>
      <c r="E1481" s="134">
        <v>228</v>
      </c>
      <c r="F1481" s="134">
        <v>747</v>
      </c>
      <c r="G1481" s="134">
        <v>41</v>
      </c>
      <c r="H1481" s="134">
        <v>368</v>
      </c>
      <c r="I1481" s="200">
        <v>0.100005433255</v>
      </c>
      <c r="J1481" s="134">
        <v>1115</v>
      </c>
      <c r="K1481" s="134">
        <v>11149.394224899999</v>
      </c>
      <c r="L1481" s="42">
        <v>0.83914839789999995</v>
      </c>
      <c r="M1481" s="42">
        <v>0.61744966443000004</v>
      </c>
      <c r="N1481" s="134">
        <v>1</v>
      </c>
      <c r="O1481" s="43" t="s">
        <v>664</v>
      </c>
      <c r="P1481" s="43">
        <f t="shared" si="313"/>
        <v>12.675132773514648</v>
      </c>
      <c r="Q1481" s="43">
        <f t="shared" si="314"/>
        <v>4.9823909999999999E-2</v>
      </c>
      <c r="R1481" s="43">
        <f t="shared" si="315"/>
        <v>1.4055348E-2</v>
      </c>
      <c r="S1481" s="43">
        <f t="shared" si="316"/>
        <v>0.83914839799999996</v>
      </c>
      <c r="T1481" s="43">
        <f t="shared" si="317"/>
        <v>3.0816227569999999</v>
      </c>
      <c r="U1481" s="43">
        <f t="shared" si="318"/>
        <v>7.7617376299999998</v>
      </c>
      <c r="V1481" s="43">
        <f t="shared" si="319"/>
        <v>9.9979709999999996E-3</v>
      </c>
      <c r="W1481" s="230">
        <f t="shared" si="320"/>
        <v>9.4925384147128811E-2</v>
      </c>
      <c r="X1481" s="43">
        <f t="shared" si="321"/>
        <v>0.83647230299999997</v>
      </c>
      <c r="Y1481" s="43">
        <v>102.12834340000001</v>
      </c>
      <c r="Z1481" s="43">
        <f t="shared" si="310"/>
        <v>0</v>
      </c>
      <c r="AA1481" s="43">
        <f t="shared" si="311"/>
        <v>96880</v>
      </c>
      <c r="AB1481" s="43">
        <f t="shared" si="312"/>
        <v>34598</v>
      </c>
      <c r="AC1481" s="43">
        <f t="shared" si="322"/>
        <v>3.788298035593219E-2</v>
      </c>
      <c r="AD1481" s="43">
        <f t="shared" si="323"/>
        <v>0.86369592135593187</v>
      </c>
      <c r="AF1481" s="43">
        <v>12.675132773514648</v>
      </c>
      <c r="AG1481" s="43">
        <v>4.9823909999999999E-2</v>
      </c>
      <c r="AH1481" s="43">
        <v>1.4055348E-2</v>
      </c>
      <c r="AI1481" s="43">
        <v>0.83914839799999996</v>
      </c>
      <c r="AJ1481" s="43">
        <v>3.0816227569999999</v>
      </c>
      <c r="AK1481" s="43">
        <v>7.7617376299999998</v>
      </c>
      <c r="AL1481" s="43">
        <v>9.9979709999999996E-3</v>
      </c>
      <c r="AM1481" s="230">
        <v>9.4925384147128811E-2</v>
      </c>
      <c r="AN1481" s="43">
        <v>0.83647230299999997</v>
      </c>
    </row>
    <row r="1482" spans="1:40" x14ac:dyDescent="0.25">
      <c r="A1482" s="134">
        <v>1472</v>
      </c>
      <c r="B1482" s="134" t="s">
        <v>201</v>
      </c>
      <c r="C1482" s="134" t="s">
        <v>61</v>
      </c>
      <c r="D1482" s="134" t="s">
        <v>197</v>
      </c>
      <c r="E1482" s="134">
        <v>670</v>
      </c>
      <c r="F1482" s="134">
        <v>2015</v>
      </c>
      <c r="G1482" s="134">
        <v>49</v>
      </c>
      <c r="H1482" s="134">
        <v>307</v>
      </c>
      <c r="I1482" s="200">
        <v>0.106056573793</v>
      </c>
      <c r="J1482" s="134">
        <v>2322</v>
      </c>
      <c r="K1482" s="134">
        <v>21893.975233699999</v>
      </c>
      <c r="L1482" s="42">
        <v>0.78568569148900003</v>
      </c>
      <c r="M1482" s="42">
        <v>0.31422722620299998</v>
      </c>
      <c r="N1482" s="134">
        <v>0</v>
      </c>
      <c r="O1482" s="43" t="s">
        <v>664</v>
      </c>
      <c r="P1482" s="43">
        <f t="shared" si="313"/>
        <v>12.740342998150004</v>
      </c>
      <c r="Q1482" s="43">
        <f t="shared" si="314"/>
        <v>7.4484208999999996E-2</v>
      </c>
      <c r="R1482" s="43">
        <f t="shared" si="315"/>
        <v>1.8977889000000001E-2</v>
      </c>
      <c r="S1482" s="43">
        <f t="shared" si="316"/>
        <v>0.78568569099999996</v>
      </c>
      <c r="T1482" s="43">
        <f t="shared" si="317"/>
        <v>3.045289592</v>
      </c>
      <c r="U1482" s="43">
        <f t="shared" si="318"/>
        <v>7.8887437150000004</v>
      </c>
      <c r="V1482" s="43">
        <f t="shared" si="319"/>
        <v>1.6726060000000001E-2</v>
      </c>
      <c r="W1482" s="230">
        <f t="shared" si="320"/>
        <v>0.14844005916161246</v>
      </c>
      <c r="X1482" s="43">
        <f t="shared" si="321"/>
        <v>0.75754657999999997</v>
      </c>
      <c r="Y1482" s="43">
        <v>86.401955650000005</v>
      </c>
      <c r="Z1482" s="43">
        <f t="shared" si="310"/>
        <v>0</v>
      </c>
      <c r="AA1482" s="43">
        <f t="shared" si="311"/>
        <v>96880</v>
      </c>
      <c r="AB1482" s="43">
        <f t="shared" si="312"/>
        <v>34598</v>
      </c>
      <c r="AC1482" s="43">
        <f t="shared" si="322"/>
        <v>3.788298035593219E-2</v>
      </c>
      <c r="AD1482" s="43">
        <f t="shared" si="323"/>
        <v>0.86369592135593187</v>
      </c>
      <c r="AF1482" s="43">
        <v>12.740342998150004</v>
      </c>
      <c r="AG1482" s="43">
        <v>7.4484208999999996E-2</v>
      </c>
      <c r="AH1482" s="43">
        <v>1.8977889000000001E-2</v>
      </c>
      <c r="AI1482" s="43">
        <v>0.78568569099999996</v>
      </c>
      <c r="AJ1482" s="43">
        <v>3.045289592</v>
      </c>
      <c r="AK1482" s="43">
        <v>7.8887437150000004</v>
      </c>
      <c r="AL1482" s="43">
        <v>1.6726060000000001E-2</v>
      </c>
      <c r="AM1482" s="230">
        <v>0.14844005916161246</v>
      </c>
      <c r="AN1482" s="43">
        <v>0.75754657999999997</v>
      </c>
    </row>
    <row r="1483" spans="1:40" x14ac:dyDescent="0.25">
      <c r="A1483" s="134">
        <v>1473</v>
      </c>
      <c r="B1483" s="134" t="s">
        <v>201</v>
      </c>
      <c r="C1483" s="134" t="s">
        <v>61</v>
      </c>
      <c r="D1483" s="134" t="s">
        <v>197</v>
      </c>
      <c r="E1483" s="134">
        <v>105</v>
      </c>
      <c r="F1483" s="134">
        <v>315</v>
      </c>
      <c r="G1483" s="134">
        <v>30</v>
      </c>
      <c r="H1483" s="134">
        <v>197</v>
      </c>
      <c r="I1483" s="200">
        <v>6.5542870331700004E-2</v>
      </c>
      <c r="J1483" s="134">
        <v>512</v>
      </c>
      <c r="K1483" s="134">
        <v>7811.6810784899999</v>
      </c>
      <c r="L1483" s="42">
        <v>0.79710446915300004</v>
      </c>
      <c r="M1483" s="42">
        <v>0.65231788079499997</v>
      </c>
      <c r="N1483" s="134">
        <v>1</v>
      </c>
      <c r="O1483" s="43" t="s">
        <v>664</v>
      </c>
      <c r="P1483" s="43">
        <f t="shared" si="313"/>
        <v>12.290442097312464</v>
      </c>
      <c r="Q1483" s="43">
        <f t="shared" si="314"/>
        <v>5.1976196000000002E-2</v>
      </c>
      <c r="R1483" s="43">
        <f t="shared" si="315"/>
        <v>1.3777526E-2</v>
      </c>
      <c r="S1483" s="43">
        <f t="shared" si="316"/>
        <v>0.79710446899999998</v>
      </c>
      <c r="T1483" s="43">
        <f t="shared" si="317"/>
        <v>2.609984871</v>
      </c>
      <c r="U1483" s="43">
        <f t="shared" si="318"/>
        <v>6.5872382470000002</v>
      </c>
      <c r="V1483" s="43">
        <f t="shared" si="319"/>
        <v>1.0115730999999999E-2</v>
      </c>
      <c r="W1483" s="230">
        <f t="shared" si="320"/>
        <v>0.10368624089155593</v>
      </c>
      <c r="X1483" s="43">
        <f t="shared" si="321"/>
        <v>0.76030861599999999</v>
      </c>
      <c r="Y1483" s="43">
        <v>118.2465768</v>
      </c>
      <c r="Z1483" s="43">
        <f t="shared" ref="Z1483:Z1546" si="324">IF(B1483="Berkeley",1,0)</f>
        <v>0</v>
      </c>
      <c r="AA1483" s="43">
        <f t="shared" ref="AA1483:AA1546" si="325">SUMIFS(F:F,B:B,B1483)</f>
        <v>96880</v>
      </c>
      <c r="AB1483" s="43">
        <f t="shared" ref="AB1483:AB1546" si="326">SUMIFS(E:E,B:B,B1483)</f>
        <v>34598</v>
      </c>
      <c r="AC1483" s="43">
        <f t="shared" si="322"/>
        <v>3.788298035593219E-2</v>
      </c>
      <c r="AD1483" s="43">
        <f t="shared" si="323"/>
        <v>0.86369592135593187</v>
      </c>
      <c r="AF1483" s="43">
        <v>12.290442097312464</v>
      </c>
      <c r="AG1483" s="43">
        <v>5.1976196000000002E-2</v>
      </c>
      <c r="AH1483" s="43">
        <v>1.3777526E-2</v>
      </c>
      <c r="AI1483" s="43">
        <v>0.79710446899999998</v>
      </c>
      <c r="AJ1483" s="43">
        <v>2.609984871</v>
      </c>
      <c r="AK1483" s="43">
        <v>6.5872382470000002</v>
      </c>
      <c r="AL1483" s="43">
        <v>1.0115730999999999E-2</v>
      </c>
      <c r="AM1483" s="230">
        <v>0.10368624089155593</v>
      </c>
      <c r="AN1483" s="43">
        <v>0.76030861599999999</v>
      </c>
    </row>
    <row r="1484" spans="1:40" x14ac:dyDescent="0.25">
      <c r="A1484" s="134">
        <v>1474</v>
      </c>
      <c r="B1484" s="134" t="s">
        <v>201</v>
      </c>
      <c r="C1484" s="134" t="s">
        <v>61</v>
      </c>
      <c r="D1484" s="134" t="s">
        <v>197</v>
      </c>
      <c r="E1484" s="134">
        <v>105</v>
      </c>
      <c r="F1484" s="134">
        <v>315</v>
      </c>
      <c r="G1484" s="134">
        <v>17</v>
      </c>
      <c r="H1484" s="134">
        <v>197</v>
      </c>
      <c r="I1484" s="200">
        <v>3.5978966264200003E-2</v>
      </c>
      <c r="J1484" s="134">
        <v>512</v>
      </c>
      <c r="K1484" s="134">
        <v>14230.536704100001</v>
      </c>
      <c r="L1484" s="42">
        <v>0.80902469652599995</v>
      </c>
      <c r="M1484" s="42">
        <v>0.65231788079499997</v>
      </c>
      <c r="N1484" s="134">
        <v>1</v>
      </c>
      <c r="O1484" s="43" t="s">
        <v>664</v>
      </c>
      <c r="P1484" s="43">
        <f t="shared" ref="P1484:P1547" si="327">IF(OR(IFERROR(AF1484=0,TRUE),ISERROR(AF1484)),AVERAGEIFS(AF:AF,$B:$B,$B1484,AF:AF,"&gt;0"),AF1484)</f>
        <v>12.82845096378032</v>
      </c>
      <c r="Q1484" s="43">
        <f t="shared" ref="Q1484:Q1547" si="328">IF(OR(IFERROR(AG1484=0,TRUE),ISERROR(AG1484)),AVERAGEIFS(AG:AG,$B:$B,$B1484,AG:AG,"&gt;0"),AG1484)</f>
        <v>4.8463791999999999E-2</v>
      </c>
      <c r="R1484" s="43">
        <f t="shared" ref="R1484:R1547" si="329">IF(OR(IFERROR(AH1484=0,TRUE),ISERROR(AH1484)),AVERAGEIFS(AH:AH,$B:$B,$B1484,AH:AH,"&gt;0"),AH1484)</f>
        <v>1.4198409E-2</v>
      </c>
      <c r="S1484" s="43">
        <f t="shared" ref="S1484:S1547" si="330">IF(OR(IFERROR(AI1484=0,TRUE),ISERROR(AI1484)),AVERAGEIFS(AI:AI,$B:$B,$B1484,AI:AI,"&gt;0"),AI1484)</f>
        <v>0.80902469700000001</v>
      </c>
      <c r="T1484" s="43">
        <f t="shared" ref="T1484:T1547" si="331">IF(OR(IFERROR(AJ1484=0,TRUE),ISERROR(AJ1484)),AVERAGEIFS(AJ:AJ,$B:$B,$B1484,AJ:AJ,"&gt;0"),AJ1484)</f>
        <v>2.896328928</v>
      </c>
      <c r="U1484" s="43">
        <f t="shared" ref="U1484:U1547" si="332">IF(OR(IFERROR(AK1484=0,TRUE),ISERROR(AK1484)),AVERAGEIFS(AK:AK,$B:$B,$B1484,AK:AK,"&gt;0"),AK1484)</f>
        <v>6.956422613</v>
      </c>
      <c r="V1484" s="43">
        <f t="shared" ref="V1484:V1547" si="333">IF(OR(IFERROR(AL1484=0,TRUE),ISERROR(AL1484)),AVERAGEIFS(AL:AL,$B:$B,$B1484,AL:AL,"&gt;0"),AL1484)</f>
        <v>1.1967284E-2</v>
      </c>
      <c r="W1484" s="230">
        <f t="shared" ref="W1484:W1547" si="334">IF(OR(IFERROR(AM1484=0,TRUE),ISERROR(AM1484)),AVERAGEIFS(AM:AM,$B:$B,$B1484,AM:AM,"&gt;0"),AM1484)</f>
        <v>9.7933706414119664E-2</v>
      </c>
      <c r="X1484" s="43">
        <f t="shared" ref="X1484:X1547" si="335">IF(OR(IFERROR(AN1484=0,TRUE),ISERROR(AN1484)),AVERAGEIFS(AN:AN,$B:$B,$B1484,AN:AN,"&gt;0"),AN1484)</f>
        <v>0.77296599200000005</v>
      </c>
      <c r="Y1484" s="43">
        <v>127.2953938</v>
      </c>
      <c r="Z1484" s="43">
        <f t="shared" si="324"/>
        <v>0</v>
      </c>
      <c r="AA1484" s="43">
        <f t="shared" si="325"/>
        <v>96880</v>
      </c>
      <c r="AB1484" s="43">
        <f t="shared" si="326"/>
        <v>34598</v>
      </c>
      <c r="AC1484" s="43">
        <f t="shared" ref="AC1484:AC1547" si="336">AVERAGEIFS(Q:Q,B:B,B1484,N:N,0,Q:Q,"&gt;0")</f>
        <v>3.788298035593219E-2</v>
      </c>
      <c r="AD1484" s="43">
        <f t="shared" ref="AD1484:AD1547" si="337">AVERAGEIFS(S:S,B:B,B1484,N:N,0,S:S,"&gt;0")</f>
        <v>0.86369592135593187</v>
      </c>
      <c r="AF1484" s="43">
        <v>12.82845096378032</v>
      </c>
      <c r="AG1484" s="43">
        <v>4.8463791999999999E-2</v>
      </c>
      <c r="AH1484" s="43">
        <v>1.4198409E-2</v>
      </c>
      <c r="AI1484" s="43">
        <v>0.80902469700000001</v>
      </c>
      <c r="AJ1484" s="43">
        <v>2.896328928</v>
      </c>
      <c r="AK1484" s="43">
        <v>6.956422613</v>
      </c>
      <c r="AL1484" s="43">
        <v>1.1967284E-2</v>
      </c>
      <c r="AM1484" s="230">
        <v>9.7933706414119664E-2</v>
      </c>
      <c r="AN1484" s="43">
        <v>0.77296599200000005</v>
      </c>
    </row>
    <row r="1485" spans="1:40" x14ac:dyDescent="0.25">
      <c r="A1485" s="134">
        <v>1475</v>
      </c>
      <c r="B1485" s="134" t="s">
        <v>201</v>
      </c>
      <c r="C1485" s="134" t="s">
        <v>61</v>
      </c>
      <c r="D1485" s="134" t="s">
        <v>197</v>
      </c>
      <c r="E1485" s="134">
        <v>465</v>
      </c>
      <c r="F1485" s="134">
        <v>1416</v>
      </c>
      <c r="G1485" s="134">
        <v>10</v>
      </c>
      <c r="H1485" s="134">
        <v>171</v>
      </c>
      <c r="I1485" s="200">
        <v>2.0029816471100002E-2</v>
      </c>
      <c r="J1485" s="134">
        <v>1587</v>
      </c>
      <c r="K1485" s="134">
        <v>79231.879248099998</v>
      </c>
      <c r="L1485" s="42">
        <v>0.76825385669599999</v>
      </c>
      <c r="M1485" s="42">
        <v>0.26886792452800001</v>
      </c>
      <c r="N1485" s="134">
        <v>1</v>
      </c>
      <c r="O1485" s="43" t="s">
        <v>627</v>
      </c>
      <c r="P1485" s="43">
        <f t="shared" si="327"/>
        <v>13.369793605966384</v>
      </c>
      <c r="Q1485" s="43">
        <f t="shared" si="328"/>
        <v>8.2422602999999997E-2</v>
      </c>
      <c r="R1485" s="43">
        <f t="shared" si="329"/>
        <v>2.0114559000000001E-2</v>
      </c>
      <c r="S1485" s="43">
        <f t="shared" si="330"/>
        <v>0.76825385700000004</v>
      </c>
      <c r="T1485" s="43">
        <f t="shared" si="331"/>
        <v>3.49233583</v>
      </c>
      <c r="U1485" s="43">
        <f t="shared" si="332"/>
        <v>7.8837158140000003</v>
      </c>
      <c r="V1485" s="43">
        <f t="shared" si="333"/>
        <v>2.6471778000000001E-2</v>
      </c>
      <c r="W1485" s="230">
        <f t="shared" si="334"/>
        <v>0.18711558041255805</v>
      </c>
      <c r="X1485" s="43">
        <f t="shared" si="335"/>
        <v>0.71173935499999996</v>
      </c>
      <c r="Y1485" s="43">
        <v>127.07091389999999</v>
      </c>
      <c r="Z1485" s="43">
        <f t="shared" si="324"/>
        <v>0</v>
      </c>
      <c r="AA1485" s="43">
        <f t="shared" si="325"/>
        <v>96880</v>
      </c>
      <c r="AB1485" s="43">
        <f t="shared" si="326"/>
        <v>34598</v>
      </c>
      <c r="AC1485" s="43">
        <f t="shared" si="336"/>
        <v>3.788298035593219E-2</v>
      </c>
      <c r="AD1485" s="43">
        <f t="shared" si="337"/>
        <v>0.86369592135593187</v>
      </c>
      <c r="AF1485" s="43">
        <v>13.369793605966384</v>
      </c>
      <c r="AG1485" s="43">
        <v>8.2422602999999997E-2</v>
      </c>
      <c r="AH1485" s="43">
        <v>2.0114559000000001E-2</v>
      </c>
      <c r="AI1485" s="43">
        <v>0.76825385700000004</v>
      </c>
      <c r="AJ1485" s="43">
        <v>3.49233583</v>
      </c>
      <c r="AK1485" s="43">
        <v>7.8837158140000003</v>
      </c>
      <c r="AL1485" s="43">
        <v>2.6471778000000001E-2</v>
      </c>
      <c r="AM1485" s="230">
        <v>0.18711558041255805</v>
      </c>
      <c r="AN1485" s="43">
        <v>0.71173935499999996</v>
      </c>
    </row>
    <row r="1486" spans="1:40" x14ac:dyDescent="0.25">
      <c r="A1486" s="134">
        <v>1476</v>
      </c>
      <c r="B1486" s="134" t="s">
        <v>201</v>
      </c>
      <c r="C1486" s="134" t="s">
        <v>61</v>
      </c>
      <c r="D1486" s="134" t="s">
        <v>197</v>
      </c>
      <c r="E1486" s="134">
        <v>376</v>
      </c>
      <c r="F1486" s="134">
        <v>959</v>
      </c>
      <c r="G1486" s="134">
        <v>45</v>
      </c>
      <c r="H1486" s="134">
        <v>193</v>
      </c>
      <c r="I1486" s="200">
        <v>7.8344526444299997E-2</v>
      </c>
      <c r="J1486" s="134">
        <v>1152</v>
      </c>
      <c r="K1486" s="134">
        <v>14704.281872400001</v>
      </c>
      <c r="L1486" s="42">
        <v>0.86790396591300001</v>
      </c>
      <c r="M1486" s="42">
        <v>0.339191564148</v>
      </c>
      <c r="N1486" s="134">
        <v>0</v>
      </c>
      <c r="O1486" s="43" t="s">
        <v>666</v>
      </c>
      <c r="P1486" s="43">
        <f t="shared" si="327"/>
        <v>12.559501717871544</v>
      </c>
      <c r="Q1486" s="43">
        <f t="shared" si="328"/>
        <v>4.2326285999999998E-2</v>
      </c>
      <c r="R1486" s="43">
        <f t="shared" si="329"/>
        <v>1.3630777E-2</v>
      </c>
      <c r="S1486" s="43">
        <f t="shared" si="330"/>
        <v>0.86790396599999997</v>
      </c>
      <c r="T1486" s="43">
        <f t="shared" si="331"/>
        <v>3.2643211550000002</v>
      </c>
      <c r="U1486" s="43">
        <f t="shared" si="332"/>
        <v>8.3531494790000007</v>
      </c>
      <c r="V1486" s="43">
        <f t="shared" si="333"/>
        <v>7.5284519999999997E-3</v>
      </c>
      <c r="W1486" s="230">
        <f t="shared" si="334"/>
        <v>8.3663739826957961E-2</v>
      </c>
      <c r="X1486" s="43">
        <f t="shared" si="335"/>
        <v>0.87028267800000003</v>
      </c>
      <c r="Y1486" s="43">
        <v>41.339054560000001</v>
      </c>
      <c r="Z1486" s="43">
        <f t="shared" si="324"/>
        <v>0</v>
      </c>
      <c r="AA1486" s="43">
        <f t="shared" si="325"/>
        <v>96880</v>
      </c>
      <c r="AB1486" s="43">
        <f t="shared" si="326"/>
        <v>34598</v>
      </c>
      <c r="AC1486" s="43">
        <f t="shared" si="336"/>
        <v>3.788298035593219E-2</v>
      </c>
      <c r="AD1486" s="43">
        <f t="shared" si="337"/>
        <v>0.86369592135593187</v>
      </c>
      <c r="AF1486" s="43">
        <v>12.559501717871544</v>
      </c>
      <c r="AG1486" s="43">
        <v>4.2326285999999998E-2</v>
      </c>
      <c r="AH1486" s="43">
        <v>1.3630777E-2</v>
      </c>
      <c r="AI1486" s="43">
        <v>0.86790396599999997</v>
      </c>
      <c r="AJ1486" s="43">
        <v>3.2643211550000002</v>
      </c>
      <c r="AK1486" s="43">
        <v>8.3531494790000007</v>
      </c>
      <c r="AL1486" s="43">
        <v>7.5284519999999997E-3</v>
      </c>
      <c r="AM1486" s="230">
        <v>8.3663739826957961E-2</v>
      </c>
      <c r="AN1486" s="43">
        <v>0.87028267800000003</v>
      </c>
    </row>
    <row r="1487" spans="1:40" x14ac:dyDescent="0.25">
      <c r="A1487" s="134">
        <v>1477</v>
      </c>
      <c r="B1487" s="134" t="s">
        <v>201</v>
      </c>
      <c r="C1487" s="134" t="s">
        <v>61</v>
      </c>
      <c r="D1487" s="134" t="s">
        <v>197</v>
      </c>
      <c r="E1487" s="134">
        <v>213</v>
      </c>
      <c r="F1487" s="134">
        <v>543</v>
      </c>
      <c r="G1487" s="134">
        <v>26</v>
      </c>
      <c r="H1487" s="134">
        <v>109</v>
      </c>
      <c r="I1487" s="200">
        <v>4.5418194976100001E-2</v>
      </c>
      <c r="J1487" s="134">
        <v>652</v>
      </c>
      <c r="K1487" s="134">
        <v>14355.480228599999</v>
      </c>
      <c r="L1487" s="42">
        <v>0.87125774763200003</v>
      </c>
      <c r="M1487" s="42">
        <v>0.33850931677000001</v>
      </c>
      <c r="N1487" s="134">
        <v>0</v>
      </c>
      <c r="O1487" s="43" t="s">
        <v>666</v>
      </c>
      <c r="P1487" s="43">
        <f t="shared" si="327"/>
        <v>12.608741804602735</v>
      </c>
      <c r="Q1487" s="43">
        <f t="shared" si="328"/>
        <v>3.1553326999999999E-2</v>
      </c>
      <c r="R1487" s="43">
        <f t="shared" si="329"/>
        <v>1.3551047E-2</v>
      </c>
      <c r="S1487" s="43">
        <f t="shared" si="330"/>
        <v>0.871257748</v>
      </c>
      <c r="T1487" s="43">
        <f t="shared" si="331"/>
        <v>3.212096555</v>
      </c>
      <c r="U1487" s="43">
        <f t="shared" si="332"/>
        <v>8.1623058050000008</v>
      </c>
      <c r="V1487" s="43">
        <f t="shared" si="333"/>
        <v>6.9360150000000002E-3</v>
      </c>
      <c r="W1487" s="230">
        <f t="shared" si="334"/>
        <v>6.4244841338650938E-2</v>
      </c>
      <c r="X1487" s="43">
        <f t="shared" si="335"/>
        <v>0.87393792299999995</v>
      </c>
      <c r="Y1487" s="43">
        <v>65.730929230000001</v>
      </c>
      <c r="Z1487" s="43">
        <f t="shared" si="324"/>
        <v>0</v>
      </c>
      <c r="AA1487" s="43">
        <f t="shared" si="325"/>
        <v>96880</v>
      </c>
      <c r="AB1487" s="43">
        <f t="shared" si="326"/>
        <v>34598</v>
      </c>
      <c r="AC1487" s="43">
        <f t="shared" si="336"/>
        <v>3.788298035593219E-2</v>
      </c>
      <c r="AD1487" s="43">
        <f t="shared" si="337"/>
        <v>0.86369592135593187</v>
      </c>
      <c r="AF1487" s="43">
        <v>12.608741804602735</v>
      </c>
      <c r="AG1487" s="43">
        <v>3.1553326999999999E-2</v>
      </c>
      <c r="AH1487" s="43">
        <v>1.3551047E-2</v>
      </c>
      <c r="AI1487" s="43">
        <v>0.871257748</v>
      </c>
      <c r="AJ1487" s="43">
        <v>3.212096555</v>
      </c>
      <c r="AK1487" s="43">
        <v>8.1623058050000008</v>
      </c>
      <c r="AL1487" s="43">
        <v>6.9360150000000002E-3</v>
      </c>
      <c r="AM1487" s="230">
        <v>6.4244841338650938E-2</v>
      </c>
      <c r="AN1487" s="43">
        <v>0.87393792299999995</v>
      </c>
    </row>
    <row r="1488" spans="1:40" x14ac:dyDescent="0.25">
      <c r="A1488" s="134">
        <v>1478</v>
      </c>
      <c r="B1488" s="134" t="s">
        <v>200</v>
      </c>
      <c r="C1488" s="134" t="s">
        <v>61</v>
      </c>
      <c r="D1488" s="134" t="s">
        <v>197</v>
      </c>
      <c r="E1488" s="134">
        <v>425</v>
      </c>
      <c r="F1488" s="134">
        <v>1125</v>
      </c>
      <c r="G1488" s="134">
        <v>51</v>
      </c>
      <c r="H1488" s="134">
        <v>908</v>
      </c>
      <c r="I1488" s="200">
        <v>9.9180828745099994E-2</v>
      </c>
      <c r="J1488" s="134">
        <v>2033</v>
      </c>
      <c r="K1488" s="134">
        <v>20497.913011199998</v>
      </c>
      <c r="L1488" s="42">
        <v>0.86369831784999995</v>
      </c>
      <c r="M1488" s="42">
        <v>0.68117029257299999</v>
      </c>
      <c r="N1488" s="134">
        <v>0</v>
      </c>
      <c r="O1488" s="43" t="s">
        <v>664</v>
      </c>
      <c r="P1488" s="43">
        <f t="shared" si="327"/>
        <v>12.929673723714366</v>
      </c>
      <c r="Q1488" s="43">
        <f t="shared" si="328"/>
        <v>2.5291355000000001E-2</v>
      </c>
      <c r="R1488" s="43">
        <f t="shared" si="329"/>
        <v>1.3543081E-2</v>
      </c>
      <c r="S1488" s="43">
        <f t="shared" si="330"/>
        <v>0.86369831799999996</v>
      </c>
      <c r="T1488" s="43">
        <f t="shared" si="331"/>
        <v>3.0881226050000001</v>
      </c>
      <c r="U1488" s="43">
        <f t="shared" si="332"/>
        <v>8.1131870100000008</v>
      </c>
      <c r="V1488" s="43">
        <f t="shared" si="333"/>
        <v>1.027512E-2</v>
      </c>
      <c r="W1488" s="230">
        <f t="shared" si="334"/>
        <v>5.2141687494613467E-2</v>
      </c>
      <c r="X1488" s="43">
        <f t="shared" si="335"/>
        <v>0.88900380199999995</v>
      </c>
      <c r="Y1488" s="43">
        <v>62.376147490000001</v>
      </c>
      <c r="Z1488" s="43">
        <f t="shared" si="324"/>
        <v>0</v>
      </c>
      <c r="AA1488" s="43">
        <f t="shared" si="325"/>
        <v>58630</v>
      </c>
      <c r="AB1488" s="43">
        <f t="shared" si="326"/>
        <v>21622</v>
      </c>
      <c r="AC1488" s="43">
        <f t="shared" si="336"/>
        <v>2.5329828222222222E-2</v>
      </c>
      <c r="AD1488" s="43">
        <f t="shared" si="337"/>
        <v>0.8846216263333333</v>
      </c>
      <c r="AF1488" s="43">
        <v>12.929673723714366</v>
      </c>
      <c r="AG1488" s="43">
        <v>2.5291355000000001E-2</v>
      </c>
      <c r="AH1488" s="43">
        <v>1.3543081E-2</v>
      </c>
      <c r="AI1488" s="43">
        <v>0.86369831799999996</v>
      </c>
      <c r="AJ1488" s="43">
        <v>3.0881226050000001</v>
      </c>
      <c r="AK1488" s="43">
        <v>8.1131870100000008</v>
      </c>
      <c r="AL1488" s="43">
        <v>1.027512E-2</v>
      </c>
      <c r="AM1488" s="230">
        <v>5.2141687494613467E-2</v>
      </c>
      <c r="AN1488" s="43">
        <v>0.88900380199999995</v>
      </c>
    </row>
    <row r="1489" spans="1:40" x14ac:dyDescent="0.25">
      <c r="A1489" s="134">
        <v>1479</v>
      </c>
      <c r="B1489" s="134" t="s">
        <v>200</v>
      </c>
      <c r="C1489" s="134" t="s">
        <v>61</v>
      </c>
      <c r="D1489" s="134" t="s">
        <v>197</v>
      </c>
      <c r="E1489" s="134">
        <v>184</v>
      </c>
      <c r="F1489" s="134">
        <v>433</v>
      </c>
      <c r="G1489" s="134">
        <v>29</v>
      </c>
      <c r="H1489" s="134">
        <v>199</v>
      </c>
      <c r="I1489" s="200">
        <v>5.3075033699199997E-2</v>
      </c>
      <c r="J1489" s="134">
        <v>632</v>
      </c>
      <c r="K1489" s="134">
        <v>11907.670253800001</v>
      </c>
      <c r="L1489" s="42">
        <v>0.85046021493199997</v>
      </c>
      <c r="M1489" s="42">
        <v>0.51958224543099996</v>
      </c>
      <c r="N1489" s="134">
        <v>1</v>
      </c>
      <c r="O1489" s="43" t="s">
        <v>664</v>
      </c>
      <c r="P1489" s="43">
        <f t="shared" si="327"/>
        <v>12.933316484535462</v>
      </c>
      <c r="Q1489" s="43">
        <f t="shared" si="328"/>
        <v>3.429857E-2</v>
      </c>
      <c r="R1489" s="43">
        <f t="shared" si="329"/>
        <v>1.3307675E-2</v>
      </c>
      <c r="S1489" s="43">
        <f t="shared" si="330"/>
        <v>0.85046021500000002</v>
      </c>
      <c r="T1489" s="43">
        <f t="shared" si="331"/>
        <v>3.1373070780000001</v>
      </c>
      <c r="U1489" s="43">
        <f t="shared" si="332"/>
        <v>7.6248750080000001</v>
      </c>
      <c r="V1489" s="43">
        <f t="shared" si="333"/>
        <v>7.1064079999999998E-3</v>
      </c>
      <c r="W1489" s="230">
        <f t="shared" si="334"/>
        <v>6.2517609491907461E-2</v>
      </c>
      <c r="X1489" s="43">
        <f t="shared" si="335"/>
        <v>0.85690135599999995</v>
      </c>
      <c r="Y1489" s="43">
        <v>110.3264727</v>
      </c>
      <c r="Z1489" s="43">
        <f t="shared" si="324"/>
        <v>0</v>
      </c>
      <c r="AA1489" s="43">
        <f t="shared" si="325"/>
        <v>58630</v>
      </c>
      <c r="AB1489" s="43">
        <f t="shared" si="326"/>
        <v>21622</v>
      </c>
      <c r="AC1489" s="43">
        <f t="shared" si="336"/>
        <v>2.5329828222222222E-2</v>
      </c>
      <c r="AD1489" s="43">
        <f t="shared" si="337"/>
        <v>0.8846216263333333</v>
      </c>
      <c r="AF1489" s="43">
        <v>12.933316484535462</v>
      </c>
      <c r="AG1489" s="43">
        <v>3.429857E-2</v>
      </c>
      <c r="AH1489" s="43">
        <v>1.3307675E-2</v>
      </c>
      <c r="AI1489" s="43">
        <v>0.85046021500000002</v>
      </c>
      <c r="AJ1489" s="43">
        <v>3.1373070780000001</v>
      </c>
      <c r="AK1489" s="43">
        <v>7.6248750080000001</v>
      </c>
      <c r="AL1489" s="43">
        <v>7.1064079999999998E-3</v>
      </c>
      <c r="AM1489" s="230">
        <v>6.2517609491907461E-2</v>
      </c>
      <c r="AN1489" s="43">
        <v>0.85690135599999995</v>
      </c>
    </row>
    <row r="1490" spans="1:40" x14ac:dyDescent="0.25">
      <c r="A1490" s="134">
        <v>1480</v>
      </c>
      <c r="B1490" s="134" t="s">
        <v>200</v>
      </c>
      <c r="C1490" s="134" t="s">
        <v>61</v>
      </c>
      <c r="D1490" s="134" t="s">
        <v>197</v>
      </c>
      <c r="E1490" s="134">
        <v>560</v>
      </c>
      <c r="F1490" s="134">
        <v>1449</v>
      </c>
      <c r="G1490" s="134">
        <v>93</v>
      </c>
      <c r="H1490" s="134">
        <v>294</v>
      </c>
      <c r="I1490" s="200">
        <v>0.18289436853400001</v>
      </c>
      <c r="J1490" s="134">
        <v>1743</v>
      </c>
      <c r="K1490" s="134">
        <v>9530.0911338599999</v>
      </c>
      <c r="L1490" s="42">
        <v>0.85232358929700003</v>
      </c>
      <c r="M1490" s="42">
        <v>0.34426229508200001</v>
      </c>
      <c r="N1490" s="134">
        <v>1</v>
      </c>
      <c r="O1490" s="43" t="s">
        <v>664</v>
      </c>
      <c r="P1490" s="43">
        <f t="shared" si="327"/>
        <v>13.518558818203639</v>
      </c>
      <c r="Q1490" s="43">
        <f t="shared" si="328"/>
        <v>4.0264783999999998E-2</v>
      </c>
      <c r="R1490" s="43">
        <f t="shared" si="329"/>
        <v>1.3908946E-2</v>
      </c>
      <c r="S1490" s="43">
        <f t="shared" si="330"/>
        <v>0.85232358900000005</v>
      </c>
      <c r="T1490" s="43">
        <f t="shared" si="331"/>
        <v>3.1798537950000001</v>
      </c>
      <c r="U1490" s="43">
        <f t="shared" si="332"/>
        <v>8.9816629490000004</v>
      </c>
      <c r="V1490" s="43">
        <f t="shared" si="333"/>
        <v>5.4283789999999997E-3</v>
      </c>
      <c r="W1490" s="230">
        <f t="shared" si="334"/>
        <v>7.4335128766200978E-2</v>
      </c>
      <c r="X1490" s="43">
        <f t="shared" si="335"/>
        <v>0.87407422999999995</v>
      </c>
      <c r="Y1490" s="43">
        <v>82.576596350000003</v>
      </c>
      <c r="Z1490" s="43">
        <f t="shared" si="324"/>
        <v>0</v>
      </c>
      <c r="AA1490" s="43">
        <f t="shared" si="325"/>
        <v>58630</v>
      </c>
      <c r="AB1490" s="43">
        <f t="shared" si="326"/>
        <v>21622</v>
      </c>
      <c r="AC1490" s="43">
        <f t="shared" si="336"/>
        <v>2.5329828222222222E-2</v>
      </c>
      <c r="AD1490" s="43">
        <f t="shared" si="337"/>
        <v>0.8846216263333333</v>
      </c>
      <c r="AF1490" s="43">
        <v>13.518558818203639</v>
      </c>
      <c r="AG1490" s="43">
        <v>4.0264783999999998E-2</v>
      </c>
      <c r="AH1490" s="43">
        <v>1.3908946E-2</v>
      </c>
      <c r="AI1490" s="43">
        <v>0.85232358900000005</v>
      </c>
      <c r="AJ1490" s="43">
        <v>3.1798537950000001</v>
      </c>
      <c r="AK1490" s="43">
        <v>8.9816629490000004</v>
      </c>
      <c r="AL1490" s="43">
        <v>5.4283789999999997E-3</v>
      </c>
      <c r="AM1490" s="230">
        <v>7.4335128766200978E-2</v>
      </c>
      <c r="AN1490" s="43">
        <v>0.87407422999999995</v>
      </c>
    </row>
    <row r="1491" spans="1:40" x14ac:dyDescent="0.25">
      <c r="A1491" s="134">
        <v>1481</v>
      </c>
      <c r="B1491" s="134" t="s">
        <v>200</v>
      </c>
      <c r="C1491" s="134" t="s">
        <v>61</v>
      </c>
      <c r="D1491" s="134" t="s">
        <v>197</v>
      </c>
      <c r="E1491" s="134">
        <v>226</v>
      </c>
      <c r="F1491" s="134">
        <v>566</v>
      </c>
      <c r="G1491" s="134">
        <v>39</v>
      </c>
      <c r="H1491" s="134">
        <v>166</v>
      </c>
      <c r="I1491" s="200">
        <v>9.2131020905299996E-2</v>
      </c>
      <c r="J1491" s="134">
        <v>732</v>
      </c>
      <c r="K1491" s="134">
        <v>7945.20665035</v>
      </c>
      <c r="L1491" s="42">
        <v>0.87540008476700004</v>
      </c>
      <c r="M1491" s="42">
        <v>0.42346938775499998</v>
      </c>
      <c r="N1491" s="134">
        <v>0</v>
      </c>
      <c r="O1491" s="43" t="s">
        <v>666</v>
      </c>
      <c r="P1491" s="43">
        <f t="shared" si="327"/>
        <v>13.448855071873343</v>
      </c>
      <c r="Q1491" s="43">
        <f t="shared" si="328"/>
        <v>3.2627917999999999E-2</v>
      </c>
      <c r="R1491" s="43">
        <f t="shared" si="329"/>
        <v>1.2948862E-2</v>
      </c>
      <c r="S1491" s="43">
        <f t="shared" si="330"/>
        <v>0.87540008499999999</v>
      </c>
      <c r="T1491" s="43">
        <f t="shared" si="331"/>
        <v>3.5346674180000002</v>
      </c>
      <c r="U1491" s="43">
        <f t="shared" si="332"/>
        <v>9.0091334009999997</v>
      </c>
      <c r="V1491" s="43">
        <f t="shared" si="333"/>
        <v>5.6781710000000001E-3</v>
      </c>
      <c r="W1491" s="230">
        <f t="shared" si="334"/>
        <v>5.443637979558584E-2</v>
      </c>
      <c r="X1491" s="43">
        <f t="shared" si="335"/>
        <v>0.89120130399999997</v>
      </c>
      <c r="Y1491" s="43">
        <v>69.007384239999993</v>
      </c>
      <c r="Z1491" s="43">
        <f t="shared" si="324"/>
        <v>0</v>
      </c>
      <c r="AA1491" s="43">
        <f t="shared" si="325"/>
        <v>58630</v>
      </c>
      <c r="AB1491" s="43">
        <f t="shared" si="326"/>
        <v>21622</v>
      </c>
      <c r="AC1491" s="43">
        <f t="shared" si="336"/>
        <v>2.5329828222222222E-2</v>
      </c>
      <c r="AD1491" s="43">
        <f t="shared" si="337"/>
        <v>0.8846216263333333</v>
      </c>
      <c r="AF1491" s="43">
        <v>13.448855071873343</v>
      </c>
      <c r="AG1491" s="43">
        <v>3.2627917999999999E-2</v>
      </c>
      <c r="AH1491" s="43">
        <v>1.2948862E-2</v>
      </c>
      <c r="AI1491" s="43">
        <v>0.87540008499999999</v>
      </c>
      <c r="AJ1491" s="43">
        <v>3.5346674180000002</v>
      </c>
      <c r="AK1491" s="43">
        <v>9.0091334009999997</v>
      </c>
      <c r="AL1491" s="43">
        <v>5.6781710000000001E-3</v>
      </c>
      <c r="AM1491" s="230">
        <v>5.443637979558584E-2</v>
      </c>
      <c r="AN1491" s="43">
        <v>0.89120130399999997</v>
      </c>
    </row>
    <row r="1492" spans="1:40" x14ac:dyDescent="0.25">
      <c r="A1492" s="134">
        <v>1482</v>
      </c>
      <c r="B1492" s="134" t="s">
        <v>200</v>
      </c>
      <c r="C1492" s="134" t="s">
        <v>61</v>
      </c>
      <c r="D1492" s="134" t="s">
        <v>197</v>
      </c>
      <c r="E1492" s="134">
        <v>219</v>
      </c>
      <c r="F1492" s="134">
        <v>551</v>
      </c>
      <c r="G1492" s="134">
        <v>38</v>
      </c>
      <c r="H1492" s="134">
        <v>162</v>
      </c>
      <c r="I1492" s="200">
        <v>8.9955571548400004E-2</v>
      </c>
      <c r="J1492" s="134">
        <v>713</v>
      </c>
      <c r="K1492" s="134">
        <v>7926.1349544799996</v>
      </c>
      <c r="L1492" s="42">
        <v>0.89311836472399997</v>
      </c>
      <c r="M1492" s="42">
        <v>0.42519685039400001</v>
      </c>
      <c r="N1492" s="134">
        <v>1</v>
      </c>
      <c r="O1492" s="43" t="s">
        <v>666</v>
      </c>
      <c r="P1492" s="43">
        <f t="shared" si="327"/>
        <v>13.33895589730535</v>
      </c>
      <c r="Q1492" s="43">
        <f t="shared" si="328"/>
        <v>2.5274749999999999E-2</v>
      </c>
      <c r="R1492" s="43">
        <f t="shared" si="329"/>
        <v>1.3193972E-2</v>
      </c>
      <c r="S1492" s="43">
        <f t="shared" si="330"/>
        <v>0.89311836499999997</v>
      </c>
      <c r="T1492" s="43">
        <f t="shared" si="331"/>
        <v>3.76043145</v>
      </c>
      <c r="U1492" s="43">
        <f t="shared" si="332"/>
        <v>9.2145093469999999</v>
      </c>
      <c r="V1492" s="43">
        <f t="shared" si="333"/>
        <v>5.3972259999999998E-3</v>
      </c>
      <c r="W1492" s="230">
        <f t="shared" si="334"/>
        <v>4.5800756620428755E-2</v>
      </c>
      <c r="X1492" s="43">
        <f t="shared" si="335"/>
        <v>0.90010088300000002</v>
      </c>
      <c r="Y1492" s="43">
        <v>68.225462899999997</v>
      </c>
      <c r="Z1492" s="43">
        <f t="shared" si="324"/>
        <v>0</v>
      </c>
      <c r="AA1492" s="43">
        <f t="shared" si="325"/>
        <v>58630</v>
      </c>
      <c r="AB1492" s="43">
        <f t="shared" si="326"/>
        <v>21622</v>
      </c>
      <c r="AC1492" s="43">
        <f t="shared" si="336"/>
        <v>2.5329828222222222E-2</v>
      </c>
      <c r="AD1492" s="43">
        <f t="shared" si="337"/>
        <v>0.8846216263333333</v>
      </c>
      <c r="AF1492" s="43">
        <v>13.33895589730535</v>
      </c>
      <c r="AG1492" s="43">
        <v>2.5274749999999999E-2</v>
      </c>
      <c r="AH1492" s="43">
        <v>1.3193972E-2</v>
      </c>
      <c r="AI1492" s="43">
        <v>0.89311836499999997</v>
      </c>
      <c r="AJ1492" s="43">
        <v>3.76043145</v>
      </c>
      <c r="AK1492" s="43">
        <v>9.2145093469999999</v>
      </c>
      <c r="AL1492" s="43">
        <v>5.3972259999999998E-3</v>
      </c>
      <c r="AM1492" s="230">
        <v>4.5800756620428755E-2</v>
      </c>
      <c r="AN1492" s="43">
        <v>0.90010088300000002</v>
      </c>
    </row>
    <row r="1493" spans="1:40" x14ac:dyDescent="0.25">
      <c r="A1493" s="134">
        <v>1483</v>
      </c>
      <c r="B1493" s="134" t="s">
        <v>200</v>
      </c>
      <c r="C1493" s="134" t="s">
        <v>61</v>
      </c>
      <c r="D1493" s="134" t="s">
        <v>197</v>
      </c>
      <c r="E1493" s="134">
        <v>239</v>
      </c>
      <c r="F1493" s="134">
        <v>536</v>
      </c>
      <c r="G1493" s="134">
        <v>37</v>
      </c>
      <c r="H1493" s="134">
        <v>110</v>
      </c>
      <c r="I1493" s="200">
        <v>6.2332249412200003E-2</v>
      </c>
      <c r="J1493" s="134">
        <v>646</v>
      </c>
      <c r="K1493" s="134">
        <v>10363.816581200001</v>
      </c>
      <c r="L1493" s="42">
        <v>0.87020176384699999</v>
      </c>
      <c r="M1493" s="42">
        <v>0.31518624641800003</v>
      </c>
      <c r="N1493" s="134">
        <v>1</v>
      </c>
      <c r="O1493" s="43" t="s">
        <v>666</v>
      </c>
      <c r="P1493" s="43">
        <f t="shared" si="327"/>
        <v>12.832477641398878</v>
      </c>
      <c r="Q1493" s="43">
        <f t="shared" si="328"/>
        <v>2.8242179999999999E-2</v>
      </c>
      <c r="R1493" s="43">
        <f t="shared" si="329"/>
        <v>1.2570586E-2</v>
      </c>
      <c r="S1493" s="43">
        <f t="shared" si="330"/>
        <v>0.87020176400000004</v>
      </c>
      <c r="T1493" s="43">
        <f t="shared" si="331"/>
        <v>3.3146984920000002</v>
      </c>
      <c r="U1493" s="43">
        <f t="shared" si="332"/>
        <v>8.4578722640000006</v>
      </c>
      <c r="V1493" s="43">
        <f t="shared" si="333"/>
        <v>5.4945050000000002E-3</v>
      </c>
      <c r="W1493" s="230">
        <f t="shared" si="334"/>
        <v>5.0533210631732807E-2</v>
      </c>
      <c r="X1493" s="43">
        <f t="shared" si="335"/>
        <v>0.88239592899999997</v>
      </c>
      <c r="Y1493" s="43">
        <v>93.237344530000001</v>
      </c>
      <c r="Z1493" s="43">
        <f t="shared" si="324"/>
        <v>0</v>
      </c>
      <c r="AA1493" s="43">
        <f t="shared" si="325"/>
        <v>58630</v>
      </c>
      <c r="AB1493" s="43">
        <f t="shared" si="326"/>
        <v>21622</v>
      </c>
      <c r="AC1493" s="43">
        <f t="shared" si="336"/>
        <v>2.5329828222222222E-2</v>
      </c>
      <c r="AD1493" s="43">
        <f t="shared" si="337"/>
        <v>0.8846216263333333</v>
      </c>
      <c r="AF1493" s="43">
        <v>12.832477641398878</v>
      </c>
      <c r="AG1493" s="43">
        <v>2.8242179999999999E-2</v>
      </c>
      <c r="AH1493" s="43">
        <v>1.2570586E-2</v>
      </c>
      <c r="AI1493" s="43">
        <v>0.87020176400000004</v>
      </c>
      <c r="AJ1493" s="43">
        <v>3.3146984920000002</v>
      </c>
      <c r="AK1493" s="43">
        <v>8.4578722640000006</v>
      </c>
      <c r="AL1493" s="43">
        <v>5.4945050000000002E-3</v>
      </c>
      <c r="AM1493" s="230">
        <v>5.0533210631732807E-2</v>
      </c>
      <c r="AN1493" s="43">
        <v>0.88239592899999997</v>
      </c>
    </row>
    <row r="1494" spans="1:40" x14ac:dyDescent="0.25">
      <c r="A1494" s="134">
        <v>1484</v>
      </c>
      <c r="B1494" s="134" t="s">
        <v>198</v>
      </c>
      <c r="C1494" s="134" t="s">
        <v>61</v>
      </c>
      <c r="D1494" s="134" t="s">
        <v>197</v>
      </c>
      <c r="E1494" s="134">
        <v>355</v>
      </c>
      <c r="F1494" s="134">
        <v>1129</v>
      </c>
      <c r="G1494" s="134">
        <v>36</v>
      </c>
      <c r="H1494" s="134">
        <v>189</v>
      </c>
      <c r="I1494" s="200">
        <v>7.1213980934699994E-2</v>
      </c>
      <c r="J1494" s="134">
        <v>1318</v>
      </c>
      <c r="K1494" s="134">
        <v>18507.601775700001</v>
      </c>
      <c r="L1494" s="42">
        <v>0.86327075482899995</v>
      </c>
      <c r="M1494" s="42">
        <v>0.34742647058800002</v>
      </c>
      <c r="N1494" s="134">
        <v>0</v>
      </c>
      <c r="O1494" s="43" t="s">
        <v>666</v>
      </c>
      <c r="P1494" s="43">
        <f t="shared" si="327"/>
        <v>12.785293574216125</v>
      </c>
      <c r="Q1494" s="43">
        <f t="shared" si="328"/>
        <v>3.6452964999999997E-2</v>
      </c>
      <c r="R1494" s="43">
        <f t="shared" si="329"/>
        <v>1.6412072E-2</v>
      </c>
      <c r="S1494" s="43">
        <f t="shared" si="330"/>
        <v>0.86327075499999995</v>
      </c>
      <c r="T1494" s="43">
        <f t="shared" si="331"/>
        <v>3.4364875289999999</v>
      </c>
      <c r="U1494" s="43">
        <f t="shared" si="332"/>
        <v>8.5895587399999993</v>
      </c>
      <c r="V1494" s="43">
        <f t="shared" si="333"/>
        <v>1.0384113E-2</v>
      </c>
      <c r="W1494" s="230">
        <f t="shared" si="334"/>
        <v>7.2333655321325074E-2</v>
      </c>
      <c r="X1494" s="43">
        <f t="shared" si="335"/>
        <v>0.87489346000000001</v>
      </c>
      <c r="Y1494" s="43">
        <v>87.978815400000002</v>
      </c>
      <c r="Z1494" s="43">
        <f t="shared" si="324"/>
        <v>0</v>
      </c>
      <c r="AA1494" s="43">
        <f t="shared" si="325"/>
        <v>29187</v>
      </c>
      <c r="AB1494" s="43">
        <f t="shared" si="326"/>
        <v>9189</v>
      </c>
      <c r="AC1494" s="43">
        <f t="shared" si="336"/>
        <v>3.4058654230769231E-2</v>
      </c>
      <c r="AD1494" s="43">
        <f t="shared" si="337"/>
        <v>0.86762326330769235</v>
      </c>
      <c r="AF1494" s="43">
        <v>12.785293574216125</v>
      </c>
      <c r="AG1494" s="43">
        <v>3.6452964999999997E-2</v>
      </c>
      <c r="AH1494" s="43">
        <v>1.6412072E-2</v>
      </c>
      <c r="AI1494" s="43">
        <v>0.86327075499999995</v>
      </c>
      <c r="AJ1494" s="43">
        <v>3.4364875289999999</v>
      </c>
      <c r="AK1494" s="43">
        <v>8.5895587399999993</v>
      </c>
      <c r="AL1494" s="43">
        <v>1.0384113E-2</v>
      </c>
      <c r="AM1494" s="230">
        <v>7.2333655321325074E-2</v>
      </c>
      <c r="AN1494" s="43">
        <v>0.87489346000000001</v>
      </c>
    </row>
    <row r="1495" spans="1:40" x14ac:dyDescent="0.25">
      <c r="A1495" s="134">
        <v>1485</v>
      </c>
      <c r="B1495" s="134" t="s">
        <v>202</v>
      </c>
      <c r="C1495" s="134" t="s">
        <v>61</v>
      </c>
      <c r="D1495" s="134" t="s">
        <v>197</v>
      </c>
      <c r="E1495" s="134">
        <v>629</v>
      </c>
      <c r="F1495" s="134">
        <v>1915</v>
      </c>
      <c r="G1495" s="134">
        <v>61</v>
      </c>
      <c r="H1495" s="134">
        <v>43</v>
      </c>
      <c r="I1495" s="200">
        <v>0.12694275664900001</v>
      </c>
      <c r="J1495" s="134">
        <v>1958</v>
      </c>
      <c r="K1495" s="134">
        <v>15424.275095999999</v>
      </c>
      <c r="L1495" s="42">
        <v>0.80873766925400004</v>
      </c>
      <c r="M1495" s="42">
        <v>6.3988095238100007E-2</v>
      </c>
      <c r="N1495" s="134">
        <v>1</v>
      </c>
      <c r="O1495" s="43" t="s">
        <v>664</v>
      </c>
      <c r="P1495" s="43">
        <f t="shared" si="327"/>
        <v>13.226552577896758</v>
      </c>
      <c r="Q1495" s="43">
        <f t="shared" si="328"/>
        <v>6.4048210999999994E-2</v>
      </c>
      <c r="R1495" s="43">
        <f t="shared" si="329"/>
        <v>1.6961245999999999E-2</v>
      </c>
      <c r="S1495" s="43">
        <f t="shared" si="330"/>
        <v>0.80873766899999999</v>
      </c>
      <c r="T1495" s="43">
        <f t="shared" si="331"/>
        <v>2.98030573</v>
      </c>
      <c r="U1495" s="43">
        <f t="shared" si="332"/>
        <v>8.0166878270000002</v>
      </c>
      <c r="V1495" s="43">
        <f t="shared" si="333"/>
        <v>8.3532850000000002E-3</v>
      </c>
      <c r="W1495" s="230">
        <f t="shared" si="334"/>
        <v>0.14293695131683962</v>
      </c>
      <c r="X1495" s="43">
        <f t="shared" si="335"/>
        <v>0.80337855800000002</v>
      </c>
      <c r="Y1495" s="43">
        <v>107.0187841</v>
      </c>
      <c r="Z1495" s="43">
        <f t="shared" si="324"/>
        <v>0</v>
      </c>
      <c r="AA1495" s="43">
        <f t="shared" si="325"/>
        <v>28430</v>
      </c>
      <c r="AB1495" s="43">
        <f t="shared" si="326"/>
        <v>9374</v>
      </c>
      <c r="AC1495" s="43">
        <f t="shared" si="336"/>
        <v>4.4377737888888887E-2</v>
      </c>
      <c r="AD1495" s="43">
        <f t="shared" si="337"/>
        <v>0.82399259644444456</v>
      </c>
      <c r="AF1495" s="43">
        <v>13.226552577896758</v>
      </c>
      <c r="AG1495" s="43">
        <v>6.4048210999999994E-2</v>
      </c>
      <c r="AH1495" s="43">
        <v>1.6961245999999999E-2</v>
      </c>
      <c r="AI1495" s="43">
        <v>0.80873766899999999</v>
      </c>
      <c r="AJ1495" s="43">
        <v>2.98030573</v>
      </c>
      <c r="AK1495" s="43">
        <v>8.0166878270000002</v>
      </c>
      <c r="AL1495" s="43">
        <v>8.3532850000000002E-3</v>
      </c>
      <c r="AM1495" s="230">
        <v>0.14293695131683962</v>
      </c>
      <c r="AN1495" s="43">
        <v>0.80337855800000002</v>
      </c>
    </row>
    <row r="1496" spans="1:40" x14ac:dyDescent="0.25">
      <c r="A1496" s="134">
        <v>1486</v>
      </c>
      <c r="B1496" s="134" t="s">
        <v>202</v>
      </c>
      <c r="C1496" s="134" t="s">
        <v>61</v>
      </c>
      <c r="D1496" s="134" t="s">
        <v>197</v>
      </c>
      <c r="E1496" s="134">
        <v>465</v>
      </c>
      <c r="F1496" s="134">
        <v>1416</v>
      </c>
      <c r="G1496" s="134">
        <v>25</v>
      </c>
      <c r="H1496" s="134">
        <v>171</v>
      </c>
      <c r="I1496" s="200">
        <v>5.1192120233699998E-2</v>
      </c>
      <c r="J1496" s="134">
        <v>1587</v>
      </c>
      <c r="K1496" s="134">
        <v>31000.8648354</v>
      </c>
      <c r="L1496" s="42">
        <v>0.80363223609500001</v>
      </c>
      <c r="M1496" s="42">
        <v>0.26886792452800001</v>
      </c>
      <c r="N1496" s="134">
        <v>1</v>
      </c>
      <c r="O1496" s="43" t="s">
        <v>664</v>
      </c>
      <c r="P1496" s="43">
        <f t="shared" si="327"/>
        <v>12.972167545719113</v>
      </c>
      <c r="Q1496" s="43">
        <f t="shared" si="328"/>
        <v>6.2723208000000003E-2</v>
      </c>
      <c r="R1496" s="43">
        <f t="shared" si="329"/>
        <v>1.7465602E-2</v>
      </c>
      <c r="S1496" s="43">
        <f t="shared" si="330"/>
        <v>0.803632236</v>
      </c>
      <c r="T1496" s="43">
        <f t="shared" si="331"/>
        <v>3.2261704440000001</v>
      </c>
      <c r="U1496" s="43">
        <f t="shared" si="332"/>
        <v>7.8485495700000003</v>
      </c>
      <c r="V1496" s="43">
        <f t="shared" si="333"/>
        <v>1.6405335E-2</v>
      </c>
      <c r="W1496" s="230">
        <f t="shared" si="334"/>
        <v>0.13334914346297638</v>
      </c>
      <c r="X1496" s="43">
        <f t="shared" si="335"/>
        <v>0.78488923600000005</v>
      </c>
      <c r="Y1496" s="43">
        <v>127.280174</v>
      </c>
      <c r="Z1496" s="43">
        <f t="shared" si="324"/>
        <v>0</v>
      </c>
      <c r="AA1496" s="43">
        <f t="shared" si="325"/>
        <v>28430</v>
      </c>
      <c r="AB1496" s="43">
        <f t="shared" si="326"/>
        <v>9374</v>
      </c>
      <c r="AC1496" s="43">
        <f t="shared" si="336"/>
        <v>4.4377737888888887E-2</v>
      </c>
      <c r="AD1496" s="43">
        <f t="shared" si="337"/>
        <v>0.82399259644444456</v>
      </c>
      <c r="AF1496" s="43">
        <v>12.972167545719113</v>
      </c>
      <c r="AG1496" s="43">
        <v>6.2723208000000003E-2</v>
      </c>
      <c r="AH1496" s="43">
        <v>1.7465602E-2</v>
      </c>
      <c r="AI1496" s="43">
        <v>0.803632236</v>
      </c>
      <c r="AJ1496" s="43">
        <v>3.2261704440000001</v>
      </c>
      <c r="AK1496" s="43">
        <v>7.8485495700000003</v>
      </c>
      <c r="AL1496" s="43">
        <v>1.6405335E-2</v>
      </c>
      <c r="AM1496" s="230">
        <v>0.13334914346297638</v>
      </c>
      <c r="AN1496" s="43">
        <v>0.78488923600000005</v>
      </c>
    </row>
    <row r="1497" spans="1:40" x14ac:dyDescent="0.25">
      <c r="A1497" s="134">
        <v>1487</v>
      </c>
      <c r="B1497" s="134" t="s">
        <v>203</v>
      </c>
      <c r="C1497" s="134" t="s">
        <v>61</v>
      </c>
      <c r="D1497" s="134" t="s">
        <v>197</v>
      </c>
      <c r="E1497" s="134">
        <v>435</v>
      </c>
      <c r="F1497" s="134">
        <v>1432</v>
      </c>
      <c r="G1497" s="134">
        <v>20</v>
      </c>
      <c r="H1497" s="134">
        <v>91</v>
      </c>
      <c r="I1497" s="200">
        <v>3.5320257772399999E-2</v>
      </c>
      <c r="J1497" s="134">
        <v>1523</v>
      </c>
      <c r="K1497" s="134">
        <v>43119.730603800002</v>
      </c>
      <c r="L1497" s="42">
        <v>0.83444467100200004</v>
      </c>
      <c r="M1497" s="42">
        <v>0.17300380228100001</v>
      </c>
      <c r="N1497" s="134">
        <v>0</v>
      </c>
      <c r="O1497" s="43" t="s">
        <v>664</v>
      </c>
      <c r="P1497" s="43">
        <f t="shared" si="327"/>
        <v>13.067130928424918</v>
      </c>
      <c r="Q1497" s="43">
        <f t="shared" si="328"/>
        <v>4.5244529999999998E-2</v>
      </c>
      <c r="R1497" s="43">
        <f t="shared" si="329"/>
        <v>1.8381539999999998E-2</v>
      </c>
      <c r="S1497" s="43">
        <f t="shared" si="330"/>
        <v>0.83444467099999997</v>
      </c>
      <c r="T1497" s="43">
        <f t="shared" si="331"/>
        <v>3.3072501170000002</v>
      </c>
      <c r="U1497" s="43">
        <f t="shared" si="332"/>
        <v>8.2072018819999997</v>
      </c>
      <c r="V1497" s="43">
        <f t="shared" si="333"/>
        <v>1.066927E-2</v>
      </c>
      <c r="W1497" s="230">
        <f t="shared" si="334"/>
        <v>0.10052126008960792</v>
      </c>
      <c r="X1497" s="43">
        <f t="shared" si="335"/>
        <v>0.83389410900000005</v>
      </c>
      <c r="Y1497" s="43">
        <v>90.143857980000007</v>
      </c>
      <c r="Z1497" s="43">
        <f t="shared" si="324"/>
        <v>0</v>
      </c>
      <c r="AA1497" s="43">
        <f t="shared" si="325"/>
        <v>11913</v>
      </c>
      <c r="AB1497" s="43">
        <f t="shared" si="326"/>
        <v>3709</v>
      </c>
      <c r="AC1497" s="43">
        <f t="shared" si="336"/>
        <v>3.3371233571428571E-2</v>
      </c>
      <c r="AD1497" s="43">
        <f t="shared" si="337"/>
        <v>0.85814072571428568</v>
      </c>
      <c r="AF1497" s="43">
        <v>13.067130928424918</v>
      </c>
      <c r="AG1497" s="43">
        <v>4.5244529999999998E-2</v>
      </c>
      <c r="AH1497" s="43">
        <v>1.8381539999999998E-2</v>
      </c>
      <c r="AI1497" s="43">
        <v>0.83444467099999997</v>
      </c>
      <c r="AJ1497" s="43">
        <v>3.3072501170000002</v>
      </c>
      <c r="AK1497" s="43">
        <v>8.2072018819999997</v>
      </c>
      <c r="AL1497" s="43">
        <v>1.066927E-2</v>
      </c>
      <c r="AM1497" s="230">
        <v>0.10052126008960792</v>
      </c>
      <c r="AN1497" s="43">
        <v>0.83389410900000005</v>
      </c>
    </row>
    <row r="1498" spans="1:40" x14ac:dyDescent="0.25">
      <c r="A1498" s="134">
        <v>1488</v>
      </c>
      <c r="B1498" s="134" t="s">
        <v>203</v>
      </c>
      <c r="C1498" s="134" t="s">
        <v>61</v>
      </c>
      <c r="D1498" s="134" t="s">
        <v>197</v>
      </c>
      <c r="E1498" s="134">
        <v>257</v>
      </c>
      <c r="F1498" s="134">
        <v>845</v>
      </c>
      <c r="G1498" s="134">
        <v>40</v>
      </c>
      <c r="H1498" s="134">
        <v>94</v>
      </c>
      <c r="I1498" s="200">
        <v>7.1395884170000007E-2</v>
      </c>
      <c r="J1498" s="134">
        <v>939</v>
      </c>
      <c r="K1498" s="134">
        <v>13152.0186481</v>
      </c>
      <c r="L1498" s="42">
        <v>0.86654486237399997</v>
      </c>
      <c r="M1498" s="42">
        <v>0.26780626780599998</v>
      </c>
      <c r="N1498" s="134">
        <v>0</v>
      </c>
      <c r="O1498" s="43" t="s">
        <v>666</v>
      </c>
      <c r="P1498" s="43">
        <f t="shared" si="327"/>
        <v>12.688947609276511</v>
      </c>
      <c r="Q1498" s="43">
        <f t="shared" si="328"/>
        <v>3.0656287000000001E-2</v>
      </c>
      <c r="R1498" s="43">
        <f t="shared" si="329"/>
        <v>1.6357521999999999E-2</v>
      </c>
      <c r="S1498" s="43">
        <f t="shared" si="330"/>
        <v>0.86654486200000003</v>
      </c>
      <c r="T1498" s="43">
        <f t="shared" si="331"/>
        <v>3.4169525730000001</v>
      </c>
      <c r="U1498" s="43">
        <f t="shared" si="332"/>
        <v>8.4153531889999993</v>
      </c>
      <c r="V1498" s="43">
        <f t="shared" si="333"/>
        <v>7.0068550000000002E-3</v>
      </c>
      <c r="W1498" s="230">
        <f t="shared" si="334"/>
        <v>5.9685199289159691E-2</v>
      </c>
      <c r="X1498" s="43">
        <f t="shared" si="335"/>
        <v>0.87646610800000002</v>
      </c>
      <c r="Y1498" s="43">
        <v>90.505490039999998</v>
      </c>
      <c r="Z1498" s="43">
        <f t="shared" si="324"/>
        <v>0</v>
      </c>
      <c r="AA1498" s="43">
        <f t="shared" si="325"/>
        <v>11913</v>
      </c>
      <c r="AB1498" s="43">
        <f t="shared" si="326"/>
        <v>3709</v>
      </c>
      <c r="AC1498" s="43">
        <f t="shared" si="336"/>
        <v>3.3371233571428571E-2</v>
      </c>
      <c r="AD1498" s="43">
        <f t="shared" si="337"/>
        <v>0.85814072571428568</v>
      </c>
      <c r="AF1498" s="43">
        <v>12.688947609276511</v>
      </c>
      <c r="AG1498" s="43">
        <v>3.0656287000000001E-2</v>
      </c>
      <c r="AH1498" s="43">
        <v>1.6357521999999999E-2</v>
      </c>
      <c r="AI1498" s="43">
        <v>0.86654486200000003</v>
      </c>
      <c r="AJ1498" s="43">
        <v>3.4169525730000001</v>
      </c>
      <c r="AK1498" s="43">
        <v>8.4153531889999993</v>
      </c>
      <c r="AL1498" s="43">
        <v>7.0068550000000002E-3</v>
      </c>
      <c r="AM1498" s="230">
        <v>5.9685199289159691E-2</v>
      </c>
      <c r="AN1498" s="43">
        <v>0.87646610800000002</v>
      </c>
    </row>
    <row r="1499" spans="1:40" x14ac:dyDescent="0.25">
      <c r="A1499" s="134">
        <v>1489</v>
      </c>
      <c r="B1499" s="134" t="s">
        <v>196</v>
      </c>
      <c r="C1499" s="134" t="s">
        <v>61</v>
      </c>
      <c r="D1499" s="134" t="s">
        <v>197</v>
      </c>
      <c r="E1499" s="134">
        <v>11</v>
      </c>
      <c r="F1499" s="134">
        <v>35</v>
      </c>
      <c r="G1499" s="134">
        <v>23</v>
      </c>
      <c r="H1499" s="134">
        <v>68</v>
      </c>
      <c r="I1499" s="200">
        <v>3.8606064609700001E-2</v>
      </c>
      <c r="J1499" s="134">
        <v>103</v>
      </c>
      <c r="K1499" s="134">
        <v>2667.9746055800001</v>
      </c>
      <c r="L1499" s="42">
        <v>0.88210580912900005</v>
      </c>
      <c r="M1499" s="42">
        <v>0.86075949367100002</v>
      </c>
      <c r="N1499" s="134">
        <v>0</v>
      </c>
      <c r="O1499" s="43" t="s">
        <v>666</v>
      </c>
      <c r="P1499" s="43">
        <f t="shared" si="327"/>
        <v>11.179271249174866</v>
      </c>
      <c r="Q1499" s="43">
        <f t="shared" si="328"/>
        <v>1.1307054E-2</v>
      </c>
      <c r="R1499" s="43">
        <f t="shared" si="329"/>
        <v>1.0788381999999999E-2</v>
      </c>
      <c r="S1499" s="43">
        <f t="shared" si="330"/>
        <v>0.88210580900000002</v>
      </c>
      <c r="T1499" s="43">
        <f t="shared" si="331"/>
        <v>3.078199052</v>
      </c>
      <c r="U1499" s="43">
        <f t="shared" si="332"/>
        <v>6.6033508169999999</v>
      </c>
      <c r="V1499" s="43">
        <f t="shared" si="333"/>
        <v>4.4805840000000001E-3</v>
      </c>
      <c r="W1499" s="230">
        <f t="shared" si="334"/>
        <v>1.3773647527381349E-2</v>
      </c>
      <c r="X1499" s="43">
        <f t="shared" si="335"/>
        <v>0.86823763700000001</v>
      </c>
      <c r="Y1499" s="43">
        <v>87.662235640000006</v>
      </c>
      <c r="Z1499" s="43">
        <f t="shared" si="324"/>
        <v>0</v>
      </c>
      <c r="AA1499" s="43">
        <f t="shared" si="325"/>
        <v>167507</v>
      </c>
      <c r="AB1499" s="43">
        <f t="shared" si="326"/>
        <v>52467</v>
      </c>
      <c r="AC1499" s="43">
        <f t="shared" si="336"/>
        <v>2.7401368684900142E-2</v>
      </c>
      <c r="AD1499" s="43">
        <f t="shared" si="337"/>
        <v>0.88062297462500005</v>
      </c>
      <c r="AF1499" s="43">
        <v>11.179271249174866</v>
      </c>
      <c r="AG1499" s="43">
        <v>1.1307054E-2</v>
      </c>
      <c r="AH1499" s="43">
        <v>1.0788381999999999E-2</v>
      </c>
      <c r="AI1499" s="43">
        <v>0.88210580900000002</v>
      </c>
      <c r="AJ1499" s="43">
        <v>3.078199052</v>
      </c>
      <c r="AK1499" s="43">
        <v>6.6033508169999999</v>
      </c>
      <c r="AL1499" s="43">
        <v>4.4805840000000001E-3</v>
      </c>
      <c r="AM1499" s="230">
        <v>1.3773647527381349E-2</v>
      </c>
      <c r="AN1499" s="43">
        <v>0.86823763700000001</v>
      </c>
    </row>
    <row r="1500" spans="1:40" x14ac:dyDescent="0.25">
      <c r="A1500" s="134">
        <v>1490</v>
      </c>
      <c r="B1500" s="134" t="s">
        <v>196</v>
      </c>
      <c r="C1500" s="134" t="s">
        <v>61</v>
      </c>
      <c r="D1500" s="134" t="s">
        <v>197</v>
      </c>
      <c r="E1500" s="134">
        <v>123</v>
      </c>
      <c r="F1500" s="134">
        <v>409</v>
      </c>
      <c r="G1500" s="134">
        <v>22</v>
      </c>
      <c r="H1500" s="134">
        <v>57</v>
      </c>
      <c r="I1500" s="200">
        <v>5.1425751864000002E-2</v>
      </c>
      <c r="J1500" s="134">
        <v>466</v>
      </c>
      <c r="K1500" s="134">
        <v>9061.6079125600008</v>
      </c>
      <c r="L1500" s="42">
        <v>0.851636471078</v>
      </c>
      <c r="M1500" s="42">
        <v>0.316666666667</v>
      </c>
      <c r="N1500" s="134">
        <v>0</v>
      </c>
      <c r="O1500" s="43" t="s">
        <v>666</v>
      </c>
      <c r="P1500" s="43">
        <f t="shared" si="327"/>
        <v>12.657592856338395</v>
      </c>
      <c r="Q1500" s="43">
        <f t="shared" si="328"/>
        <v>3.5576626E-2</v>
      </c>
      <c r="R1500" s="43">
        <f t="shared" si="329"/>
        <v>1.6183402999999999E-2</v>
      </c>
      <c r="S1500" s="43">
        <f t="shared" si="330"/>
        <v>0.85163647099999995</v>
      </c>
      <c r="T1500" s="43">
        <f t="shared" si="331"/>
        <v>3.3290562910000001</v>
      </c>
      <c r="U1500" s="43">
        <f t="shared" si="332"/>
        <v>8.250789846</v>
      </c>
      <c r="V1500" s="43">
        <f t="shared" si="333"/>
        <v>6.3367679999999996E-3</v>
      </c>
      <c r="W1500" s="230">
        <f t="shared" si="334"/>
        <v>6.8059788129444201E-2</v>
      </c>
      <c r="X1500" s="43">
        <f t="shared" si="335"/>
        <v>0.84820780699999998</v>
      </c>
      <c r="Y1500" s="43">
        <v>59.192035130000001</v>
      </c>
      <c r="Z1500" s="43">
        <f t="shared" si="324"/>
        <v>0</v>
      </c>
      <c r="AA1500" s="43">
        <f t="shared" si="325"/>
        <v>167507</v>
      </c>
      <c r="AB1500" s="43">
        <f t="shared" si="326"/>
        <v>52467</v>
      </c>
      <c r="AC1500" s="43">
        <f t="shared" si="336"/>
        <v>2.7401368684900142E-2</v>
      </c>
      <c r="AD1500" s="43">
        <f t="shared" si="337"/>
        <v>0.88062297462500005</v>
      </c>
      <c r="AF1500" s="43">
        <v>12.657592856338395</v>
      </c>
      <c r="AG1500" s="43">
        <v>3.5576626E-2</v>
      </c>
      <c r="AH1500" s="43">
        <v>1.6183402999999999E-2</v>
      </c>
      <c r="AI1500" s="43">
        <v>0.85163647099999995</v>
      </c>
      <c r="AJ1500" s="43">
        <v>3.3290562910000001</v>
      </c>
      <c r="AK1500" s="43">
        <v>8.250789846</v>
      </c>
      <c r="AL1500" s="43">
        <v>6.3367679999999996E-3</v>
      </c>
      <c r="AM1500" s="230">
        <v>6.8059788129444201E-2</v>
      </c>
      <c r="AN1500" s="43">
        <v>0.84820780699999998</v>
      </c>
    </row>
    <row r="1501" spans="1:40" x14ac:dyDescent="0.25">
      <c r="A1501" s="134">
        <v>1491</v>
      </c>
      <c r="B1501" s="134" t="s">
        <v>196</v>
      </c>
      <c r="C1501" s="134" t="s">
        <v>61</v>
      </c>
      <c r="D1501" s="134" t="s">
        <v>197</v>
      </c>
      <c r="E1501" s="134">
        <v>123</v>
      </c>
      <c r="F1501" s="134">
        <v>409</v>
      </c>
      <c r="G1501" s="134">
        <v>22</v>
      </c>
      <c r="H1501" s="134">
        <v>57</v>
      </c>
      <c r="I1501" s="200">
        <v>4.9504296338199999E-2</v>
      </c>
      <c r="J1501" s="134">
        <v>466</v>
      </c>
      <c r="K1501" s="134">
        <v>9413.3243873699994</v>
      </c>
      <c r="L1501" s="42">
        <v>0.85250170252000002</v>
      </c>
      <c r="M1501" s="42">
        <v>0.316666666667</v>
      </c>
      <c r="N1501" s="134">
        <v>1</v>
      </c>
      <c r="O1501" s="43" t="s">
        <v>664</v>
      </c>
      <c r="P1501" s="43">
        <f t="shared" si="327"/>
        <v>12.640650253426344</v>
      </c>
      <c r="Q1501" s="43">
        <f t="shared" si="328"/>
        <v>3.9792226E-2</v>
      </c>
      <c r="R1501" s="43">
        <f t="shared" si="329"/>
        <v>1.6397602000000001E-2</v>
      </c>
      <c r="S1501" s="43">
        <f t="shared" si="330"/>
        <v>0.85250170300000006</v>
      </c>
      <c r="T1501" s="43">
        <f t="shared" si="331"/>
        <v>3.3253355020000002</v>
      </c>
      <c r="U1501" s="43">
        <f t="shared" si="332"/>
        <v>8.2507433910000003</v>
      </c>
      <c r="V1501" s="43">
        <f t="shared" si="333"/>
        <v>6.2820699999999998E-3</v>
      </c>
      <c r="W1501" s="230">
        <f t="shared" si="334"/>
        <v>6.9246631180165927E-2</v>
      </c>
      <c r="X1501" s="43">
        <f t="shared" si="335"/>
        <v>0.85138828899999996</v>
      </c>
      <c r="Y1501" s="43">
        <v>46.78365222</v>
      </c>
      <c r="Z1501" s="43">
        <f t="shared" si="324"/>
        <v>0</v>
      </c>
      <c r="AA1501" s="43">
        <f t="shared" si="325"/>
        <v>167507</v>
      </c>
      <c r="AB1501" s="43">
        <f t="shared" si="326"/>
        <v>52467</v>
      </c>
      <c r="AC1501" s="43">
        <f t="shared" si="336"/>
        <v>2.7401368684900142E-2</v>
      </c>
      <c r="AD1501" s="43">
        <f t="shared" si="337"/>
        <v>0.88062297462500005</v>
      </c>
      <c r="AF1501" s="43">
        <v>12.640650253426344</v>
      </c>
      <c r="AG1501" s="43">
        <v>3.9792226E-2</v>
      </c>
      <c r="AH1501" s="43">
        <v>1.6397602000000001E-2</v>
      </c>
      <c r="AI1501" s="43">
        <v>0.85250170300000006</v>
      </c>
      <c r="AJ1501" s="43">
        <v>3.3253355020000002</v>
      </c>
      <c r="AK1501" s="43">
        <v>8.2507433910000003</v>
      </c>
      <c r="AL1501" s="43">
        <v>6.2820699999999998E-3</v>
      </c>
      <c r="AM1501" s="230">
        <v>6.9246631180165927E-2</v>
      </c>
      <c r="AN1501" s="43">
        <v>0.85138828899999996</v>
      </c>
    </row>
    <row r="1502" spans="1:40" x14ac:dyDescent="0.25">
      <c r="A1502" s="134">
        <v>1492</v>
      </c>
      <c r="B1502" s="134" t="s">
        <v>196</v>
      </c>
      <c r="C1502" s="134" t="s">
        <v>61</v>
      </c>
      <c r="D1502" s="134" t="s">
        <v>197</v>
      </c>
      <c r="E1502" s="134">
        <v>123</v>
      </c>
      <c r="F1502" s="134">
        <v>409</v>
      </c>
      <c r="G1502" s="134">
        <v>28</v>
      </c>
      <c r="H1502" s="134">
        <v>57</v>
      </c>
      <c r="I1502" s="200">
        <v>6.3895557701399999E-2</v>
      </c>
      <c r="J1502" s="134">
        <v>466</v>
      </c>
      <c r="K1502" s="134">
        <v>7293.1517739800001</v>
      </c>
      <c r="L1502" s="42">
        <v>0.87062786889599997</v>
      </c>
      <c r="M1502" s="42">
        <v>0.316666666667</v>
      </c>
      <c r="N1502" s="134">
        <v>1</v>
      </c>
      <c r="O1502" s="43" t="s">
        <v>664</v>
      </c>
      <c r="P1502" s="43">
        <f t="shared" si="327"/>
        <v>12.940194811849066</v>
      </c>
      <c r="Q1502" s="43">
        <f t="shared" si="328"/>
        <v>2.8628567000000001E-2</v>
      </c>
      <c r="R1502" s="43">
        <f t="shared" si="329"/>
        <v>1.6159771999999999E-2</v>
      </c>
      <c r="S1502" s="43">
        <f t="shared" si="330"/>
        <v>0.870627869</v>
      </c>
      <c r="T1502" s="43">
        <f t="shared" si="331"/>
        <v>3.5644555690000002</v>
      </c>
      <c r="U1502" s="43">
        <f t="shared" si="332"/>
        <v>8.6536886339999999</v>
      </c>
      <c r="V1502" s="43">
        <f t="shared" si="333"/>
        <v>5.6469670000000001E-3</v>
      </c>
      <c r="W1502" s="230">
        <f t="shared" si="334"/>
        <v>5.1406873722130264E-2</v>
      </c>
      <c r="X1502" s="43">
        <f t="shared" si="335"/>
        <v>0.86992503200000004</v>
      </c>
      <c r="Y1502" s="43">
        <v>47.451492209999998</v>
      </c>
      <c r="Z1502" s="43">
        <f t="shared" si="324"/>
        <v>0</v>
      </c>
      <c r="AA1502" s="43">
        <f t="shared" si="325"/>
        <v>167507</v>
      </c>
      <c r="AB1502" s="43">
        <f t="shared" si="326"/>
        <v>52467</v>
      </c>
      <c r="AC1502" s="43">
        <f t="shared" si="336"/>
        <v>2.7401368684900142E-2</v>
      </c>
      <c r="AD1502" s="43">
        <f t="shared" si="337"/>
        <v>0.88062297462500005</v>
      </c>
      <c r="AF1502" s="43">
        <v>12.940194811849066</v>
      </c>
      <c r="AG1502" s="43">
        <v>2.8628567000000001E-2</v>
      </c>
      <c r="AH1502" s="43">
        <v>1.6159771999999999E-2</v>
      </c>
      <c r="AI1502" s="43">
        <v>0.870627869</v>
      </c>
      <c r="AJ1502" s="43">
        <v>3.5644555690000002</v>
      </c>
      <c r="AK1502" s="43">
        <v>8.6536886339999999</v>
      </c>
      <c r="AL1502" s="43">
        <v>5.6469670000000001E-3</v>
      </c>
      <c r="AM1502" s="230">
        <v>5.1406873722130264E-2</v>
      </c>
      <c r="AN1502" s="43">
        <v>0.86992503200000004</v>
      </c>
    </row>
    <row r="1503" spans="1:40" x14ac:dyDescent="0.25">
      <c r="A1503" s="134">
        <v>1493</v>
      </c>
      <c r="B1503" s="134" t="s">
        <v>196</v>
      </c>
      <c r="C1503" s="134" t="s">
        <v>61</v>
      </c>
      <c r="D1503" s="134" t="s">
        <v>197</v>
      </c>
      <c r="E1503" s="134">
        <v>123</v>
      </c>
      <c r="F1503" s="134">
        <v>409</v>
      </c>
      <c r="G1503" s="134">
        <v>7</v>
      </c>
      <c r="H1503" s="134">
        <v>57</v>
      </c>
      <c r="I1503" s="200">
        <v>1.7312227317700001E-2</v>
      </c>
      <c r="J1503" s="134">
        <v>466</v>
      </c>
      <c r="K1503" s="134">
        <v>26917.391474200002</v>
      </c>
      <c r="L1503" s="42">
        <v>0.82189013988399995</v>
      </c>
      <c r="M1503" s="42">
        <v>0.316666666667</v>
      </c>
      <c r="N1503" s="134">
        <v>1</v>
      </c>
      <c r="O1503" s="43" t="s">
        <v>664</v>
      </c>
      <c r="P1503" s="43">
        <f t="shared" si="327"/>
        <v>12.544583014572339</v>
      </c>
      <c r="Q1503" s="43">
        <f t="shared" si="328"/>
        <v>4.6987375999999997E-2</v>
      </c>
      <c r="R1503" s="43">
        <f t="shared" si="329"/>
        <v>1.7782327000000001E-2</v>
      </c>
      <c r="S1503" s="43">
        <f t="shared" si="330"/>
        <v>0.82189014000000005</v>
      </c>
      <c r="T1503" s="43">
        <f t="shared" si="331"/>
        <v>3.2724816670000001</v>
      </c>
      <c r="U1503" s="43">
        <f t="shared" si="332"/>
        <v>7.7703846370000003</v>
      </c>
      <c r="V1503" s="43">
        <f t="shared" si="333"/>
        <v>1.0583566000000001E-2</v>
      </c>
      <c r="W1503" s="230">
        <f t="shared" si="334"/>
        <v>9.0989269439952961E-2</v>
      </c>
      <c r="X1503" s="43">
        <f t="shared" si="335"/>
        <v>0.80366504999999999</v>
      </c>
      <c r="Y1503" s="43">
        <v>46.776020099999997</v>
      </c>
      <c r="Z1503" s="43">
        <f t="shared" si="324"/>
        <v>0</v>
      </c>
      <c r="AA1503" s="43">
        <f t="shared" si="325"/>
        <v>167507</v>
      </c>
      <c r="AB1503" s="43">
        <f t="shared" si="326"/>
        <v>52467</v>
      </c>
      <c r="AC1503" s="43">
        <f t="shared" si="336"/>
        <v>2.7401368684900142E-2</v>
      </c>
      <c r="AD1503" s="43">
        <f t="shared" si="337"/>
        <v>0.88062297462500005</v>
      </c>
      <c r="AF1503" s="43">
        <v>12.544583014572339</v>
      </c>
      <c r="AG1503" s="43">
        <v>4.6987375999999997E-2</v>
      </c>
      <c r="AH1503" s="43">
        <v>1.7782327000000001E-2</v>
      </c>
      <c r="AI1503" s="43">
        <v>0.82189014000000005</v>
      </c>
      <c r="AJ1503" s="43">
        <v>3.2724816670000001</v>
      </c>
      <c r="AK1503" s="43">
        <v>7.7703846370000003</v>
      </c>
      <c r="AL1503" s="43">
        <v>1.0583566000000001E-2</v>
      </c>
      <c r="AM1503" s="230">
        <v>9.0989269439952961E-2</v>
      </c>
      <c r="AN1503" s="43">
        <v>0.80366504999999999</v>
      </c>
    </row>
    <row r="1504" spans="1:40" x14ac:dyDescent="0.25">
      <c r="A1504" s="134">
        <v>1494</v>
      </c>
      <c r="B1504" s="134" t="s">
        <v>196</v>
      </c>
      <c r="C1504" s="134" t="s">
        <v>61</v>
      </c>
      <c r="D1504" s="134" t="s">
        <v>197</v>
      </c>
      <c r="E1504" s="134">
        <v>168</v>
      </c>
      <c r="F1504" s="134">
        <v>394</v>
      </c>
      <c r="G1504" s="134">
        <v>21</v>
      </c>
      <c r="H1504" s="134">
        <v>187</v>
      </c>
      <c r="I1504" s="200">
        <v>3.7079915231899997E-2</v>
      </c>
      <c r="J1504" s="134">
        <v>581</v>
      </c>
      <c r="K1504" s="134">
        <v>15668.859984299999</v>
      </c>
      <c r="L1504" s="42">
        <v>0.84097500593700003</v>
      </c>
      <c r="M1504" s="42">
        <v>0.52676056337999999</v>
      </c>
      <c r="N1504" s="134">
        <v>1</v>
      </c>
      <c r="O1504" s="43" t="s">
        <v>664</v>
      </c>
      <c r="P1504" s="43">
        <f t="shared" si="327"/>
        <v>12.135792710383896</v>
      </c>
      <c r="Q1504" s="43">
        <f t="shared" si="328"/>
        <v>3.4601628000000002E-2</v>
      </c>
      <c r="R1504" s="43">
        <f t="shared" si="329"/>
        <v>1.3479378E-2</v>
      </c>
      <c r="S1504" s="43">
        <f t="shared" si="330"/>
        <v>0.84097500599999997</v>
      </c>
      <c r="T1504" s="43">
        <f t="shared" si="331"/>
        <v>2.8566507680000002</v>
      </c>
      <c r="U1504" s="43">
        <f t="shared" si="332"/>
        <v>6.8764438349999999</v>
      </c>
      <c r="V1504" s="43">
        <f t="shared" si="333"/>
        <v>8.8236340000000003E-3</v>
      </c>
      <c r="W1504" s="230">
        <f t="shared" si="334"/>
        <v>6.8159897117136423E-2</v>
      </c>
      <c r="X1504" s="43">
        <f t="shared" si="335"/>
        <v>0.84074590100000002</v>
      </c>
      <c r="Y1504" s="43">
        <v>127.83696519999999</v>
      </c>
      <c r="Z1504" s="43">
        <f t="shared" si="324"/>
        <v>0</v>
      </c>
      <c r="AA1504" s="43">
        <f t="shared" si="325"/>
        <v>167507</v>
      </c>
      <c r="AB1504" s="43">
        <f t="shared" si="326"/>
        <v>52467</v>
      </c>
      <c r="AC1504" s="43">
        <f t="shared" si="336"/>
        <v>2.7401368684900142E-2</v>
      </c>
      <c r="AD1504" s="43">
        <f t="shared" si="337"/>
        <v>0.88062297462500005</v>
      </c>
      <c r="AF1504" s="43">
        <v>12.135792710383896</v>
      </c>
      <c r="AG1504" s="43">
        <v>3.4601628000000002E-2</v>
      </c>
      <c r="AH1504" s="43">
        <v>1.3479378E-2</v>
      </c>
      <c r="AI1504" s="43">
        <v>0.84097500599999997</v>
      </c>
      <c r="AJ1504" s="43">
        <v>2.8566507680000002</v>
      </c>
      <c r="AK1504" s="43">
        <v>6.8764438349999999</v>
      </c>
      <c r="AL1504" s="43">
        <v>8.8236340000000003E-3</v>
      </c>
      <c r="AM1504" s="230">
        <v>6.8159897117136423E-2</v>
      </c>
      <c r="AN1504" s="43">
        <v>0.84074590100000002</v>
      </c>
    </row>
    <row r="1505" spans="1:40" x14ac:dyDescent="0.25">
      <c r="A1505" s="134">
        <v>1495</v>
      </c>
      <c r="B1505" s="134" t="s">
        <v>196</v>
      </c>
      <c r="C1505" s="134" t="s">
        <v>61</v>
      </c>
      <c r="D1505" s="134" t="s">
        <v>197</v>
      </c>
      <c r="E1505" s="134">
        <v>58</v>
      </c>
      <c r="F1505" s="134">
        <v>195</v>
      </c>
      <c r="G1505" s="134">
        <v>10</v>
      </c>
      <c r="H1505" s="134">
        <v>49</v>
      </c>
      <c r="I1505" s="200">
        <v>2.14164397517E-2</v>
      </c>
      <c r="J1505" s="134">
        <v>244</v>
      </c>
      <c r="K1505" s="134">
        <v>11393.116821899999</v>
      </c>
      <c r="L1505" s="42">
        <v>0.82108642742500004</v>
      </c>
      <c r="M1505" s="42">
        <v>0.45794392523400002</v>
      </c>
      <c r="N1505" s="134">
        <v>1</v>
      </c>
      <c r="O1505" s="43" t="s">
        <v>664</v>
      </c>
      <c r="P1505" s="43">
        <f t="shared" si="327"/>
        <v>11.771124642758528</v>
      </c>
      <c r="Q1505" s="43">
        <f t="shared" si="328"/>
        <v>4.0287918999999998E-2</v>
      </c>
      <c r="R1505" s="43">
        <f t="shared" si="329"/>
        <v>1.5638755000000001E-2</v>
      </c>
      <c r="S1505" s="43">
        <f t="shared" si="330"/>
        <v>0.82108642700000001</v>
      </c>
      <c r="T1505" s="43">
        <f t="shared" si="331"/>
        <v>2.9674999999999998</v>
      </c>
      <c r="U1505" s="43">
        <f t="shared" si="332"/>
        <v>7.0556550839999996</v>
      </c>
      <c r="V1505" s="43">
        <f t="shared" si="333"/>
        <v>5.3891690000000001E-3</v>
      </c>
      <c r="W1505" s="230">
        <f t="shared" si="334"/>
        <v>6.8203904938598819E-2</v>
      </c>
      <c r="X1505" s="43">
        <f t="shared" si="335"/>
        <v>0.80051241299999998</v>
      </c>
      <c r="Y1505" s="43">
        <v>105.9938987</v>
      </c>
      <c r="Z1505" s="43">
        <f t="shared" si="324"/>
        <v>0</v>
      </c>
      <c r="AA1505" s="43">
        <f t="shared" si="325"/>
        <v>167507</v>
      </c>
      <c r="AB1505" s="43">
        <f t="shared" si="326"/>
        <v>52467</v>
      </c>
      <c r="AC1505" s="43">
        <f t="shared" si="336"/>
        <v>2.7401368684900142E-2</v>
      </c>
      <c r="AD1505" s="43">
        <f t="shared" si="337"/>
        <v>0.88062297462500005</v>
      </c>
      <c r="AF1505" s="43">
        <v>11.771124642758528</v>
      </c>
      <c r="AG1505" s="43">
        <v>4.0287918999999998E-2</v>
      </c>
      <c r="AH1505" s="43">
        <v>1.5638755000000001E-2</v>
      </c>
      <c r="AI1505" s="43">
        <v>0.82108642700000001</v>
      </c>
      <c r="AJ1505" s="43">
        <v>2.9674999999999998</v>
      </c>
      <c r="AK1505" s="43">
        <v>7.0556550839999996</v>
      </c>
      <c r="AL1505" s="43">
        <v>5.3891690000000001E-3</v>
      </c>
      <c r="AM1505" s="230">
        <v>6.8203904938598819E-2</v>
      </c>
      <c r="AN1505" s="43">
        <v>0.80051241299999998</v>
      </c>
    </row>
    <row r="1506" spans="1:40" x14ac:dyDescent="0.25">
      <c r="A1506" s="134">
        <v>1496</v>
      </c>
      <c r="B1506" s="134" t="s">
        <v>196</v>
      </c>
      <c r="C1506" s="134" t="s">
        <v>61</v>
      </c>
      <c r="D1506" s="134" t="s">
        <v>197</v>
      </c>
      <c r="E1506" s="134">
        <v>361</v>
      </c>
      <c r="F1506" s="134">
        <v>1204</v>
      </c>
      <c r="G1506" s="134">
        <v>39</v>
      </c>
      <c r="H1506" s="134">
        <v>178</v>
      </c>
      <c r="I1506" s="200">
        <v>8.8751738998799998E-2</v>
      </c>
      <c r="J1506" s="134">
        <v>1382</v>
      </c>
      <c r="K1506" s="134">
        <v>15571.525871899999</v>
      </c>
      <c r="L1506" s="42">
        <v>0.851719576122</v>
      </c>
      <c r="M1506" s="42">
        <v>0.33024118738399999</v>
      </c>
      <c r="N1506" s="134">
        <v>1</v>
      </c>
      <c r="O1506" s="43" t="s">
        <v>664</v>
      </c>
      <c r="P1506" s="43">
        <f t="shared" si="327"/>
        <v>12.72195487756667</v>
      </c>
      <c r="Q1506" s="43">
        <f t="shared" si="328"/>
        <v>3.8757624999999997E-2</v>
      </c>
      <c r="R1506" s="43">
        <f t="shared" si="329"/>
        <v>1.7098687000000001E-2</v>
      </c>
      <c r="S1506" s="43">
        <f t="shared" si="330"/>
        <v>0.85171957600000003</v>
      </c>
      <c r="T1506" s="43">
        <f t="shared" si="331"/>
        <v>3.3233738759999998</v>
      </c>
      <c r="U1506" s="43">
        <f t="shared" si="332"/>
        <v>8.3933231740000007</v>
      </c>
      <c r="V1506" s="43">
        <f t="shared" si="333"/>
        <v>9.5786350000000003E-3</v>
      </c>
      <c r="W1506" s="230">
        <f t="shared" si="334"/>
        <v>7.5614126901057774E-2</v>
      </c>
      <c r="X1506" s="43">
        <f t="shared" si="335"/>
        <v>0.86442425099999998</v>
      </c>
      <c r="Y1506" s="43">
        <v>140.19376270000001</v>
      </c>
      <c r="Z1506" s="43">
        <f t="shared" si="324"/>
        <v>0</v>
      </c>
      <c r="AA1506" s="43">
        <f t="shared" si="325"/>
        <v>167507</v>
      </c>
      <c r="AB1506" s="43">
        <f t="shared" si="326"/>
        <v>52467</v>
      </c>
      <c r="AC1506" s="43">
        <f t="shared" si="336"/>
        <v>2.7401368684900142E-2</v>
      </c>
      <c r="AD1506" s="43">
        <f t="shared" si="337"/>
        <v>0.88062297462500005</v>
      </c>
      <c r="AF1506" s="43">
        <v>12.72195487756667</v>
      </c>
      <c r="AG1506" s="43">
        <v>3.8757624999999997E-2</v>
      </c>
      <c r="AH1506" s="43">
        <v>1.7098687000000001E-2</v>
      </c>
      <c r="AI1506" s="43">
        <v>0.85171957600000003</v>
      </c>
      <c r="AJ1506" s="43">
        <v>3.3233738759999998</v>
      </c>
      <c r="AK1506" s="43">
        <v>8.3933231740000007</v>
      </c>
      <c r="AL1506" s="43">
        <v>9.5786350000000003E-3</v>
      </c>
      <c r="AM1506" s="230">
        <v>7.5614126901057774E-2</v>
      </c>
      <c r="AN1506" s="43">
        <v>0.86442425099999998</v>
      </c>
    </row>
    <row r="1507" spans="1:40" x14ac:dyDescent="0.25">
      <c r="A1507" s="134">
        <v>1497</v>
      </c>
      <c r="B1507" s="134" t="s">
        <v>196</v>
      </c>
      <c r="C1507" s="134" t="s">
        <v>61</v>
      </c>
      <c r="D1507" s="134" t="s">
        <v>197</v>
      </c>
      <c r="E1507" s="134">
        <v>78</v>
      </c>
      <c r="F1507" s="134">
        <v>259</v>
      </c>
      <c r="G1507" s="134">
        <v>12</v>
      </c>
      <c r="H1507" s="134">
        <v>51</v>
      </c>
      <c r="I1507" s="200">
        <v>2.8122190927699998E-2</v>
      </c>
      <c r="J1507" s="134">
        <v>310</v>
      </c>
      <c r="K1507" s="134">
        <v>11023.3232111</v>
      </c>
      <c r="L1507" s="42">
        <v>0.82832342400199999</v>
      </c>
      <c r="M1507" s="42">
        <v>0.39534883720899999</v>
      </c>
      <c r="N1507" s="134">
        <v>1</v>
      </c>
      <c r="O1507" s="43" t="s">
        <v>664</v>
      </c>
      <c r="P1507" s="43">
        <f t="shared" si="327"/>
        <v>11.983207084853593</v>
      </c>
      <c r="Q1507" s="43">
        <f t="shared" si="328"/>
        <v>3.7475916999999997E-2</v>
      </c>
      <c r="R1507" s="43">
        <f t="shared" si="329"/>
        <v>1.6055188000000001E-2</v>
      </c>
      <c r="S1507" s="43">
        <f t="shared" si="330"/>
        <v>0.82832342400000003</v>
      </c>
      <c r="T1507" s="43">
        <f t="shared" si="331"/>
        <v>3.0090090090000001</v>
      </c>
      <c r="U1507" s="43">
        <f t="shared" si="332"/>
        <v>7.2036177720000003</v>
      </c>
      <c r="V1507" s="43">
        <f t="shared" si="333"/>
        <v>6.7577710000000001E-3</v>
      </c>
      <c r="W1507" s="230">
        <f t="shared" si="334"/>
        <v>6.8328577864544215E-2</v>
      </c>
      <c r="X1507" s="43">
        <f t="shared" si="335"/>
        <v>0.81453671699999997</v>
      </c>
      <c r="Y1507" s="43">
        <v>184.6638336</v>
      </c>
      <c r="Z1507" s="43">
        <f t="shared" si="324"/>
        <v>0</v>
      </c>
      <c r="AA1507" s="43">
        <f t="shared" si="325"/>
        <v>167507</v>
      </c>
      <c r="AB1507" s="43">
        <f t="shared" si="326"/>
        <v>52467</v>
      </c>
      <c r="AC1507" s="43">
        <f t="shared" si="336"/>
        <v>2.7401368684900142E-2</v>
      </c>
      <c r="AD1507" s="43">
        <f t="shared" si="337"/>
        <v>0.88062297462500005</v>
      </c>
      <c r="AF1507" s="43">
        <v>11.983207084853593</v>
      </c>
      <c r="AG1507" s="43">
        <v>3.7475916999999997E-2</v>
      </c>
      <c r="AH1507" s="43">
        <v>1.6055188000000001E-2</v>
      </c>
      <c r="AI1507" s="43">
        <v>0.82832342400000003</v>
      </c>
      <c r="AJ1507" s="43">
        <v>3.0090090090000001</v>
      </c>
      <c r="AK1507" s="43">
        <v>7.2036177720000003</v>
      </c>
      <c r="AL1507" s="43">
        <v>6.7577710000000001E-3</v>
      </c>
      <c r="AM1507" s="230">
        <v>6.8328577864544215E-2</v>
      </c>
      <c r="AN1507" s="43">
        <v>0.81453671699999997</v>
      </c>
    </row>
    <row r="1508" spans="1:40" x14ac:dyDescent="0.25">
      <c r="A1508" s="134">
        <v>1498</v>
      </c>
      <c r="B1508" s="134" t="s">
        <v>196</v>
      </c>
      <c r="C1508" s="134" t="s">
        <v>61</v>
      </c>
      <c r="D1508" s="134" t="s">
        <v>197</v>
      </c>
      <c r="E1508" s="134">
        <v>280</v>
      </c>
      <c r="F1508" s="134">
        <v>923</v>
      </c>
      <c r="G1508" s="134">
        <v>42</v>
      </c>
      <c r="H1508" s="134">
        <v>450</v>
      </c>
      <c r="I1508" s="200">
        <v>8.3156095320799997E-2</v>
      </c>
      <c r="J1508" s="134">
        <v>1373</v>
      </c>
      <c r="K1508" s="134">
        <v>16511.116770199998</v>
      </c>
      <c r="L1508" s="42">
        <v>0.83488719602799999</v>
      </c>
      <c r="M1508" s="42">
        <v>0.616438356164</v>
      </c>
      <c r="N1508" s="134">
        <v>0</v>
      </c>
      <c r="O1508" s="43" t="s">
        <v>664</v>
      </c>
      <c r="P1508" s="43">
        <f t="shared" si="327"/>
        <v>12.188958343671962</v>
      </c>
      <c r="Q1508" s="43">
        <f t="shared" si="328"/>
        <v>3.2702171000000002E-2</v>
      </c>
      <c r="R1508" s="43">
        <f t="shared" si="329"/>
        <v>1.5765425999999999E-2</v>
      </c>
      <c r="S1508" s="43">
        <f t="shared" si="330"/>
        <v>0.83488719600000005</v>
      </c>
      <c r="T1508" s="43">
        <f t="shared" si="331"/>
        <v>3.075273224</v>
      </c>
      <c r="U1508" s="43">
        <f t="shared" si="332"/>
        <v>7.7396177789999996</v>
      </c>
      <c r="V1508" s="43">
        <f t="shared" si="333"/>
        <v>1.0816854000000001E-2</v>
      </c>
      <c r="W1508" s="230">
        <f t="shared" si="334"/>
        <v>6.3405639283328985E-2</v>
      </c>
      <c r="X1508" s="43">
        <f t="shared" si="335"/>
        <v>0.85026279900000001</v>
      </c>
      <c r="Y1508" s="43">
        <v>109.40668460000001</v>
      </c>
      <c r="Z1508" s="43">
        <f t="shared" si="324"/>
        <v>0</v>
      </c>
      <c r="AA1508" s="43">
        <f t="shared" si="325"/>
        <v>167507</v>
      </c>
      <c r="AB1508" s="43">
        <f t="shared" si="326"/>
        <v>52467</v>
      </c>
      <c r="AC1508" s="43">
        <f t="shared" si="336"/>
        <v>2.7401368684900142E-2</v>
      </c>
      <c r="AD1508" s="43">
        <f t="shared" si="337"/>
        <v>0.88062297462500005</v>
      </c>
      <c r="AF1508" s="43">
        <v>12.188958343671962</v>
      </c>
      <c r="AG1508" s="43">
        <v>3.2702171000000002E-2</v>
      </c>
      <c r="AH1508" s="43">
        <v>1.5765425999999999E-2</v>
      </c>
      <c r="AI1508" s="43">
        <v>0.83488719600000005</v>
      </c>
      <c r="AJ1508" s="43">
        <v>3.075273224</v>
      </c>
      <c r="AK1508" s="43">
        <v>7.7396177789999996</v>
      </c>
      <c r="AL1508" s="43">
        <v>1.0816854000000001E-2</v>
      </c>
      <c r="AM1508" s="230">
        <v>6.3405639283328985E-2</v>
      </c>
      <c r="AN1508" s="43">
        <v>0.85026279900000001</v>
      </c>
    </row>
    <row r="1509" spans="1:40" x14ac:dyDescent="0.25">
      <c r="A1509" s="134">
        <v>1499</v>
      </c>
      <c r="B1509" s="134" t="s">
        <v>196</v>
      </c>
      <c r="C1509" s="134" t="s">
        <v>61</v>
      </c>
      <c r="D1509" s="134" t="s">
        <v>197</v>
      </c>
      <c r="E1509" s="134">
        <v>7</v>
      </c>
      <c r="F1509" s="134">
        <v>16</v>
      </c>
      <c r="G1509" s="134">
        <v>14</v>
      </c>
      <c r="H1509" s="134">
        <v>127</v>
      </c>
      <c r="I1509" s="200">
        <v>2.43278727236E-2</v>
      </c>
      <c r="J1509" s="134">
        <v>143</v>
      </c>
      <c r="K1509" s="134">
        <v>5878.0314096700004</v>
      </c>
      <c r="L1509" s="42">
        <v>0.84057575381600003</v>
      </c>
      <c r="M1509" s="42">
        <v>0.94776119403000003</v>
      </c>
      <c r="N1509" s="134">
        <v>1</v>
      </c>
      <c r="O1509" s="43" t="s">
        <v>664</v>
      </c>
      <c r="P1509" s="43">
        <f t="shared" si="327"/>
        <v>11.126247218277662</v>
      </c>
      <c r="Q1509" s="43">
        <f t="shared" si="328"/>
        <v>3.1319022000000002E-2</v>
      </c>
      <c r="R1509" s="43">
        <f t="shared" si="329"/>
        <v>9.7282540000000004E-3</v>
      </c>
      <c r="S1509" s="43">
        <f t="shared" si="330"/>
        <v>0.84057575399999995</v>
      </c>
      <c r="T1509" s="43">
        <f t="shared" si="331"/>
        <v>2.757255937</v>
      </c>
      <c r="U1509" s="43">
        <f t="shared" si="332"/>
        <v>6.075320864</v>
      </c>
      <c r="V1509" s="43">
        <f t="shared" si="333"/>
        <v>6.0917970000000004E-3</v>
      </c>
      <c r="W1509" s="230">
        <f t="shared" si="334"/>
        <v>4.6738787942443023E-2</v>
      </c>
      <c r="X1509" s="43">
        <f t="shared" si="335"/>
        <v>0.81346497200000001</v>
      </c>
      <c r="Y1509" s="43">
        <v>129.46842240000001</v>
      </c>
      <c r="Z1509" s="43">
        <f t="shared" si="324"/>
        <v>0</v>
      </c>
      <c r="AA1509" s="43">
        <f t="shared" si="325"/>
        <v>167507</v>
      </c>
      <c r="AB1509" s="43">
        <f t="shared" si="326"/>
        <v>52467</v>
      </c>
      <c r="AC1509" s="43">
        <f t="shared" si="336"/>
        <v>2.7401368684900142E-2</v>
      </c>
      <c r="AD1509" s="43">
        <f t="shared" si="337"/>
        <v>0.88062297462500005</v>
      </c>
      <c r="AF1509" s="43">
        <v>11.126247218277662</v>
      </c>
      <c r="AG1509" s="43">
        <v>3.1319022000000002E-2</v>
      </c>
      <c r="AH1509" s="43">
        <v>9.7282540000000004E-3</v>
      </c>
      <c r="AI1509" s="43">
        <v>0.84057575399999995</v>
      </c>
      <c r="AJ1509" s="43">
        <v>2.757255937</v>
      </c>
      <c r="AK1509" s="43">
        <v>6.075320864</v>
      </c>
      <c r="AL1509" s="43">
        <v>6.0917970000000004E-3</v>
      </c>
      <c r="AM1509" s="230">
        <v>4.6738787942443023E-2</v>
      </c>
      <c r="AN1509" s="43">
        <v>0.81346497200000001</v>
      </c>
    </row>
    <row r="1510" spans="1:40" x14ac:dyDescent="0.25">
      <c r="A1510" s="134">
        <v>1500</v>
      </c>
      <c r="B1510" s="134" t="s">
        <v>196</v>
      </c>
      <c r="C1510" s="134" t="s">
        <v>61</v>
      </c>
      <c r="D1510" s="134" t="s">
        <v>197</v>
      </c>
      <c r="E1510" s="134">
        <v>634</v>
      </c>
      <c r="F1510" s="134">
        <v>2256</v>
      </c>
      <c r="G1510" s="134">
        <v>104</v>
      </c>
      <c r="H1510" s="134">
        <v>148</v>
      </c>
      <c r="I1510" s="200">
        <v>0.260696854654</v>
      </c>
      <c r="J1510" s="134">
        <v>2404</v>
      </c>
      <c r="K1510" s="134">
        <v>9221.4384526899994</v>
      </c>
      <c r="L1510" s="42">
        <v>0.84169547831400005</v>
      </c>
      <c r="M1510" s="42">
        <v>0.18925831202000001</v>
      </c>
      <c r="N1510" s="134">
        <v>1</v>
      </c>
      <c r="O1510" s="43" t="s">
        <v>666</v>
      </c>
      <c r="P1510" s="43">
        <f t="shared" si="327"/>
        <v>12.940470253622955</v>
      </c>
      <c r="Q1510" s="43">
        <f t="shared" si="328"/>
        <v>3.7204552000000002E-2</v>
      </c>
      <c r="R1510" s="43">
        <f t="shared" si="329"/>
        <v>3.782713E-2</v>
      </c>
      <c r="S1510" s="43">
        <f t="shared" si="330"/>
        <v>0.841695478</v>
      </c>
      <c r="T1510" s="43">
        <f t="shared" si="331"/>
        <v>2.9570476349999999</v>
      </c>
      <c r="U1510" s="43">
        <f t="shared" si="332"/>
        <v>9.1479817780000001</v>
      </c>
      <c r="V1510" s="43">
        <f t="shared" si="333"/>
        <v>5.5886390000000003E-3</v>
      </c>
      <c r="W1510" s="230">
        <f t="shared" si="334"/>
        <v>7.3882741908214825E-2</v>
      </c>
      <c r="X1510" s="43">
        <f t="shared" si="335"/>
        <v>0.89303627399999996</v>
      </c>
      <c r="Y1510" s="43">
        <v>101.7547503</v>
      </c>
      <c r="Z1510" s="43">
        <f t="shared" si="324"/>
        <v>0</v>
      </c>
      <c r="AA1510" s="43">
        <f t="shared" si="325"/>
        <v>167507</v>
      </c>
      <c r="AB1510" s="43">
        <f t="shared" si="326"/>
        <v>52467</v>
      </c>
      <c r="AC1510" s="43">
        <f t="shared" si="336"/>
        <v>2.7401368684900142E-2</v>
      </c>
      <c r="AD1510" s="43">
        <f t="shared" si="337"/>
        <v>0.88062297462500005</v>
      </c>
      <c r="AF1510" s="43">
        <v>12.940470253622955</v>
      </c>
      <c r="AG1510" s="43">
        <v>3.7204552000000002E-2</v>
      </c>
      <c r="AH1510" s="43">
        <v>3.782713E-2</v>
      </c>
      <c r="AI1510" s="43">
        <v>0.841695478</v>
      </c>
      <c r="AJ1510" s="43">
        <v>2.9570476349999999</v>
      </c>
      <c r="AK1510" s="43">
        <v>9.1479817780000001</v>
      </c>
      <c r="AL1510" s="43">
        <v>5.5886390000000003E-3</v>
      </c>
      <c r="AM1510" s="230">
        <v>7.3882741908214825E-2</v>
      </c>
      <c r="AN1510" s="43">
        <v>0.89303627399999996</v>
      </c>
    </row>
    <row r="1511" spans="1:40" x14ac:dyDescent="0.25">
      <c r="A1511" s="134">
        <v>1501</v>
      </c>
      <c r="B1511" s="134" t="s">
        <v>196</v>
      </c>
      <c r="C1511" s="134" t="s">
        <v>61</v>
      </c>
      <c r="D1511" s="134" t="s">
        <v>197</v>
      </c>
      <c r="E1511" s="134">
        <v>100</v>
      </c>
      <c r="F1511" s="134">
        <v>355</v>
      </c>
      <c r="G1511" s="134">
        <v>27</v>
      </c>
      <c r="H1511" s="134">
        <v>131</v>
      </c>
      <c r="I1511" s="200">
        <v>5.2111494559500003E-2</v>
      </c>
      <c r="J1511" s="134">
        <v>486</v>
      </c>
      <c r="K1511" s="134">
        <v>9326.1573882699995</v>
      </c>
      <c r="L1511" s="42">
        <v>0.86922293980400001</v>
      </c>
      <c r="M1511" s="42">
        <v>0.56709956709999998</v>
      </c>
      <c r="N1511" s="134">
        <v>1</v>
      </c>
      <c r="O1511" s="43" t="s">
        <v>666</v>
      </c>
      <c r="P1511" s="43">
        <f t="shared" si="327"/>
        <v>12.762779785227902</v>
      </c>
      <c r="Q1511" s="43">
        <f t="shared" si="328"/>
        <v>3.6821863000000003E-2</v>
      </c>
      <c r="R1511" s="43">
        <f t="shared" si="329"/>
        <v>1.326776E-2</v>
      </c>
      <c r="S1511" s="43">
        <f t="shared" si="330"/>
        <v>0.86922294</v>
      </c>
      <c r="T1511" s="43">
        <f t="shared" si="331"/>
        <v>3.2803004439999999</v>
      </c>
      <c r="U1511" s="43">
        <f t="shared" si="332"/>
        <v>8.0690884950000008</v>
      </c>
      <c r="V1511" s="43">
        <f t="shared" si="333"/>
        <v>6.8472649999999999E-3</v>
      </c>
      <c r="W1511" s="230">
        <f t="shared" si="334"/>
        <v>6.9183566564394214E-2</v>
      </c>
      <c r="X1511" s="43">
        <f t="shared" si="335"/>
        <v>0.85605777100000002</v>
      </c>
      <c r="Y1511" s="43">
        <v>134.75486509999999</v>
      </c>
      <c r="Z1511" s="43">
        <f t="shared" si="324"/>
        <v>0</v>
      </c>
      <c r="AA1511" s="43">
        <f t="shared" si="325"/>
        <v>167507</v>
      </c>
      <c r="AB1511" s="43">
        <f t="shared" si="326"/>
        <v>52467</v>
      </c>
      <c r="AC1511" s="43">
        <f t="shared" si="336"/>
        <v>2.7401368684900142E-2</v>
      </c>
      <c r="AD1511" s="43">
        <f t="shared" si="337"/>
        <v>0.88062297462500005</v>
      </c>
      <c r="AF1511" s="43">
        <v>12.762779785227902</v>
      </c>
      <c r="AG1511" s="43">
        <v>3.6821863000000003E-2</v>
      </c>
      <c r="AH1511" s="43">
        <v>1.326776E-2</v>
      </c>
      <c r="AI1511" s="43">
        <v>0.86922294</v>
      </c>
      <c r="AJ1511" s="43">
        <v>3.2803004439999999</v>
      </c>
      <c r="AK1511" s="43">
        <v>8.0690884950000008</v>
      </c>
      <c r="AL1511" s="43">
        <v>6.8472649999999999E-3</v>
      </c>
      <c r="AM1511" s="230">
        <v>6.9183566564394214E-2</v>
      </c>
      <c r="AN1511" s="43">
        <v>0.85605777100000002</v>
      </c>
    </row>
    <row r="1512" spans="1:40" x14ac:dyDescent="0.25">
      <c r="A1512" s="134">
        <v>1502</v>
      </c>
      <c r="B1512" s="134" t="s">
        <v>196</v>
      </c>
      <c r="C1512" s="134" t="s">
        <v>61</v>
      </c>
      <c r="D1512" s="134" t="s">
        <v>197</v>
      </c>
      <c r="E1512" s="134">
        <v>87</v>
      </c>
      <c r="F1512" s="134">
        <v>311</v>
      </c>
      <c r="G1512" s="134">
        <v>14</v>
      </c>
      <c r="H1512" s="134">
        <v>21</v>
      </c>
      <c r="I1512" s="200">
        <v>3.5550090158200001E-2</v>
      </c>
      <c r="J1512" s="134">
        <v>332</v>
      </c>
      <c r="K1512" s="134">
        <v>9338.9355279499996</v>
      </c>
      <c r="L1512" s="42">
        <v>0.69694771420799995</v>
      </c>
      <c r="M1512" s="42">
        <v>0.194444444444</v>
      </c>
      <c r="N1512" s="134">
        <v>1</v>
      </c>
      <c r="O1512" s="43" t="s">
        <v>666</v>
      </c>
      <c r="P1512" s="43">
        <f t="shared" si="327"/>
        <v>12.27229094958852</v>
      </c>
      <c r="Q1512" s="43">
        <f t="shared" si="328"/>
        <v>4.0610457000000003E-2</v>
      </c>
      <c r="R1512" s="43">
        <f t="shared" si="329"/>
        <v>0.133848891</v>
      </c>
      <c r="S1512" s="43">
        <f t="shared" si="330"/>
        <v>0.696947714</v>
      </c>
      <c r="T1512" s="43">
        <f t="shared" si="331"/>
        <v>2.7192120750000002</v>
      </c>
      <c r="U1512" s="43">
        <f t="shared" si="332"/>
        <v>7.7007412950000003</v>
      </c>
      <c r="V1512" s="43">
        <f t="shared" si="333"/>
        <v>3.3064679999999999E-3</v>
      </c>
      <c r="W1512" s="230">
        <f t="shared" si="334"/>
        <v>7.356891919818144E-2</v>
      </c>
      <c r="X1512" s="43">
        <f t="shared" si="335"/>
        <v>0.84025625100000001</v>
      </c>
      <c r="Y1512" s="43">
        <v>4.4742046210000002</v>
      </c>
      <c r="Z1512" s="43">
        <f t="shared" si="324"/>
        <v>0</v>
      </c>
      <c r="AA1512" s="43">
        <f t="shared" si="325"/>
        <v>167507</v>
      </c>
      <c r="AB1512" s="43">
        <f t="shared" si="326"/>
        <v>52467</v>
      </c>
      <c r="AC1512" s="43">
        <f t="shared" si="336"/>
        <v>2.7401368684900142E-2</v>
      </c>
      <c r="AD1512" s="43">
        <f t="shared" si="337"/>
        <v>0.88062297462500005</v>
      </c>
      <c r="AF1512" s="43">
        <v>12.27229094958852</v>
      </c>
      <c r="AG1512" s="43">
        <v>4.0610457000000003E-2</v>
      </c>
      <c r="AH1512" s="43">
        <v>0.133848891</v>
      </c>
      <c r="AI1512" s="43">
        <v>0.696947714</v>
      </c>
      <c r="AJ1512" s="43">
        <v>2.7192120750000002</v>
      </c>
      <c r="AK1512" s="43">
        <v>7.7007412950000003</v>
      </c>
      <c r="AL1512" s="43">
        <v>3.3064679999999999E-3</v>
      </c>
      <c r="AM1512" s="230">
        <v>7.356891919818144E-2</v>
      </c>
      <c r="AN1512" s="43">
        <v>0.84025625100000001</v>
      </c>
    </row>
    <row r="1513" spans="1:40" x14ac:dyDescent="0.25">
      <c r="A1513" s="134">
        <v>1503</v>
      </c>
      <c r="B1513" s="134" t="s">
        <v>196</v>
      </c>
      <c r="C1513" s="134" t="s">
        <v>61</v>
      </c>
      <c r="D1513" s="134" t="s">
        <v>197</v>
      </c>
      <c r="E1513" s="134">
        <v>1213</v>
      </c>
      <c r="F1513" s="134">
        <v>4742</v>
      </c>
      <c r="G1513" s="134">
        <v>77</v>
      </c>
      <c r="H1513" s="134">
        <v>252</v>
      </c>
      <c r="I1513" s="200">
        <v>0.18661619958299999</v>
      </c>
      <c r="J1513" s="134">
        <v>4994</v>
      </c>
      <c r="K1513" s="134">
        <v>26760.806463500001</v>
      </c>
      <c r="L1513" s="42">
        <v>0.80637757318900005</v>
      </c>
      <c r="M1513" s="42">
        <v>0.17201365187699999</v>
      </c>
      <c r="N1513" s="134">
        <v>1</v>
      </c>
      <c r="O1513" s="43" t="s">
        <v>664</v>
      </c>
      <c r="P1513" s="43">
        <f t="shared" si="327"/>
        <v>13.182497302013502</v>
      </c>
      <c r="Q1513" s="43">
        <f t="shared" si="328"/>
        <v>5.1996698000000001E-2</v>
      </c>
      <c r="R1513" s="43">
        <f t="shared" si="329"/>
        <v>1.9601477999999999E-2</v>
      </c>
      <c r="S1513" s="43">
        <f t="shared" si="330"/>
        <v>0.80637757300000001</v>
      </c>
      <c r="T1513" s="43">
        <f t="shared" si="331"/>
        <v>3.0952551540000002</v>
      </c>
      <c r="U1513" s="43">
        <f t="shared" si="332"/>
        <v>8.7932630029999999</v>
      </c>
      <c r="V1513" s="43">
        <f t="shared" si="333"/>
        <v>1.2659144000000001E-2</v>
      </c>
      <c r="W1513" s="230">
        <f t="shared" si="334"/>
        <v>0.11550305886243388</v>
      </c>
      <c r="X1513" s="43">
        <f t="shared" si="335"/>
        <v>0.82096354199999999</v>
      </c>
      <c r="Y1513" s="43">
        <v>76.395623749999999</v>
      </c>
      <c r="Z1513" s="43">
        <f t="shared" si="324"/>
        <v>0</v>
      </c>
      <c r="AA1513" s="43">
        <f t="shared" si="325"/>
        <v>167507</v>
      </c>
      <c r="AB1513" s="43">
        <f t="shared" si="326"/>
        <v>52467</v>
      </c>
      <c r="AC1513" s="43">
        <f t="shared" si="336"/>
        <v>2.7401368684900142E-2</v>
      </c>
      <c r="AD1513" s="43">
        <f t="shared" si="337"/>
        <v>0.88062297462500005</v>
      </c>
      <c r="AF1513" s="43">
        <v>13.182497302013502</v>
      </c>
      <c r="AG1513" s="43">
        <v>5.1996698000000001E-2</v>
      </c>
      <c r="AH1513" s="43">
        <v>1.9601477999999999E-2</v>
      </c>
      <c r="AI1513" s="43">
        <v>0.80637757300000001</v>
      </c>
      <c r="AJ1513" s="43">
        <v>3.0952551540000002</v>
      </c>
      <c r="AK1513" s="43">
        <v>8.7932630029999999</v>
      </c>
      <c r="AL1513" s="43">
        <v>1.2659144000000001E-2</v>
      </c>
      <c r="AM1513" s="230">
        <v>0.11550305886243388</v>
      </c>
      <c r="AN1513" s="43">
        <v>0.82096354199999999</v>
      </c>
    </row>
    <row r="1514" spans="1:40" x14ac:dyDescent="0.25">
      <c r="A1514" s="134">
        <v>1504</v>
      </c>
      <c r="B1514" s="134" t="s">
        <v>196</v>
      </c>
      <c r="C1514" s="134" t="s">
        <v>61</v>
      </c>
      <c r="D1514" s="134" t="s">
        <v>197</v>
      </c>
      <c r="E1514" s="134">
        <v>1361</v>
      </c>
      <c r="F1514" s="134">
        <v>4206</v>
      </c>
      <c r="G1514" s="134">
        <v>228</v>
      </c>
      <c r="H1514" s="134">
        <v>339</v>
      </c>
      <c r="I1514" s="200">
        <v>0.41298588329899999</v>
      </c>
      <c r="J1514" s="134">
        <v>4545</v>
      </c>
      <c r="K1514" s="134">
        <v>11005.218783</v>
      </c>
      <c r="L1514" s="42">
        <v>0.86815677715700001</v>
      </c>
      <c r="M1514" s="42">
        <v>0.199411764706</v>
      </c>
      <c r="N1514" s="134">
        <v>1</v>
      </c>
      <c r="O1514" s="43" t="s">
        <v>666</v>
      </c>
      <c r="P1514" s="43">
        <f t="shared" si="327"/>
        <v>12.802553926922645</v>
      </c>
      <c r="Q1514" s="43">
        <f t="shared" si="328"/>
        <v>2.2644583999999999E-2</v>
      </c>
      <c r="R1514" s="43">
        <f t="shared" si="329"/>
        <v>1.4342073E-2</v>
      </c>
      <c r="S1514" s="43">
        <f t="shared" si="330"/>
        <v>0.86815677700000005</v>
      </c>
      <c r="T1514" s="43">
        <f t="shared" si="331"/>
        <v>3.233314343</v>
      </c>
      <c r="U1514" s="43">
        <f t="shared" si="332"/>
        <v>8.6900339280000001</v>
      </c>
      <c r="V1514" s="43">
        <f t="shared" si="333"/>
        <v>5.8380080000000004E-3</v>
      </c>
      <c r="W1514" s="230">
        <f t="shared" si="334"/>
        <v>5.0597724469904917E-2</v>
      </c>
      <c r="X1514" s="43">
        <f t="shared" si="335"/>
        <v>0.90129092600000005</v>
      </c>
      <c r="Y1514" s="43">
        <v>153.0449035</v>
      </c>
      <c r="Z1514" s="43">
        <f t="shared" si="324"/>
        <v>0</v>
      </c>
      <c r="AA1514" s="43">
        <f t="shared" si="325"/>
        <v>167507</v>
      </c>
      <c r="AB1514" s="43">
        <f t="shared" si="326"/>
        <v>52467</v>
      </c>
      <c r="AC1514" s="43">
        <f t="shared" si="336"/>
        <v>2.7401368684900142E-2</v>
      </c>
      <c r="AD1514" s="43">
        <f t="shared" si="337"/>
        <v>0.88062297462500005</v>
      </c>
      <c r="AF1514" s="43">
        <v>12.802553926922645</v>
      </c>
      <c r="AG1514" s="43">
        <v>2.2644583999999999E-2</v>
      </c>
      <c r="AH1514" s="43">
        <v>1.4342073E-2</v>
      </c>
      <c r="AI1514" s="43">
        <v>0.86815677700000005</v>
      </c>
      <c r="AJ1514" s="43">
        <v>3.233314343</v>
      </c>
      <c r="AK1514" s="43">
        <v>8.6900339280000001</v>
      </c>
      <c r="AL1514" s="43">
        <v>5.8380080000000004E-3</v>
      </c>
      <c r="AM1514" s="230">
        <v>5.0597724469904917E-2</v>
      </c>
      <c r="AN1514" s="43">
        <v>0.90129092600000005</v>
      </c>
    </row>
    <row r="1515" spans="1:40" x14ac:dyDescent="0.25">
      <c r="A1515" s="134">
        <v>1505</v>
      </c>
      <c r="B1515" s="134" t="s">
        <v>196</v>
      </c>
      <c r="C1515" s="134" t="s">
        <v>61</v>
      </c>
      <c r="D1515" s="134" t="s">
        <v>197</v>
      </c>
      <c r="E1515" s="134">
        <v>239</v>
      </c>
      <c r="F1515" s="134">
        <v>804</v>
      </c>
      <c r="G1515" s="134">
        <v>57</v>
      </c>
      <c r="H1515" s="134">
        <v>62</v>
      </c>
      <c r="I1515" s="200">
        <v>9.1086098061299997E-2</v>
      </c>
      <c r="J1515" s="134">
        <v>866</v>
      </c>
      <c r="K1515" s="134">
        <v>9507.4881725300002</v>
      </c>
      <c r="L1515" s="42">
        <v>0.86737613079599996</v>
      </c>
      <c r="M1515" s="42">
        <v>0.205980066445</v>
      </c>
      <c r="N1515" s="134">
        <v>0</v>
      </c>
      <c r="O1515" s="43" t="s">
        <v>666</v>
      </c>
      <c r="P1515" s="43">
        <f t="shared" si="327"/>
        <v>12.599017470188496</v>
      </c>
      <c r="Q1515" s="43">
        <f t="shared" si="328"/>
        <v>2.6302656000000001E-2</v>
      </c>
      <c r="R1515" s="43">
        <f t="shared" si="329"/>
        <v>1.4866413E-2</v>
      </c>
      <c r="S1515" s="43">
        <f t="shared" si="330"/>
        <v>0.86737613099999999</v>
      </c>
      <c r="T1515" s="43">
        <f t="shared" si="331"/>
        <v>3.3580188679999998</v>
      </c>
      <c r="U1515" s="43">
        <f t="shared" si="332"/>
        <v>8.7757345010000005</v>
      </c>
      <c r="V1515" s="43">
        <f t="shared" si="333"/>
        <v>3.978395E-3</v>
      </c>
      <c r="W1515" s="230">
        <f t="shared" si="334"/>
        <v>5.53286786984587E-2</v>
      </c>
      <c r="X1515" s="43">
        <f t="shared" si="335"/>
        <v>0.88378342799999998</v>
      </c>
      <c r="Y1515" s="43">
        <v>94.891528859999994</v>
      </c>
      <c r="Z1515" s="43">
        <f t="shared" si="324"/>
        <v>0</v>
      </c>
      <c r="AA1515" s="43">
        <f t="shared" si="325"/>
        <v>167507</v>
      </c>
      <c r="AB1515" s="43">
        <f t="shared" si="326"/>
        <v>52467</v>
      </c>
      <c r="AC1515" s="43">
        <f t="shared" si="336"/>
        <v>2.7401368684900142E-2</v>
      </c>
      <c r="AD1515" s="43">
        <f t="shared" si="337"/>
        <v>0.88062297462500005</v>
      </c>
      <c r="AF1515" s="43">
        <v>12.599017470188496</v>
      </c>
      <c r="AG1515" s="43">
        <v>2.6302656000000001E-2</v>
      </c>
      <c r="AH1515" s="43">
        <v>1.4866413E-2</v>
      </c>
      <c r="AI1515" s="43">
        <v>0.86737613099999999</v>
      </c>
      <c r="AJ1515" s="43">
        <v>3.3580188679999998</v>
      </c>
      <c r="AK1515" s="43">
        <v>8.7757345010000005</v>
      </c>
      <c r="AL1515" s="43">
        <v>3.978395E-3</v>
      </c>
      <c r="AM1515" s="230">
        <v>5.53286786984587E-2</v>
      </c>
      <c r="AN1515" s="43">
        <v>0.88378342799999998</v>
      </c>
    </row>
    <row r="1516" spans="1:40" x14ac:dyDescent="0.25">
      <c r="A1516" s="134">
        <v>1506</v>
      </c>
      <c r="B1516" s="134" t="s">
        <v>196</v>
      </c>
      <c r="C1516" s="134" t="s">
        <v>61</v>
      </c>
      <c r="D1516" s="134" t="s">
        <v>197</v>
      </c>
      <c r="E1516" s="134">
        <v>753</v>
      </c>
      <c r="F1516" s="134">
        <v>2534</v>
      </c>
      <c r="G1516" s="134">
        <v>101</v>
      </c>
      <c r="H1516" s="134">
        <v>245</v>
      </c>
      <c r="I1516" s="200">
        <v>0.15906198019100001</v>
      </c>
      <c r="J1516" s="134">
        <v>2779</v>
      </c>
      <c r="K1516" s="134">
        <v>17471.1769379</v>
      </c>
      <c r="L1516" s="42">
        <v>0.86139853317600001</v>
      </c>
      <c r="M1516" s="42">
        <v>0.24549098196399999</v>
      </c>
      <c r="N1516" s="134">
        <v>0</v>
      </c>
      <c r="O1516" s="43" t="s">
        <v>666</v>
      </c>
      <c r="P1516" s="43">
        <f t="shared" si="327"/>
        <v>12.801878422083776</v>
      </c>
      <c r="Q1516" s="43">
        <f t="shared" si="328"/>
        <v>3.2427251999999997E-2</v>
      </c>
      <c r="R1516" s="43">
        <f t="shared" si="329"/>
        <v>1.5257471E-2</v>
      </c>
      <c r="S1516" s="43">
        <f t="shared" si="330"/>
        <v>0.86139853300000002</v>
      </c>
      <c r="T1516" s="43">
        <f t="shared" si="331"/>
        <v>3.32063335</v>
      </c>
      <c r="U1516" s="43">
        <f t="shared" si="332"/>
        <v>8.7436189520000003</v>
      </c>
      <c r="V1516" s="43">
        <f t="shared" si="333"/>
        <v>6.5845790000000001E-3</v>
      </c>
      <c r="W1516" s="230">
        <f t="shared" si="334"/>
        <v>6.8726047892214509E-2</v>
      </c>
      <c r="X1516" s="43">
        <f t="shared" si="335"/>
        <v>0.874796982</v>
      </c>
      <c r="Y1516" s="43">
        <v>53.659069029999998</v>
      </c>
      <c r="Z1516" s="43">
        <f t="shared" si="324"/>
        <v>0</v>
      </c>
      <c r="AA1516" s="43">
        <f t="shared" si="325"/>
        <v>167507</v>
      </c>
      <c r="AB1516" s="43">
        <f t="shared" si="326"/>
        <v>52467</v>
      </c>
      <c r="AC1516" s="43">
        <f t="shared" si="336"/>
        <v>2.7401368684900142E-2</v>
      </c>
      <c r="AD1516" s="43">
        <f t="shared" si="337"/>
        <v>0.88062297462500005</v>
      </c>
      <c r="AF1516" s="43">
        <v>12.801878422083776</v>
      </c>
      <c r="AG1516" s="43">
        <v>3.2427251999999997E-2</v>
      </c>
      <c r="AH1516" s="43">
        <v>1.5257471E-2</v>
      </c>
      <c r="AI1516" s="43">
        <v>0.86139853300000002</v>
      </c>
      <c r="AJ1516" s="43">
        <v>3.32063335</v>
      </c>
      <c r="AK1516" s="43">
        <v>8.7436189520000003</v>
      </c>
      <c r="AL1516" s="43">
        <v>6.5845790000000001E-3</v>
      </c>
      <c r="AM1516" s="230">
        <v>6.8726047892214509E-2</v>
      </c>
      <c r="AN1516" s="43">
        <v>0.874796982</v>
      </c>
    </row>
    <row r="1517" spans="1:40" x14ac:dyDescent="0.25">
      <c r="A1517" s="134">
        <v>1507</v>
      </c>
      <c r="B1517" s="134" t="s">
        <v>196</v>
      </c>
      <c r="C1517" s="134" t="s">
        <v>61</v>
      </c>
      <c r="D1517" s="134" t="s">
        <v>197</v>
      </c>
      <c r="E1517" s="134">
        <v>66</v>
      </c>
      <c r="F1517" s="134">
        <v>193</v>
      </c>
      <c r="G1517" s="134">
        <v>380</v>
      </c>
      <c r="H1517" s="134">
        <v>18</v>
      </c>
      <c r="I1517" s="200">
        <v>0.60957840582199996</v>
      </c>
      <c r="J1517" s="134">
        <v>211</v>
      </c>
      <c r="K1517" s="134">
        <v>346.140870452</v>
      </c>
      <c r="L1517" s="42">
        <v>0.94448035996000002</v>
      </c>
      <c r="M1517" s="42">
        <v>0.21428571428599999</v>
      </c>
      <c r="N1517" s="134">
        <v>0</v>
      </c>
      <c r="O1517" s="43" t="s">
        <v>665</v>
      </c>
      <c r="P1517" s="43">
        <f t="shared" si="327"/>
        <v>17.370447681556037</v>
      </c>
      <c r="Q1517" s="43">
        <f t="shared" si="328"/>
        <v>1.3136459E-2</v>
      </c>
      <c r="R1517" s="43">
        <f t="shared" si="329"/>
        <v>9.3868790000000008E-3</v>
      </c>
      <c r="S1517" s="43">
        <f t="shared" si="330"/>
        <v>0.94448036000000002</v>
      </c>
      <c r="T1517" s="43">
        <f t="shared" si="331"/>
        <v>6.9972299170000003</v>
      </c>
      <c r="U1517" s="43">
        <f t="shared" si="332"/>
        <v>15.370866120000001</v>
      </c>
      <c r="V1517" s="43">
        <f t="shared" si="333"/>
        <v>1.7724200000000001E-4</v>
      </c>
      <c r="W1517" s="230">
        <f t="shared" si="334"/>
        <v>3.6423254165189649E-2</v>
      </c>
      <c r="X1517" s="43">
        <f t="shared" si="335"/>
        <v>0.89330024799999996</v>
      </c>
      <c r="Y1517" s="43">
        <v>17.425042919999999</v>
      </c>
      <c r="Z1517" s="43">
        <f t="shared" si="324"/>
        <v>0</v>
      </c>
      <c r="AA1517" s="43">
        <f t="shared" si="325"/>
        <v>167507</v>
      </c>
      <c r="AB1517" s="43">
        <f t="shared" si="326"/>
        <v>52467</v>
      </c>
      <c r="AC1517" s="43">
        <f t="shared" si="336"/>
        <v>2.7401368684900142E-2</v>
      </c>
      <c r="AD1517" s="43">
        <f t="shared" si="337"/>
        <v>0.88062297462500005</v>
      </c>
      <c r="AF1517" s="43">
        <v>17.370447681556037</v>
      </c>
      <c r="AG1517" s="43">
        <v>1.3136459E-2</v>
      </c>
      <c r="AH1517" s="43">
        <v>9.3868790000000008E-3</v>
      </c>
      <c r="AI1517" s="43">
        <v>0.94448036000000002</v>
      </c>
      <c r="AJ1517" s="43">
        <v>6.9972299170000003</v>
      </c>
      <c r="AK1517" s="43">
        <v>15.370866120000001</v>
      </c>
      <c r="AL1517" s="43">
        <v>1.7724200000000001E-4</v>
      </c>
      <c r="AM1517" s="230">
        <v>3.6423254165189649E-2</v>
      </c>
      <c r="AN1517" s="43">
        <v>0.89330024799999996</v>
      </c>
    </row>
    <row r="1518" spans="1:40" x14ac:dyDescent="0.25">
      <c r="A1518" s="134">
        <v>1508</v>
      </c>
      <c r="B1518" s="134" t="s">
        <v>208</v>
      </c>
      <c r="C1518" s="134" t="s">
        <v>218</v>
      </c>
      <c r="D1518" s="134" t="s">
        <v>219</v>
      </c>
      <c r="E1518" s="134">
        <v>0</v>
      </c>
      <c r="F1518" s="134">
        <v>0</v>
      </c>
      <c r="G1518" s="134">
        <v>27</v>
      </c>
      <c r="H1518" s="134">
        <v>162</v>
      </c>
      <c r="I1518" s="200">
        <v>4.4521064035899997E-2</v>
      </c>
      <c r="J1518" s="134">
        <v>162</v>
      </c>
      <c r="K1518" s="134">
        <v>3638.72704995</v>
      </c>
      <c r="L1518" s="42">
        <v>0.89904681410499998</v>
      </c>
      <c r="M1518" s="42">
        <v>1</v>
      </c>
      <c r="N1518" s="134">
        <v>0</v>
      </c>
      <c r="O1518" s="43" t="s">
        <v>666</v>
      </c>
      <c r="P1518" s="43">
        <f t="shared" si="327"/>
        <v>11.178308258814077</v>
      </c>
      <c r="Q1518" s="43">
        <f t="shared" si="328"/>
        <v>1.9204583000000001E-2</v>
      </c>
      <c r="R1518" s="43">
        <f t="shared" si="329"/>
        <v>7.3719299999999996E-3</v>
      </c>
      <c r="S1518" s="43">
        <f t="shared" si="330"/>
        <v>0.89904681399999997</v>
      </c>
      <c r="T1518" s="43">
        <f t="shared" si="331"/>
        <v>4.3722397480000001</v>
      </c>
      <c r="U1518" s="43">
        <f t="shared" si="332"/>
        <v>7.2582467560000001</v>
      </c>
      <c r="V1518" s="43">
        <f t="shared" si="333"/>
        <v>4.662841E-3</v>
      </c>
      <c r="W1518" s="230">
        <f t="shared" si="334"/>
        <v>1.9607843137254902E-2</v>
      </c>
      <c r="X1518" s="43">
        <f t="shared" si="335"/>
        <v>0.89646102299999997</v>
      </c>
      <c r="Y1518" s="43">
        <v>30.56816092</v>
      </c>
      <c r="Z1518" s="43">
        <f t="shared" si="324"/>
        <v>0</v>
      </c>
      <c r="AA1518" s="43">
        <f t="shared" si="325"/>
        <v>73980</v>
      </c>
      <c r="AB1518" s="43">
        <f t="shared" si="326"/>
        <v>21707</v>
      </c>
      <c r="AC1518" s="43">
        <f t="shared" si="336"/>
        <v>2.9903742718750001E-2</v>
      </c>
      <c r="AD1518" s="43">
        <f t="shared" si="337"/>
        <v>0.88755862149999987</v>
      </c>
      <c r="AF1518" s="43">
        <v>11.178308258814077</v>
      </c>
      <c r="AG1518" s="43">
        <v>1.9204583000000001E-2</v>
      </c>
      <c r="AH1518" s="43">
        <v>7.3719299999999996E-3</v>
      </c>
      <c r="AI1518" s="43">
        <v>0.89904681399999997</v>
      </c>
      <c r="AJ1518" s="43">
        <v>4.3722397480000001</v>
      </c>
      <c r="AK1518" s="43">
        <v>7.2582467560000001</v>
      </c>
      <c r="AL1518" s="43">
        <v>4.662841E-3</v>
      </c>
      <c r="AM1518" s="230">
        <v>1.9607843137254902E-2</v>
      </c>
      <c r="AN1518" s="43">
        <v>0.89646102299999997</v>
      </c>
    </row>
    <row r="1519" spans="1:40" x14ac:dyDescent="0.25">
      <c r="A1519" s="134">
        <v>1509</v>
      </c>
      <c r="B1519" s="134" t="s">
        <v>208</v>
      </c>
      <c r="C1519" s="134" t="s">
        <v>218</v>
      </c>
      <c r="D1519" s="134" t="s">
        <v>219</v>
      </c>
      <c r="E1519" s="134">
        <v>825</v>
      </c>
      <c r="F1519" s="134">
        <v>2933</v>
      </c>
      <c r="G1519" s="134">
        <v>229</v>
      </c>
      <c r="H1519" s="134">
        <v>220</v>
      </c>
      <c r="I1519" s="200">
        <v>0.56238847342599996</v>
      </c>
      <c r="J1519" s="134">
        <v>3153</v>
      </c>
      <c r="K1519" s="134">
        <v>5606.4449201699999</v>
      </c>
      <c r="L1519" s="42">
        <v>0.91456667031899996</v>
      </c>
      <c r="M1519" s="42">
        <v>0.210526315789</v>
      </c>
      <c r="N1519" s="134">
        <v>0</v>
      </c>
      <c r="O1519" s="43" t="s">
        <v>665</v>
      </c>
      <c r="P1519" s="43">
        <f t="shared" si="327"/>
        <v>14.370173951432688</v>
      </c>
      <c r="Q1519" s="43">
        <f t="shared" si="328"/>
        <v>3.0358643000000001E-2</v>
      </c>
      <c r="R1519" s="43">
        <f t="shared" si="329"/>
        <v>1.3483803000000001E-2</v>
      </c>
      <c r="S1519" s="43">
        <f t="shared" si="330"/>
        <v>0.91456667000000003</v>
      </c>
      <c r="T1519" s="43">
        <f t="shared" si="331"/>
        <v>5.0883686309999998</v>
      </c>
      <c r="U1519" s="43">
        <f t="shared" si="332"/>
        <v>12.27858674</v>
      </c>
      <c r="V1519" s="43">
        <f t="shared" si="333"/>
        <v>2.8418860000000001E-3</v>
      </c>
      <c r="W1519" s="230">
        <f t="shared" si="334"/>
        <v>4.6821733490210272E-2</v>
      </c>
      <c r="X1519" s="43">
        <f t="shared" si="335"/>
        <v>0.94131595599999995</v>
      </c>
      <c r="Y1519" s="43">
        <v>56.446554910000003</v>
      </c>
      <c r="Z1519" s="43">
        <f t="shared" si="324"/>
        <v>0</v>
      </c>
      <c r="AA1519" s="43">
        <f t="shared" si="325"/>
        <v>73980</v>
      </c>
      <c r="AB1519" s="43">
        <f t="shared" si="326"/>
        <v>21707</v>
      </c>
      <c r="AC1519" s="43">
        <f t="shared" si="336"/>
        <v>2.9903742718750001E-2</v>
      </c>
      <c r="AD1519" s="43">
        <f t="shared" si="337"/>
        <v>0.88755862149999987</v>
      </c>
      <c r="AF1519" s="43">
        <v>14.370173951432688</v>
      </c>
      <c r="AG1519" s="43">
        <v>3.0358643000000001E-2</v>
      </c>
      <c r="AH1519" s="43">
        <v>1.3483803000000001E-2</v>
      </c>
      <c r="AI1519" s="43">
        <v>0.91456667000000003</v>
      </c>
      <c r="AJ1519" s="43">
        <v>5.0883686309999998</v>
      </c>
      <c r="AK1519" s="43">
        <v>12.27858674</v>
      </c>
      <c r="AL1519" s="43">
        <v>2.8418860000000001E-3</v>
      </c>
      <c r="AM1519" s="230">
        <v>4.6821733490210272E-2</v>
      </c>
      <c r="AN1519" s="43">
        <v>0.94131595599999995</v>
      </c>
    </row>
    <row r="1520" spans="1:40" x14ac:dyDescent="0.25">
      <c r="A1520" s="134">
        <v>1510</v>
      </c>
      <c r="B1520" s="134" t="s">
        <v>208</v>
      </c>
      <c r="C1520" s="134" t="s">
        <v>218</v>
      </c>
      <c r="D1520" s="134" t="s">
        <v>219</v>
      </c>
      <c r="E1520" s="134">
        <v>649</v>
      </c>
      <c r="F1520" s="134">
        <v>1971</v>
      </c>
      <c r="G1520" s="134">
        <v>95</v>
      </c>
      <c r="H1520" s="134">
        <v>419</v>
      </c>
      <c r="I1520" s="200">
        <v>0.190744218164</v>
      </c>
      <c r="J1520" s="134">
        <v>2390</v>
      </c>
      <c r="K1520" s="134">
        <v>12529.868653400001</v>
      </c>
      <c r="L1520" s="42">
        <v>0.87586503114000003</v>
      </c>
      <c r="M1520" s="42">
        <v>0.392322097378</v>
      </c>
      <c r="N1520" s="134">
        <v>0</v>
      </c>
      <c r="O1520" s="43" t="s">
        <v>666</v>
      </c>
      <c r="P1520" s="43">
        <f t="shared" si="327"/>
        <v>13.337849684824354</v>
      </c>
      <c r="Q1520" s="43">
        <f t="shared" si="328"/>
        <v>4.4654430000000002E-2</v>
      </c>
      <c r="R1520" s="43">
        <f t="shared" si="329"/>
        <v>1.3744489E-2</v>
      </c>
      <c r="S1520" s="43">
        <f t="shared" si="330"/>
        <v>0.87586503100000002</v>
      </c>
      <c r="T1520" s="43">
        <f t="shared" si="331"/>
        <v>3.605292172</v>
      </c>
      <c r="U1520" s="43">
        <f t="shared" si="332"/>
        <v>10.2592099</v>
      </c>
      <c r="V1520" s="43">
        <f t="shared" si="333"/>
        <v>6.6831729999999997E-3</v>
      </c>
      <c r="W1520" s="230">
        <f t="shared" si="334"/>
        <v>6.7827276347455709E-2</v>
      </c>
      <c r="X1520" s="43">
        <f t="shared" si="335"/>
        <v>0.89637619700000004</v>
      </c>
      <c r="Y1520" s="43">
        <v>139.4878659</v>
      </c>
      <c r="Z1520" s="43">
        <f t="shared" si="324"/>
        <v>0</v>
      </c>
      <c r="AA1520" s="43">
        <f t="shared" si="325"/>
        <v>73980</v>
      </c>
      <c r="AB1520" s="43">
        <f t="shared" si="326"/>
        <v>21707</v>
      </c>
      <c r="AC1520" s="43">
        <f t="shared" si="336"/>
        <v>2.9903742718750001E-2</v>
      </c>
      <c r="AD1520" s="43">
        <f t="shared" si="337"/>
        <v>0.88755862149999987</v>
      </c>
      <c r="AF1520" s="43">
        <v>13.337849684824354</v>
      </c>
      <c r="AG1520" s="43">
        <v>4.4654430000000002E-2</v>
      </c>
      <c r="AH1520" s="43">
        <v>1.3744489E-2</v>
      </c>
      <c r="AI1520" s="43">
        <v>0.87586503100000002</v>
      </c>
      <c r="AJ1520" s="43">
        <v>3.605292172</v>
      </c>
      <c r="AK1520" s="43">
        <v>10.2592099</v>
      </c>
      <c r="AL1520" s="43">
        <v>6.6831729999999997E-3</v>
      </c>
      <c r="AM1520" s="230">
        <v>6.7827276347455709E-2</v>
      </c>
      <c r="AN1520" s="43">
        <v>0.89637619700000004</v>
      </c>
    </row>
    <row r="1521" spans="1:40" x14ac:dyDescent="0.25">
      <c r="A1521" s="134">
        <v>1511</v>
      </c>
      <c r="B1521" s="134" t="s">
        <v>208</v>
      </c>
      <c r="C1521" s="134" t="s">
        <v>218</v>
      </c>
      <c r="D1521" s="134" t="s">
        <v>219</v>
      </c>
      <c r="E1521" s="134">
        <v>749</v>
      </c>
      <c r="F1521" s="134">
        <v>2309</v>
      </c>
      <c r="G1521" s="134">
        <v>64</v>
      </c>
      <c r="H1521" s="134">
        <v>28</v>
      </c>
      <c r="I1521" s="200">
        <v>0.13543569777299999</v>
      </c>
      <c r="J1521" s="134">
        <v>2337</v>
      </c>
      <c r="K1521" s="134">
        <v>17255.421121799998</v>
      </c>
      <c r="L1521" s="42">
        <v>0.84173411475399995</v>
      </c>
      <c r="M1521" s="42">
        <v>3.6036036036000002E-2</v>
      </c>
      <c r="N1521" s="134">
        <v>1</v>
      </c>
      <c r="O1521" s="43" t="s">
        <v>666</v>
      </c>
      <c r="P1521" s="43">
        <f t="shared" si="327"/>
        <v>14.061910286203055</v>
      </c>
      <c r="Q1521" s="43">
        <f t="shared" si="328"/>
        <v>6.5329024999999999E-2</v>
      </c>
      <c r="R1521" s="43">
        <f t="shared" si="329"/>
        <v>1.3756322E-2</v>
      </c>
      <c r="S1521" s="43">
        <f t="shared" si="330"/>
        <v>0.84173411499999995</v>
      </c>
      <c r="T1521" s="43">
        <f t="shared" si="331"/>
        <v>3.3788418290000002</v>
      </c>
      <c r="U1521" s="43">
        <f t="shared" si="332"/>
        <v>10.118019329999999</v>
      </c>
      <c r="V1521" s="43">
        <f t="shared" si="333"/>
        <v>3.6448869999999999E-3</v>
      </c>
      <c r="W1521" s="230">
        <f t="shared" si="334"/>
        <v>0.11727655707913433</v>
      </c>
      <c r="X1521" s="43">
        <f t="shared" si="335"/>
        <v>0.85460722</v>
      </c>
      <c r="Y1521" s="43">
        <v>116.2798817</v>
      </c>
      <c r="Z1521" s="43">
        <f t="shared" si="324"/>
        <v>0</v>
      </c>
      <c r="AA1521" s="43">
        <f t="shared" si="325"/>
        <v>73980</v>
      </c>
      <c r="AB1521" s="43">
        <f t="shared" si="326"/>
        <v>21707</v>
      </c>
      <c r="AC1521" s="43">
        <f t="shared" si="336"/>
        <v>2.9903742718750001E-2</v>
      </c>
      <c r="AD1521" s="43">
        <f t="shared" si="337"/>
        <v>0.88755862149999987</v>
      </c>
      <c r="AF1521" s="43">
        <v>14.061910286203055</v>
      </c>
      <c r="AG1521" s="43">
        <v>6.5329024999999999E-2</v>
      </c>
      <c r="AH1521" s="43">
        <v>1.3756322E-2</v>
      </c>
      <c r="AI1521" s="43">
        <v>0.84173411499999995</v>
      </c>
      <c r="AJ1521" s="43">
        <v>3.3788418290000002</v>
      </c>
      <c r="AK1521" s="43">
        <v>10.118019329999999</v>
      </c>
      <c r="AL1521" s="43">
        <v>3.6448869999999999E-3</v>
      </c>
      <c r="AM1521" s="230">
        <v>0.11727655707913433</v>
      </c>
      <c r="AN1521" s="43">
        <v>0.85460722</v>
      </c>
    </row>
    <row r="1522" spans="1:40" x14ac:dyDescent="0.25">
      <c r="A1522" s="134">
        <v>1512</v>
      </c>
      <c r="B1522" s="134" t="s">
        <v>208</v>
      </c>
      <c r="C1522" s="134" t="s">
        <v>218</v>
      </c>
      <c r="D1522" s="134" t="s">
        <v>219</v>
      </c>
      <c r="E1522" s="134">
        <v>10</v>
      </c>
      <c r="F1522" s="134">
        <v>31</v>
      </c>
      <c r="G1522" s="134">
        <v>38</v>
      </c>
      <c r="H1522" s="134">
        <v>28</v>
      </c>
      <c r="I1522" s="200">
        <v>8.1080778612100002E-2</v>
      </c>
      <c r="J1522" s="134">
        <v>59</v>
      </c>
      <c r="K1522" s="134">
        <v>727.66938120199995</v>
      </c>
      <c r="L1522" s="42">
        <v>0.87763084373300004</v>
      </c>
      <c r="M1522" s="42">
        <v>0.73684210526299998</v>
      </c>
      <c r="N1522" s="134">
        <v>0</v>
      </c>
      <c r="O1522" s="43" t="s">
        <v>666</v>
      </c>
      <c r="P1522" s="43">
        <f t="shared" si="327"/>
        <v>9.8070627514044872</v>
      </c>
      <c r="Q1522" s="43">
        <f t="shared" si="328"/>
        <v>1.6949153000000002E-2</v>
      </c>
      <c r="R1522" s="43">
        <f t="shared" si="329"/>
        <v>9.5921029999999994E-3</v>
      </c>
      <c r="S1522" s="43">
        <f t="shared" si="330"/>
        <v>0.87763084400000002</v>
      </c>
      <c r="T1522" s="43">
        <f t="shared" si="331"/>
        <v>3.6142857140000002</v>
      </c>
      <c r="U1522" s="43">
        <f t="shared" si="332"/>
        <v>6.5846401959999996</v>
      </c>
      <c r="V1522" s="43">
        <f t="shared" si="333"/>
        <v>1.4362660000000001E-3</v>
      </c>
      <c r="W1522" s="230">
        <f t="shared" si="334"/>
        <v>1.5798922800718131E-2</v>
      </c>
      <c r="X1522" s="43">
        <f t="shared" si="335"/>
        <v>0.85314183099999996</v>
      </c>
      <c r="Y1522" s="43">
        <v>118.4804103</v>
      </c>
      <c r="Z1522" s="43">
        <f t="shared" si="324"/>
        <v>0</v>
      </c>
      <c r="AA1522" s="43">
        <f t="shared" si="325"/>
        <v>73980</v>
      </c>
      <c r="AB1522" s="43">
        <f t="shared" si="326"/>
        <v>21707</v>
      </c>
      <c r="AC1522" s="43">
        <f t="shared" si="336"/>
        <v>2.9903742718750001E-2</v>
      </c>
      <c r="AD1522" s="43">
        <f t="shared" si="337"/>
        <v>0.88755862149999987</v>
      </c>
      <c r="AF1522" s="43">
        <v>9.8070627514044872</v>
      </c>
      <c r="AG1522" s="43">
        <v>1.6949153000000002E-2</v>
      </c>
      <c r="AH1522" s="43">
        <v>9.5921029999999994E-3</v>
      </c>
      <c r="AI1522" s="43">
        <v>0.87763084400000002</v>
      </c>
      <c r="AJ1522" s="43">
        <v>3.6142857140000002</v>
      </c>
      <c r="AK1522" s="43">
        <v>6.5846401959999996</v>
      </c>
      <c r="AL1522" s="43">
        <v>1.4362660000000001E-3</v>
      </c>
      <c r="AM1522" s="230">
        <v>1.5798922800718131E-2</v>
      </c>
      <c r="AN1522" s="43">
        <v>0.85314183099999996</v>
      </c>
    </row>
    <row r="1523" spans="1:40" x14ac:dyDescent="0.25">
      <c r="A1523" s="134">
        <v>1513</v>
      </c>
      <c r="B1523" s="134" t="s">
        <v>208</v>
      </c>
      <c r="C1523" s="134" t="s">
        <v>218</v>
      </c>
      <c r="D1523" s="134" t="s">
        <v>219</v>
      </c>
      <c r="E1523" s="134">
        <v>178</v>
      </c>
      <c r="F1523" s="134">
        <v>548</v>
      </c>
      <c r="G1523" s="134">
        <v>18</v>
      </c>
      <c r="H1523" s="134">
        <v>135</v>
      </c>
      <c r="I1523" s="200">
        <v>3.8359949916200002E-2</v>
      </c>
      <c r="J1523" s="134">
        <v>683</v>
      </c>
      <c r="K1523" s="134">
        <v>17805.028460500002</v>
      </c>
      <c r="L1523" s="42">
        <v>0.85909773599600003</v>
      </c>
      <c r="M1523" s="42">
        <v>0.43130990415300002</v>
      </c>
      <c r="N1523" s="134">
        <v>1</v>
      </c>
      <c r="O1523" s="43" t="s">
        <v>664</v>
      </c>
      <c r="P1523" s="43">
        <f t="shared" si="327"/>
        <v>13.171906523864676</v>
      </c>
      <c r="Q1523" s="43">
        <f t="shared" si="328"/>
        <v>4.5359547E-2</v>
      </c>
      <c r="R1523" s="43">
        <f t="shared" si="329"/>
        <v>1.3453699E-2</v>
      </c>
      <c r="S1523" s="43">
        <f t="shared" si="330"/>
        <v>0.85909773599999995</v>
      </c>
      <c r="T1523" s="43">
        <f t="shared" si="331"/>
        <v>3.4931710210000002</v>
      </c>
      <c r="U1523" s="43">
        <f t="shared" si="332"/>
        <v>9.254579541</v>
      </c>
      <c r="V1523" s="43">
        <f t="shared" si="333"/>
        <v>7.9009119999999995E-3</v>
      </c>
      <c r="W1523" s="230">
        <f t="shared" si="334"/>
        <v>6.8345857961802356E-2</v>
      </c>
      <c r="X1523" s="43">
        <f t="shared" si="335"/>
        <v>0.86212017699999999</v>
      </c>
      <c r="Y1523" s="43">
        <v>114.01782230000001</v>
      </c>
      <c r="Z1523" s="43">
        <f t="shared" si="324"/>
        <v>0</v>
      </c>
      <c r="AA1523" s="43">
        <f t="shared" si="325"/>
        <v>73980</v>
      </c>
      <c r="AB1523" s="43">
        <f t="shared" si="326"/>
        <v>21707</v>
      </c>
      <c r="AC1523" s="43">
        <f t="shared" si="336"/>
        <v>2.9903742718750001E-2</v>
      </c>
      <c r="AD1523" s="43">
        <f t="shared" si="337"/>
        <v>0.88755862149999987</v>
      </c>
      <c r="AF1523" s="43">
        <v>13.171906523864676</v>
      </c>
      <c r="AG1523" s="43">
        <v>4.5359547E-2</v>
      </c>
      <c r="AH1523" s="43">
        <v>1.3453699E-2</v>
      </c>
      <c r="AI1523" s="43">
        <v>0.85909773599999995</v>
      </c>
      <c r="AJ1523" s="43">
        <v>3.4931710210000002</v>
      </c>
      <c r="AK1523" s="43">
        <v>9.254579541</v>
      </c>
      <c r="AL1523" s="43">
        <v>7.9009119999999995E-3</v>
      </c>
      <c r="AM1523" s="230">
        <v>6.8345857961802356E-2</v>
      </c>
      <c r="AN1523" s="43">
        <v>0.86212017699999999</v>
      </c>
    </row>
    <row r="1524" spans="1:40" x14ac:dyDescent="0.25">
      <c r="A1524" s="134">
        <v>1514</v>
      </c>
      <c r="B1524" s="134" t="s">
        <v>208</v>
      </c>
      <c r="C1524" s="134" t="s">
        <v>218</v>
      </c>
      <c r="D1524" s="134" t="s">
        <v>219</v>
      </c>
      <c r="E1524" s="134">
        <v>305</v>
      </c>
      <c r="F1524" s="134">
        <v>940</v>
      </c>
      <c r="G1524" s="134">
        <v>20</v>
      </c>
      <c r="H1524" s="134">
        <v>62</v>
      </c>
      <c r="I1524" s="200">
        <v>4.3767659236100001E-2</v>
      </c>
      <c r="J1524" s="134">
        <v>1002</v>
      </c>
      <c r="K1524" s="134">
        <v>22893.616370799999</v>
      </c>
      <c r="L1524" s="42">
        <v>0.82404915573100002</v>
      </c>
      <c r="M1524" s="42">
        <v>0.1689373297</v>
      </c>
      <c r="N1524" s="134">
        <v>1</v>
      </c>
      <c r="O1524" s="43" t="s">
        <v>664</v>
      </c>
      <c r="P1524" s="43">
        <f t="shared" si="327"/>
        <v>14.021925570172945</v>
      </c>
      <c r="Q1524" s="43">
        <f t="shared" si="328"/>
        <v>7.2536854999999997E-2</v>
      </c>
      <c r="R1524" s="43">
        <f t="shared" si="329"/>
        <v>1.5944652E-2</v>
      </c>
      <c r="S1524" s="43">
        <f t="shared" si="330"/>
        <v>0.82404915599999995</v>
      </c>
      <c r="T1524" s="43">
        <f t="shared" si="331"/>
        <v>3.6469269569999998</v>
      </c>
      <c r="U1524" s="43">
        <f t="shared" si="332"/>
        <v>10.790040019999999</v>
      </c>
      <c r="V1524" s="43">
        <f t="shared" si="333"/>
        <v>8.107698E-3</v>
      </c>
      <c r="W1524" s="230">
        <f t="shared" si="334"/>
        <v>8.1163693121463709E-2</v>
      </c>
      <c r="X1524" s="43">
        <f t="shared" si="335"/>
        <v>0.86819571200000001</v>
      </c>
      <c r="Y1524" s="43">
        <v>106.99917170000001</v>
      </c>
      <c r="Z1524" s="43">
        <f t="shared" si="324"/>
        <v>0</v>
      </c>
      <c r="AA1524" s="43">
        <f t="shared" si="325"/>
        <v>73980</v>
      </c>
      <c r="AB1524" s="43">
        <f t="shared" si="326"/>
        <v>21707</v>
      </c>
      <c r="AC1524" s="43">
        <f t="shared" si="336"/>
        <v>2.9903742718750001E-2</v>
      </c>
      <c r="AD1524" s="43">
        <f t="shared" si="337"/>
        <v>0.88755862149999987</v>
      </c>
      <c r="AF1524" s="43">
        <v>14.021925570172945</v>
      </c>
      <c r="AG1524" s="43">
        <v>7.2536854999999997E-2</v>
      </c>
      <c r="AH1524" s="43">
        <v>1.5944652E-2</v>
      </c>
      <c r="AI1524" s="43">
        <v>0.82404915599999995</v>
      </c>
      <c r="AJ1524" s="43">
        <v>3.6469269569999998</v>
      </c>
      <c r="AK1524" s="43">
        <v>10.790040019999999</v>
      </c>
      <c r="AL1524" s="43">
        <v>8.107698E-3</v>
      </c>
      <c r="AM1524" s="230">
        <v>8.1163693121463709E-2</v>
      </c>
      <c r="AN1524" s="43">
        <v>0.86819571200000001</v>
      </c>
    </row>
    <row r="1525" spans="1:40" x14ac:dyDescent="0.25">
      <c r="A1525" s="134">
        <v>1515</v>
      </c>
      <c r="B1525" s="134" t="s">
        <v>208</v>
      </c>
      <c r="C1525" s="134" t="s">
        <v>218</v>
      </c>
      <c r="D1525" s="134" t="s">
        <v>219</v>
      </c>
      <c r="E1525" s="134">
        <v>305</v>
      </c>
      <c r="F1525" s="134">
        <v>940</v>
      </c>
      <c r="G1525" s="134">
        <v>40</v>
      </c>
      <c r="H1525" s="134">
        <v>62</v>
      </c>
      <c r="I1525" s="200">
        <v>8.6338951509300002E-2</v>
      </c>
      <c r="J1525" s="134">
        <v>1002</v>
      </c>
      <c r="K1525" s="134">
        <v>11605.422378699999</v>
      </c>
      <c r="L1525" s="42">
        <v>0.847517354359</v>
      </c>
      <c r="M1525" s="42">
        <v>0.1689373297</v>
      </c>
      <c r="N1525" s="134">
        <v>1</v>
      </c>
      <c r="O1525" s="43" t="s">
        <v>666</v>
      </c>
      <c r="P1525" s="43">
        <f t="shared" si="327"/>
        <v>14.042174226771419</v>
      </c>
      <c r="Q1525" s="43">
        <f t="shared" si="328"/>
        <v>5.9499817000000003E-2</v>
      </c>
      <c r="R1525" s="43">
        <f t="shared" si="329"/>
        <v>1.5763296999999999E-2</v>
      </c>
      <c r="S1525" s="43">
        <f t="shared" si="330"/>
        <v>0.84751735399999995</v>
      </c>
      <c r="T1525" s="43">
        <f t="shared" si="331"/>
        <v>3.669229327</v>
      </c>
      <c r="U1525" s="43">
        <f t="shared" si="332"/>
        <v>10.796986739999999</v>
      </c>
      <c r="V1525" s="43">
        <f t="shared" si="333"/>
        <v>6.2812190000000002E-3</v>
      </c>
      <c r="W1525" s="230">
        <f t="shared" si="334"/>
        <v>6.510600896091924E-2</v>
      </c>
      <c r="X1525" s="43">
        <f t="shared" si="335"/>
        <v>0.887559757</v>
      </c>
      <c r="Y1525" s="43">
        <v>111.1755696</v>
      </c>
      <c r="Z1525" s="43">
        <f t="shared" si="324"/>
        <v>0</v>
      </c>
      <c r="AA1525" s="43">
        <f t="shared" si="325"/>
        <v>73980</v>
      </c>
      <c r="AB1525" s="43">
        <f t="shared" si="326"/>
        <v>21707</v>
      </c>
      <c r="AC1525" s="43">
        <f t="shared" si="336"/>
        <v>2.9903742718750001E-2</v>
      </c>
      <c r="AD1525" s="43">
        <f t="shared" si="337"/>
        <v>0.88755862149999987</v>
      </c>
      <c r="AF1525" s="43">
        <v>14.042174226771419</v>
      </c>
      <c r="AG1525" s="43">
        <v>5.9499817000000003E-2</v>
      </c>
      <c r="AH1525" s="43">
        <v>1.5763296999999999E-2</v>
      </c>
      <c r="AI1525" s="43">
        <v>0.84751735399999995</v>
      </c>
      <c r="AJ1525" s="43">
        <v>3.669229327</v>
      </c>
      <c r="AK1525" s="43">
        <v>10.796986739999999</v>
      </c>
      <c r="AL1525" s="43">
        <v>6.2812190000000002E-3</v>
      </c>
      <c r="AM1525" s="230">
        <v>6.510600896091924E-2</v>
      </c>
      <c r="AN1525" s="43">
        <v>0.887559757</v>
      </c>
    </row>
    <row r="1526" spans="1:40" x14ac:dyDescent="0.25">
      <c r="A1526" s="134">
        <v>1516</v>
      </c>
      <c r="B1526" s="134" t="s">
        <v>208</v>
      </c>
      <c r="C1526" s="134" t="s">
        <v>218</v>
      </c>
      <c r="D1526" s="134" t="s">
        <v>219</v>
      </c>
      <c r="E1526" s="134">
        <v>171</v>
      </c>
      <c r="F1526" s="134">
        <v>526</v>
      </c>
      <c r="G1526" s="134">
        <v>26</v>
      </c>
      <c r="H1526" s="134">
        <v>8</v>
      </c>
      <c r="I1526" s="200">
        <v>5.5065711760699999E-2</v>
      </c>
      <c r="J1526" s="134">
        <v>534</v>
      </c>
      <c r="K1526" s="134">
        <v>9697.5047252799995</v>
      </c>
      <c r="L1526" s="42">
        <v>0.87332423177600005</v>
      </c>
      <c r="M1526" s="42">
        <v>4.4692737430199997E-2</v>
      </c>
      <c r="N1526" s="134">
        <v>0</v>
      </c>
      <c r="O1526" s="43" t="s">
        <v>666</v>
      </c>
      <c r="P1526" s="43">
        <f t="shared" si="327"/>
        <v>14.353670688865552</v>
      </c>
      <c r="Q1526" s="43">
        <f t="shared" si="328"/>
        <v>3.7711779000000001E-2</v>
      </c>
      <c r="R1526" s="43">
        <f t="shared" si="329"/>
        <v>1.3159956E-2</v>
      </c>
      <c r="S1526" s="43">
        <f t="shared" si="330"/>
        <v>0.87332423199999998</v>
      </c>
      <c r="T1526" s="43">
        <f t="shared" si="331"/>
        <v>3.9432109309999999</v>
      </c>
      <c r="U1526" s="43">
        <f t="shared" si="332"/>
        <v>10.59418838</v>
      </c>
      <c r="V1526" s="43">
        <f t="shared" si="333"/>
        <v>1.2612039999999999E-3</v>
      </c>
      <c r="W1526" s="230">
        <f t="shared" si="334"/>
        <v>6.319535156074052E-2</v>
      </c>
      <c r="X1526" s="43">
        <f t="shared" si="335"/>
        <v>0.88122156699999998</v>
      </c>
      <c r="Y1526" s="43">
        <v>78.205591769999998</v>
      </c>
      <c r="Z1526" s="43">
        <f t="shared" si="324"/>
        <v>0</v>
      </c>
      <c r="AA1526" s="43">
        <f t="shared" si="325"/>
        <v>73980</v>
      </c>
      <c r="AB1526" s="43">
        <f t="shared" si="326"/>
        <v>21707</v>
      </c>
      <c r="AC1526" s="43">
        <f t="shared" si="336"/>
        <v>2.9903742718750001E-2</v>
      </c>
      <c r="AD1526" s="43">
        <f t="shared" si="337"/>
        <v>0.88755862149999987</v>
      </c>
      <c r="AF1526" s="43">
        <v>14.353670688865552</v>
      </c>
      <c r="AG1526" s="43">
        <v>3.7711779000000001E-2</v>
      </c>
      <c r="AH1526" s="43">
        <v>1.3159956E-2</v>
      </c>
      <c r="AI1526" s="43">
        <v>0.87332423199999998</v>
      </c>
      <c r="AJ1526" s="43">
        <v>3.9432109309999999</v>
      </c>
      <c r="AK1526" s="43">
        <v>10.59418838</v>
      </c>
      <c r="AL1526" s="43">
        <v>1.2612039999999999E-3</v>
      </c>
      <c r="AM1526" s="230">
        <v>6.319535156074052E-2</v>
      </c>
      <c r="AN1526" s="43">
        <v>0.88122156699999998</v>
      </c>
    </row>
    <row r="1527" spans="1:40" x14ac:dyDescent="0.25">
      <c r="A1527" s="134">
        <v>1517</v>
      </c>
      <c r="B1527" s="134" t="s">
        <v>208</v>
      </c>
      <c r="C1527" s="134" t="s">
        <v>218</v>
      </c>
      <c r="D1527" s="134" t="s">
        <v>219</v>
      </c>
      <c r="E1527" s="134">
        <v>565</v>
      </c>
      <c r="F1527" s="134">
        <v>2376</v>
      </c>
      <c r="G1527" s="134">
        <v>80</v>
      </c>
      <c r="H1527" s="134">
        <v>346</v>
      </c>
      <c r="I1527" s="200">
        <v>0.17293565124400001</v>
      </c>
      <c r="J1527" s="134">
        <v>2722</v>
      </c>
      <c r="K1527" s="134">
        <v>15739.9586518</v>
      </c>
      <c r="L1527" s="42">
        <v>0.85657722602399999</v>
      </c>
      <c r="M1527" s="42">
        <v>0.37980241492900002</v>
      </c>
      <c r="N1527" s="134">
        <v>0</v>
      </c>
      <c r="O1527" s="43" t="s">
        <v>664</v>
      </c>
      <c r="P1527" s="43">
        <f t="shared" si="327"/>
        <v>13.057858656557137</v>
      </c>
      <c r="Q1527" s="43">
        <f t="shared" si="328"/>
        <v>4.5733138E-2</v>
      </c>
      <c r="R1527" s="43">
        <f t="shared" si="329"/>
        <v>1.8421843E-2</v>
      </c>
      <c r="S1527" s="43">
        <f t="shared" si="330"/>
        <v>0.85657722599999997</v>
      </c>
      <c r="T1527" s="43">
        <f t="shared" si="331"/>
        <v>3.511757968</v>
      </c>
      <c r="U1527" s="43">
        <f t="shared" si="332"/>
        <v>10.19007944</v>
      </c>
      <c r="V1527" s="43">
        <f t="shared" si="333"/>
        <v>8.2488539999999999E-3</v>
      </c>
      <c r="W1527" s="230">
        <f t="shared" si="334"/>
        <v>6.5639031615979268E-2</v>
      </c>
      <c r="X1527" s="43">
        <f t="shared" si="335"/>
        <v>0.88442346000000005</v>
      </c>
      <c r="Y1527" s="43">
        <v>195.70717110000001</v>
      </c>
      <c r="Z1527" s="43">
        <f t="shared" si="324"/>
        <v>0</v>
      </c>
      <c r="AA1527" s="43">
        <f t="shared" si="325"/>
        <v>73980</v>
      </c>
      <c r="AB1527" s="43">
        <f t="shared" si="326"/>
        <v>21707</v>
      </c>
      <c r="AC1527" s="43">
        <f t="shared" si="336"/>
        <v>2.9903742718750001E-2</v>
      </c>
      <c r="AD1527" s="43">
        <f t="shared" si="337"/>
        <v>0.88755862149999987</v>
      </c>
      <c r="AF1527" s="43">
        <v>13.057858656557137</v>
      </c>
      <c r="AG1527" s="43">
        <v>4.5733138E-2</v>
      </c>
      <c r="AH1527" s="43">
        <v>1.8421843E-2</v>
      </c>
      <c r="AI1527" s="43">
        <v>0.85657722599999997</v>
      </c>
      <c r="AJ1527" s="43">
        <v>3.511757968</v>
      </c>
      <c r="AK1527" s="43">
        <v>10.19007944</v>
      </c>
      <c r="AL1527" s="43">
        <v>8.2488539999999999E-3</v>
      </c>
      <c r="AM1527" s="230">
        <v>6.5639031615979268E-2</v>
      </c>
      <c r="AN1527" s="43">
        <v>0.88442346000000005</v>
      </c>
    </row>
    <row r="1528" spans="1:40" x14ac:dyDescent="0.25">
      <c r="A1528" s="134">
        <v>1518</v>
      </c>
      <c r="B1528" s="134" t="s">
        <v>217</v>
      </c>
      <c r="C1528" s="134" t="s">
        <v>218</v>
      </c>
      <c r="D1528" s="134" t="s">
        <v>219</v>
      </c>
      <c r="E1528" s="134">
        <v>180</v>
      </c>
      <c r="F1528" s="134">
        <v>605</v>
      </c>
      <c r="G1528" s="134">
        <v>37</v>
      </c>
      <c r="H1528" s="134">
        <v>39</v>
      </c>
      <c r="I1528" s="200">
        <v>6.4733638080999995E-2</v>
      </c>
      <c r="J1528" s="134">
        <v>644</v>
      </c>
      <c r="K1528" s="134">
        <v>9948.4598593699993</v>
      </c>
      <c r="L1528" s="42">
        <v>0.90121098203600003</v>
      </c>
      <c r="M1528" s="42">
        <v>0.17808219178099999</v>
      </c>
      <c r="N1528" s="134">
        <v>0</v>
      </c>
      <c r="O1528" s="43" t="s">
        <v>666</v>
      </c>
      <c r="P1528" s="43">
        <f t="shared" si="327"/>
        <v>13.562263542817639</v>
      </c>
      <c r="Q1528" s="43">
        <f t="shared" si="328"/>
        <v>3.1676577999999997E-2</v>
      </c>
      <c r="R1528" s="43">
        <f t="shared" si="329"/>
        <v>1.3784036E-2</v>
      </c>
      <c r="S1528" s="43">
        <f t="shared" si="330"/>
        <v>0.90121098200000005</v>
      </c>
      <c r="T1528" s="43">
        <f t="shared" si="331"/>
        <v>4.5421776290000002</v>
      </c>
      <c r="U1528" s="43">
        <f t="shared" si="332"/>
        <v>11.415488939999999</v>
      </c>
      <c r="V1528" s="43">
        <f t="shared" si="333"/>
        <v>2.3811990000000001E-3</v>
      </c>
      <c r="W1528" s="230">
        <f t="shared" si="334"/>
        <v>4.4449045794940821E-2</v>
      </c>
      <c r="X1528" s="43">
        <f t="shared" si="335"/>
        <v>0.91555371500000005</v>
      </c>
      <c r="Y1528" s="43">
        <v>142.5508987</v>
      </c>
      <c r="Z1528" s="43">
        <f t="shared" si="324"/>
        <v>0</v>
      </c>
      <c r="AA1528" s="43">
        <f t="shared" si="325"/>
        <v>230820</v>
      </c>
      <c r="AB1528" s="43">
        <f t="shared" si="326"/>
        <v>76507</v>
      </c>
      <c r="AC1528" s="43">
        <f t="shared" si="336"/>
        <v>2.4487274902360415E-2</v>
      </c>
      <c r="AD1528" s="43">
        <f t="shared" si="337"/>
        <v>0.89458291538016477</v>
      </c>
      <c r="AF1528" s="43">
        <v>13.562263542817639</v>
      </c>
      <c r="AG1528" s="43">
        <v>3.1676577999999997E-2</v>
      </c>
      <c r="AH1528" s="43">
        <v>1.3784036E-2</v>
      </c>
      <c r="AI1528" s="43">
        <v>0.90121098200000005</v>
      </c>
      <c r="AJ1528" s="43">
        <v>4.5421776290000002</v>
      </c>
      <c r="AK1528" s="43">
        <v>11.415488939999999</v>
      </c>
      <c r="AL1528" s="43">
        <v>2.3811990000000001E-3</v>
      </c>
      <c r="AM1528" s="230">
        <v>4.4449045794940821E-2</v>
      </c>
      <c r="AN1528" s="43">
        <v>0.91555371500000005</v>
      </c>
    </row>
    <row r="1529" spans="1:40" x14ac:dyDescent="0.25">
      <c r="A1529" s="134">
        <v>1519</v>
      </c>
      <c r="B1529" s="134" t="s">
        <v>217</v>
      </c>
      <c r="C1529" s="134" t="s">
        <v>218</v>
      </c>
      <c r="D1529" s="134" t="s">
        <v>219</v>
      </c>
      <c r="E1529" s="134">
        <v>647</v>
      </c>
      <c r="F1529" s="134">
        <v>1951</v>
      </c>
      <c r="G1529" s="134">
        <v>64</v>
      </c>
      <c r="H1529" s="134">
        <v>0</v>
      </c>
      <c r="I1529" s="200">
        <v>0.17862616698799999</v>
      </c>
      <c r="J1529" s="134">
        <v>1951</v>
      </c>
      <c r="K1529" s="134">
        <v>10922.251946</v>
      </c>
      <c r="L1529" s="42">
        <v>0.911825580227</v>
      </c>
      <c r="M1529" s="42">
        <v>0</v>
      </c>
      <c r="N1529" s="134">
        <v>0</v>
      </c>
      <c r="O1529" s="43" t="s">
        <v>666</v>
      </c>
      <c r="P1529" s="43">
        <f t="shared" si="327"/>
        <v>14.770069816526348</v>
      </c>
      <c r="Q1529" s="43">
        <f t="shared" si="328"/>
        <v>3.4371546000000003E-2</v>
      </c>
      <c r="R1529" s="43">
        <f t="shared" si="329"/>
        <v>1.0626612000000001E-2</v>
      </c>
      <c r="S1529" s="43">
        <f t="shared" si="330"/>
        <v>0.91182558000000002</v>
      </c>
      <c r="T1529" s="43">
        <f t="shared" si="331"/>
        <v>5.2014513329999996</v>
      </c>
      <c r="U1529" s="43">
        <f t="shared" si="332"/>
        <v>12.77334916</v>
      </c>
      <c r="V1529" s="43">
        <f t="shared" si="333"/>
        <v>3.0553189999999999E-3</v>
      </c>
      <c r="W1529" s="230">
        <f t="shared" si="334"/>
        <v>5.3785600460095132E-2</v>
      </c>
      <c r="X1529" s="43">
        <f t="shared" si="335"/>
        <v>0.93074609699999999</v>
      </c>
      <c r="Y1529" s="43">
        <v>320.80614489999999</v>
      </c>
      <c r="Z1529" s="43">
        <f t="shared" si="324"/>
        <v>0</v>
      </c>
      <c r="AA1529" s="43">
        <f t="shared" si="325"/>
        <v>230820</v>
      </c>
      <c r="AB1529" s="43">
        <f t="shared" si="326"/>
        <v>76507</v>
      </c>
      <c r="AC1529" s="43">
        <f t="shared" si="336"/>
        <v>2.4487274902360415E-2</v>
      </c>
      <c r="AD1529" s="43">
        <f t="shared" si="337"/>
        <v>0.89458291538016477</v>
      </c>
      <c r="AF1529" s="43">
        <v>14.770069816526348</v>
      </c>
      <c r="AG1529" s="43">
        <v>3.4371546000000003E-2</v>
      </c>
      <c r="AH1529" s="43">
        <v>1.0626612000000001E-2</v>
      </c>
      <c r="AI1529" s="43">
        <v>0.91182558000000002</v>
      </c>
      <c r="AJ1529" s="43">
        <v>5.2014513329999996</v>
      </c>
      <c r="AK1529" s="43">
        <v>12.77334916</v>
      </c>
      <c r="AL1529" s="43">
        <v>3.0553189999999999E-3</v>
      </c>
      <c r="AM1529" s="230">
        <v>5.3785600460095132E-2</v>
      </c>
      <c r="AN1529" s="43">
        <v>0.93074609699999999</v>
      </c>
    </row>
    <row r="1530" spans="1:40" x14ac:dyDescent="0.25">
      <c r="A1530" s="134">
        <v>1520</v>
      </c>
      <c r="B1530" s="134" t="s">
        <v>217</v>
      </c>
      <c r="C1530" s="134" t="s">
        <v>218</v>
      </c>
      <c r="D1530" s="134" t="s">
        <v>219</v>
      </c>
      <c r="E1530" s="134">
        <v>0</v>
      </c>
      <c r="F1530" s="134">
        <v>0</v>
      </c>
      <c r="G1530" s="134">
        <v>9</v>
      </c>
      <c r="H1530" s="134">
        <v>948</v>
      </c>
      <c r="I1530" s="200">
        <v>2.5639669254800001E-2</v>
      </c>
      <c r="J1530" s="134">
        <v>948</v>
      </c>
      <c r="K1530" s="134">
        <v>36973.955887600001</v>
      </c>
      <c r="L1530" s="42">
        <v>0.87145382999700005</v>
      </c>
      <c r="M1530" s="42">
        <v>1</v>
      </c>
      <c r="N1530" s="134">
        <v>0</v>
      </c>
      <c r="O1530" s="43" t="s">
        <v>664</v>
      </c>
      <c r="P1530" s="43">
        <f t="shared" si="327"/>
        <v>12.172237718234941</v>
      </c>
      <c r="Q1530" s="43">
        <f t="shared" si="328"/>
        <v>5.4359097000000002E-2</v>
      </c>
      <c r="R1530" s="43">
        <f t="shared" si="329"/>
        <v>7.5975110000000004E-3</v>
      </c>
      <c r="S1530" s="43">
        <f t="shared" si="330"/>
        <v>0.87145382999999998</v>
      </c>
      <c r="T1530" s="43">
        <f t="shared" si="331"/>
        <v>3.4182608700000001</v>
      </c>
      <c r="U1530" s="43">
        <f t="shared" si="332"/>
        <v>8.3525512689999992</v>
      </c>
      <c r="V1530" s="43">
        <f t="shared" si="333"/>
        <v>5.8111259999999998E-3</v>
      </c>
      <c r="W1530" s="230">
        <f t="shared" si="334"/>
        <v>9.4923166699085779E-2</v>
      </c>
      <c r="X1530" s="43">
        <f t="shared" si="335"/>
        <v>0.85187706699999999</v>
      </c>
      <c r="Y1530" s="43">
        <v>44.09472177</v>
      </c>
      <c r="Z1530" s="43">
        <f t="shared" si="324"/>
        <v>0</v>
      </c>
      <c r="AA1530" s="43">
        <f t="shared" si="325"/>
        <v>230820</v>
      </c>
      <c r="AB1530" s="43">
        <f t="shared" si="326"/>
        <v>76507</v>
      </c>
      <c r="AC1530" s="43">
        <f t="shared" si="336"/>
        <v>2.4487274902360415E-2</v>
      </c>
      <c r="AD1530" s="43">
        <f t="shared" si="337"/>
        <v>0.89458291538016477</v>
      </c>
      <c r="AF1530" s="43">
        <v>12.172237718234941</v>
      </c>
      <c r="AG1530" s="43">
        <v>5.4359097000000002E-2</v>
      </c>
      <c r="AH1530" s="43">
        <v>7.5975110000000004E-3</v>
      </c>
      <c r="AI1530" s="43">
        <v>0.87145382999999998</v>
      </c>
      <c r="AJ1530" s="43">
        <v>3.4182608700000001</v>
      </c>
      <c r="AK1530" s="43">
        <v>8.3525512689999992</v>
      </c>
      <c r="AL1530" s="43">
        <v>5.8111259999999998E-3</v>
      </c>
      <c r="AM1530" s="230">
        <v>9.4923166699085779E-2</v>
      </c>
      <c r="AN1530" s="43">
        <v>0.85187706699999999</v>
      </c>
    </row>
    <row r="1531" spans="1:40" x14ac:dyDescent="0.25">
      <c r="A1531" s="134">
        <v>1521</v>
      </c>
      <c r="B1531" s="134" t="s">
        <v>217</v>
      </c>
      <c r="C1531" s="134" t="s">
        <v>218</v>
      </c>
      <c r="D1531" s="134" t="s">
        <v>219</v>
      </c>
      <c r="E1531" s="134">
        <v>0</v>
      </c>
      <c r="F1531" s="134">
        <v>0</v>
      </c>
      <c r="G1531" s="134">
        <v>2559</v>
      </c>
      <c r="H1531" s="134">
        <v>948</v>
      </c>
      <c r="I1531" s="200">
        <v>7.1442642038399997</v>
      </c>
      <c r="J1531" s="134">
        <v>948</v>
      </c>
      <c r="K1531" s="134">
        <v>132.69386083000001</v>
      </c>
      <c r="L1531" s="42">
        <v>0.95618903564699997</v>
      </c>
      <c r="M1531" s="42">
        <v>1</v>
      </c>
      <c r="N1531" s="134">
        <v>0</v>
      </c>
      <c r="O1531" s="43" t="s">
        <v>665</v>
      </c>
      <c r="P1531" s="43">
        <f t="shared" si="327"/>
        <v>14.689505281799409</v>
      </c>
      <c r="Q1531" s="43">
        <f t="shared" si="328"/>
        <v>2.1771494999999998E-2</v>
      </c>
      <c r="R1531" s="43">
        <f t="shared" si="329"/>
        <v>7.0388150000000003E-3</v>
      </c>
      <c r="S1531" s="43">
        <f t="shared" si="330"/>
        <v>0.95618903600000005</v>
      </c>
      <c r="T1531" s="43">
        <f t="shared" si="331"/>
        <v>5.444256041</v>
      </c>
      <c r="U1531" s="43">
        <f t="shared" si="332"/>
        <v>11.44547654</v>
      </c>
      <c r="V1531" s="43">
        <f t="shared" si="333"/>
        <v>5.6829819999999996E-3</v>
      </c>
      <c r="W1531" s="230">
        <f t="shared" si="334"/>
        <v>2.9182879377431903E-3</v>
      </c>
      <c r="X1531" s="43">
        <f t="shared" si="335"/>
        <v>0.97868455200000004</v>
      </c>
      <c r="Y1531" s="43">
        <v>6.7733479939999999</v>
      </c>
      <c r="Z1531" s="43">
        <f t="shared" si="324"/>
        <v>0</v>
      </c>
      <c r="AA1531" s="43">
        <f t="shared" si="325"/>
        <v>230820</v>
      </c>
      <c r="AB1531" s="43">
        <f t="shared" si="326"/>
        <v>76507</v>
      </c>
      <c r="AC1531" s="43">
        <f t="shared" si="336"/>
        <v>2.4487274902360415E-2</v>
      </c>
      <c r="AD1531" s="43">
        <f t="shared" si="337"/>
        <v>0.89458291538016477</v>
      </c>
      <c r="AF1531" s="43">
        <v>14.689505281799409</v>
      </c>
      <c r="AG1531" s="43">
        <v>2.1771494999999998E-2</v>
      </c>
      <c r="AH1531" s="43">
        <v>7.0388150000000003E-3</v>
      </c>
      <c r="AI1531" s="43">
        <v>0.95618903600000005</v>
      </c>
      <c r="AJ1531" s="43">
        <v>5.444256041</v>
      </c>
      <c r="AK1531" s="43">
        <v>11.44547654</v>
      </c>
      <c r="AL1531" s="43">
        <v>5.6829819999999996E-3</v>
      </c>
      <c r="AM1531" s="230">
        <v>2.9182879377431903E-3</v>
      </c>
      <c r="AN1531" s="43">
        <v>0.97868455200000004</v>
      </c>
    </row>
    <row r="1532" spans="1:40" x14ac:dyDescent="0.25">
      <c r="A1532" s="134">
        <v>1522</v>
      </c>
      <c r="B1532" s="134" t="s">
        <v>217</v>
      </c>
      <c r="C1532" s="134" t="s">
        <v>218</v>
      </c>
      <c r="D1532" s="134" t="s">
        <v>219</v>
      </c>
      <c r="E1532" s="134">
        <v>0</v>
      </c>
      <c r="F1532" s="134">
        <v>0</v>
      </c>
      <c r="G1532" s="134">
        <v>68</v>
      </c>
      <c r="H1532" s="134">
        <v>1024</v>
      </c>
      <c r="I1532" s="200">
        <v>0.109425141819</v>
      </c>
      <c r="J1532" s="134">
        <v>1024</v>
      </c>
      <c r="K1532" s="134">
        <v>9357.9956395200006</v>
      </c>
      <c r="L1532" s="42">
        <v>0.95637182553800004</v>
      </c>
      <c r="M1532" s="42">
        <v>1</v>
      </c>
      <c r="N1532" s="134">
        <v>0</v>
      </c>
      <c r="O1532" s="43" t="s">
        <v>666</v>
      </c>
      <c r="P1532" s="43">
        <f t="shared" si="327"/>
        <v>17.297811473830869</v>
      </c>
      <c r="Q1532" s="43">
        <f t="shared" si="328"/>
        <v>9.854191E-3</v>
      </c>
      <c r="R1532" s="43">
        <f t="shared" si="329"/>
        <v>7.4240419999999996E-3</v>
      </c>
      <c r="S1532" s="43">
        <f t="shared" si="330"/>
        <v>0.95637182600000004</v>
      </c>
      <c r="T1532" s="43">
        <f t="shared" si="331"/>
        <v>5.7222222220000001</v>
      </c>
      <c r="U1532" s="43">
        <f t="shared" si="332"/>
        <v>12.107282489999999</v>
      </c>
      <c r="V1532" s="43">
        <f t="shared" si="333"/>
        <v>6.757023E-3</v>
      </c>
      <c r="W1532" s="230">
        <f t="shared" si="334"/>
        <v>1.1248571766281863E-2</v>
      </c>
      <c r="X1532" s="43">
        <f t="shared" si="335"/>
        <v>0.963417517</v>
      </c>
      <c r="Y1532" s="43">
        <v>6.7497810999999999</v>
      </c>
      <c r="Z1532" s="43">
        <f t="shared" si="324"/>
        <v>0</v>
      </c>
      <c r="AA1532" s="43">
        <f t="shared" si="325"/>
        <v>230820</v>
      </c>
      <c r="AB1532" s="43">
        <f t="shared" si="326"/>
        <v>76507</v>
      </c>
      <c r="AC1532" s="43">
        <f t="shared" si="336"/>
        <v>2.4487274902360415E-2</v>
      </c>
      <c r="AD1532" s="43">
        <f t="shared" si="337"/>
        <v>0.89458291538016477</v>
      </c>
      <c r="AF1532" s="43">
        <v>17.297811473830869</v>
      </c>
      <c r="AG1532" s="43">
        <v>9.854191E-3</v>
      </c>
      <c r="AH1532" s="43">
        <v>7.4240419999999996E-3</v>
      </c>
      <c r="AI1532" s="43">
        <v>0.95637182600000004</v>
      </c>
      <c r="AJ1532" s="43">
        <v>5.7222222220000001</v>
      </c>
      <c r="AK1532" s="43">
        <v>12.107282489999999</v>
      </c>
      <c r="AL1532" s="43">
        <v>6.757023E-3</v>
      </c>
      <c r="AM1532" s="230">
        <v>1.1248571766281863E-2</v>
      </c>
      <c r="AN1532" s="43">
        <v>0.963417517</v>
      </c>
    </row>
    <row r="1533" spans="1:40" x14ac:dyDescent="0.25">
      <c r="A1533" s="134">
        <v>1523</v>
      </c>
      <c r="B1533" s="134" t="s">
        <v>217</v>
      </c>
      <c r="C1533" s="134" t="s">
        <v>218</v>
      </c>
      <c r="D1533" s="134" t="s">
        <v>219</v>
      </c>
      <c r="E1533" s="134">
        <v>1047</v>
      </c>
      <c r="F1533" s="134">
        <v>3034</v>
      </c>
      <c r="G1533" s="134">
        <v>153</v>
      </c>
      <c r="H1533" s="134">
        <v>1261</v>
      </c>
      <c r="I1533" s="200">
        <v>0.32928955909800001</v>
      </c>
      <c r="J1533" s="134">
        <v>4295</v>
      </c>
      <c r="K1533" s="134">
        <v>13043.231652300001</v>
      </c>
      <c r="L1533" s="42">
        <v>0.86179335121099998</v>
      </c>
      <c r="M1533" s="42">
        <v>0.54636048526900005</v>
      </c>
      <c r="N1533" s="134">
        <v>0</v>
      </c>
      <c r="O1533" s="43" t="s">
        <v>666</v>
      </c>
      <c r="P1533" s="43">
        <f t="shared" si="327"/>
        <v>11.927198643131186</v>
      </c>
      <c r="Q1533" s="43">
        <f t="shared" si="328"/>
        <v>2.5610384999999999E-2</v>
      </c>
      <c r="R1533" s="43">
        <f t="shared" si="329"/>
        <v>1.363645E-2</v>
      </c>
      <c r="S1533" s="43">
        <f t="shared" si="330"/>
        <v>0.86179335099999999</v>
      </c>
      <c r="T1533" s="43">
        <f t="shared" si="331"/>
        <v>2.9079826240000002</v>
      </c>
      <c r="U1533" s="43">
        <f t="shared" si="332"/>
        <v>8.0308222540000003</v>
      </c>
      <c r="V1533" s="43">
        <f t="shared" si="333"/>
        <v>9.4417059999999994E-3</v>
      </c>
      <c r="W1533" s="230">
        <f t="shared" si="334"/>
        <v>3.8198827826871659E-2</v>
      </c>
      <c r="X1533" s="43">
        <f t="shared" si="335"/>
        <v>0.89649164100000001</v>
      </c>
      <c r="Y1533" s="43">
        <v>114.5852041</v>
      </c>
      <c r="Z1533" s="43">
        <f t="shared" si="324"/>
        <v>0</v>
      </c>
      <c r="AA1533" s="43">
        <f t="shared" si="325"/>
        <v>230820</v>
      </c>
      <c r="AB1533" s="43">
        <f t="shared" si="326"/>
        <v>76507</v>
      </c>
      <c r="AC1533" s="43">
        <f t="shared" si="336"/>
        <v>2.4487274902360415E-2</v>
      </c>
      <c r="AD1533" s="43">
        <f t="shared" si="337"/>
        <v>0.89458291538016477</v>
      </c>
      <c r="AF1533" s="43">
        <v>11.927198643131186</v>
      </c>
      <c r="AG1533" s="43">
        <v>2.5610384999999999E-2</v>
      </c>
      <c r="AH1533" s="43">
        <v>1.363645E-2</v>
      </c>
      <c r="AI1533" s="43">
        <v>0.86179335099999999</v>
      </c>
      <c r="AJ1533" s="43">
        <v>2.9079826240000002</v>
      </c>
      <c r="AK1533" s="43">
        <v>8.0308222540000003</v>
      </c>
      <c r="AL1533" s="43">
        <v>9.4417059999999994E-3</v>
      </c>
      <c r="AM1533" s="230">
        <v>3.8198827826871659E-2</v>
      </c>
      <c r="AN1533" s="43">
        <v>0.89649164100000001</v>
      </c>
    </row>
    <row r="1534" spans="1:40" x14ac:dyDescent="0.25">
      <c r="A1534" s="134">
        <v>1524</v>
      </c>
      <c r="B1534" s="134" t="s">
        <v>217</v>
      </c>
      <c r="C1534" s="134" t="s">
        <v>218</v>
      </c>
      <c r="D1534" s="134" t="s">
        <v>219</v>
      </c>
      <c r="E1534" s="134">
        <v>1017</v>
      </c>
      <c r="F1534" s="134">
        <v>2581</v>
      </c>
      <c r="G1534" s="134">
        <v>81</v>
      </c>
      <c r="H1534" s="134">
        <v>188</v>
      </c>
      <c r="I1534" s="200">
        <v>0.14305800210399999</v>
      </c>
      <c r="J1534" s="134">
        <v>2769</v>
      </c>
      <c r="K1534" s="134">
        <v>19355.7854806</v>
      </c>
      <c r="L1534" s="42">
        <v>0.80253350410199997</v>
      </c>
      <c r="M1534" s="42">
        <v>0.15601659750999999</v>
      </c>
      <c r="N1534" s="134">
        <v>1</v>
      </c>
      <c r="O1534" s="43" t="s">
        <v>664</v>
      </c>
      <c r="P1534" s="43">
        <f t="shared" si="327"/>
        <v>12.410349789993388</v>
      </c>
      <c r="Q1534" s="43">
        <f t="shared" si="328"/>
        <v>4.9635999E-2</v>
      </c>
      <c r="R1534" s="43">
        <f t="shared" si="329"/>
        <v>1.4670564000000001E-2</v>
      </c>
      <c r="S1534" s="43">
        <f t="shared" si="330"/>
        <v>0.80253350400000001</v>
      </c>
      <c r="T1534" s="43">
        <f t="shared" si="331"/>
        <v>3.0422895620000001</v>
      </c>
      <c r="U1534" s="43">
        <f t="shared" si="332"/>
        <v>7.7067313909999999</v>
      </c>
      <c r="V1534" s="43">
        <f t="shared" si="333"/>
        <v>1.0653409000000001E-2</v>
      </c>
      <c r="W1534" s="230">
        <f t="shared" si="334"/>
        <v>8.9819616063548102E-2</v>
      </c>
      <c r="X1534" s="43">
        <f t="shared" si="335"/>
        <v>0.807845598</v>
      </c>
      <c r="Y1534" s="43">
        <v>190.96123349999999</v>
      </c>
      <c r="Z1534" s="43">
        <f t="shared" si="324"/>
        <v>0</v>
      </c>
      <c r="AA1534" s="43">
        <f t="shared" si="325"/>
        <v>230820</v>
      </c>
      <c r="AB1534" s="43">
        <f t="shared" si="326"/>
        <v>76507</v>
      </c>
      <c r="AC1534" s="43">
        <f t="shared" si="336"/>
        <v>2.4487274902360415E-2</v>
      </c>
      <c r="AD1534" s="43">
        <f t="shared" si="337"/>
        <v>0.89458291538016477</v>
      </c>
      <c r="AF1534" s="43">
        <v>12.410349789993388</v>
      </c>
      <c r="AG1534" s="43">
        <v>4.9635999E-2</v>
      </c>
      <c r="AH1534" s="43">
        <v>1.4670564000000001E-2</v>
      </c>
      <c r="AI1534" s="43">
        <v>0.80253350400000001</v>
      </c>
      <c r="AJ1534" s="43">
        <v>3.0422895620000001</v>
      </c>
      <c r="AK1534" s="43">
        <v>7.7067313909999999</v>
      </c>
      <c r="AL1534" s="43">
        <v>1.0653409000000001E-2</v>
      </c>
      <c r="AM1534" s="230">
        <v>8.9819616063548102E-2</v>
      </c>
      <c r="AN1534" s="43">
        <v>0.807845598</v>
      </c>
    </row>
    <row r="1535" spans="1:40" x14ac:dyDescent="0.25">
      <c r="A1535" s="134">
        <v>1525</v>
      </c>
      <c r="B1535" s="134" t="s">
        <v>217</v>
      </c>
      <c r="C1535" s="134" t="s">
        <v>218</v>
      </c>
      <c r="D1535" s="134" t="s">
        <v>219</v>
      </c>
      <c r="E1535" s="134">
        <v>86</v>
      </c>
      <c r="F1535" s="134">
        <v>218</v>
      </c>
      <c r="G1535" s="134">
        <v>14</v>
      </c>
      <c r="H1535" s="134">
        <v>149</v>
      </c>
      <c r="I1535" s="200">
        <v>2.4234366047400001E-2</v>
      </c>
      <c r="J1535" s="134">
        <v>367</v>
      </c>
      <c r="K1535" s="134">
        <v>15143.783802</v>
      </c>
      <c r="L1535" s="42">
        <v>0.85446434241400004</v>
      </c>
      <c r="M1535" s="42">
        <v>0.634042553191</v>
      </c>
      <c r="N1535" s="134">
        <v>0</v>
      </c>
      <c r="O1535" s="43" t="s">
        <v>664</v>
      </c>
      <c r="P1535" s="43">
        <f t="shared" si="327"/>
        <v>13.000712384437264</v>
      </c>
      <c r="Q1535" s="43">
        <f t="shared" si="328"/>
        <v>3.8896298000000003E-2</v>
      </c>
      <c r="R1535" s="43">
        <f t="shared" si="329"/>
        <v>1.1875278E-2</v>
      </c>
      <c r="S1535" s="43">
        <f t="shared" si="330"/>
        <v>0.85446434199999999</v>
      </c>
      <c r="T1535" s="43">
        <f t="shared" si="331"/>
        <v>3.465437788</v>
      </c>
      <c r="U1535" s="43">
        <f t="shared" si="332"/>
        <v>8.3486231869999994</v>
      </c>
      <c r="V1535" s="43">
        <f t="shared" si="333"/>
        <v>9.0695689999999995E-3</v>
      </c>
      <c r="W1535" s="230">
        <f t="shared" si="334"/>
        <v>5.6231327358087918E-2</v>
      </c>
      <c r="X1535" s="43">
        <f t="shared" si="335"/>
        <v>0.84971190799999996</v>
      </c>
      <c r="Y1535" s="43">
        <v>122.3099682</v>
      </c>
      <c r="Z1535" s="43">
        <f t="shared" si="324"/>
        <v>0</v>
      </c>
      <c r="AA1535" s="43">
        <f t="shared" si="325"/>
        <v>230820</v>
      </c>
      <c r="AB1535" s="43">
        <f t="shared" si="326"/>
        <v>76507</v>
      </c>
      <c r="AC1535" s="43">
        <f t="shared" si="336"/>
        <v>2.4487274902360415E-2</v>
      </c>
      <c r="AD1535" s="43">
        <f t="shared" si="337"/>
        <v>0.89458291538016477</v>
      </c>
      <c r="AF1535" s="43">
        <v>13.000712384437264</v>
      </c>
      <c r="AG1535" s="43">
        <v>3.8896298000000003E-2</v>
      </c>
      <c r="AH1535" s="43">
        <v>1.1875278E-2</v>
      </c>
      <c r="AI1535" s="43">
        <v>0.85446434199999999</v>
      </c>
      <c r="AJ1535" s="43">
        <v>3.465437788</v>
      </c>
      <c r="AK1535" s="43">
        <v>8.3486231869999994</v>
      </c>
      <c r="AL1535" s="43">
        <v>9.0695689999999995E-3</v>
      </c>
      <c r="AM1535" s="230">
        <v>5.6231327358087918E-2</v>
      </c>
      <c r="AN1535" s="43">
        <v>0.84971190799999996</v>
      </c>
    </row>
    <row r="1536" spans="1:40" x14ac:dyDescent="0.25">
      <c r="A1536" s="134">
        <v>1526</v>
      </c>
      <c r="B1536" s="134" t="s">
        <v>217</v>
      </c>
      <c r="C1536" s="134" t="s">
        <v>218</v>
      </c>
      <c r="D1536" s="134" t="s">
        <v>219</v>
      </c>
      <c r="E1536" s="134">
        <v>62</v>
      </c>
      <c r="F1536" s="134">
        <v>157</v>
      </c>
      <c r="G1536" s="134">
        <v>59</v>
      </c>
      <c r="H1536" s="134">
        <v>371</v>
      </c>
      <c r="I1536" s="200">
        <v>0.105077844484</v>
      </c>
      <c r="J1536" s="134">
        <v>528</v>
      </c>
      <c r="K1536" s="134">
        <v>5024.8461280800002</v>
      </c>
      <c r="L1536" s="42">
        <v>0.89711376049500002</v>
      </c>
      <c r="M1536" s="42">
        <v>0.85681293302499995</v>
      </c>
      <c r="N1536" s="134">
        <v>0</v>
      </c>
      <c r="O1536" s="43" t="s">
        <v>666</v>
      </c>
      <c r="P1536" s="43">
        <f t="shared" si="327"/>
        <v>12.996601204930505</v>
      </c>
      <c r="Q1536" s="43">
        <f t="shared" si="328"/>
        <v>2.2858129000000001E-2</v>
      </c>
      <c r="R1536" s="43">
        <f t="shared" si="329"/>
        <v>1.1108508E-2</v>
      </c>
      <c r="S1536" s="43">
        <f t="shared" si="330"/>
        <v>0.89711375999999998</v>
      </c>
      <c r="T1536" s="43">
        <f t="shared" si="331"/>
        <v>3.635663181</v>
      </c>
      <c r="U1536" s="43">
        <f t="shared" si="332"/>
        <v>9.3018006339999992</v>
      </c>
      <c r="V1536" s="43">
        <f t="shared" si="333"/>
        <v>8.3637610000000008E-3</v>
      </c>
      <c r="W1536" s="230">
        <f t="shared" si="334"/>
        <v>3.2362762537839776E-2</v>
      </c>
      <c r="X1536" s="43">
        <f t="shared" si="335"/>
        <v>0.89757513300000002</v>
      </c>
      <c r="Y1536" s="43">
        <v>122.59744310000001</v>
      </c>
      <c r="Z1536" s="43">
        <f t="shared" si="324"/>
        <v>0</v>
      </c>
      <c r="AA1536" s="43">
        <f t="shared" si="325"/>
        <v>230820</v>
      </c>
      <c r="AB1536" s="43">
        <f t="shared" si="326"/>
        <v>76507</v>
      </c>
      <c r="AC1536" s="43">
        <f t="shared" si="336"/>
        <v>2.4487274902360415E-2</v>
      </c>
      <c r="AD1536" s="43">
        <f t="shared" si="337"/>
        <v>0.89458291538016477</v>
      </c>
      <c r="AF1536" s="43">
        <v>12.996601204930505</v>
      </c>
      <c r="AG1536" s="43">
        <v>2.2858129000000001E-2</v>
      </c>
      <c r="AH1536" s="43">
        <v>1.1108508E-2</v>
      </c>
      <c r="AI1536" s="43">
        <v>0.89711375999999998</v>
      </c>
      <c r="AJ1536" s="43">
        <v>3.635663181</v>
      </c>
      <c r="AK1536" s="43">
        <v>9.3018006339999992</v>
      </c>
      <c r="AL1536" s="43">
        <v>8.3637610000000008E-3</v>
      </c>
      <c r="AM1536" s="230">
        <v>3.2362762537839776E-2</v>
      </c>
      <c r="AN1536" s="43">
        <v>0.89757513300000002</v>
      </c>
    </row>
    <row r="1537" spans="1:40" x14ac:dyDescent="0.25">
      <c r="A1537" s="134">
        <v>1527</v>
      </c>
      <c r="B1537" s="134" t="s">
        <v>217</v>
      </c>
      <c r="C1537" s="134" t="s">
        <v>218</v>
      </c>
      <c r="D1537" s="134" t="s">
        <v>219</v>
      </c>
      <c r="E1537" s="134">
        <v>326</v>
      </c>
      <c r="F1537" s="134">
        <v>917</v>
      </c>
      <c r="G1537" s="134">
        <v>39</v>
      </c>
      <c r="H1537" s="134">
        <v>288</v>
      </c>
      <c r="I1537" s="200">
        <v>8.9038269411400001E-2</v>
      </c>
      <c r="J1537" s="134">
        <v>1205</v>
      </c>
      <c r="K1537" s="134">
        <v>13533.5065244</v>
      </c>
      <c r="L1537" s="42">
        <v>0.86065808427599999</v>
      </c>
      <c r="M1537" s="42">
        <v>0.46905537459300001</v>
      </c>
      <c r="N1537" s="134">
        <v>0</v>
      </c>
      <c r="O1537" s="43" t="s">
        <v>666</v>
      </c>
      <c r="P1537" s="43">
        <f t="shared" si="327"/>
        <v>12.340757682788583</v>
      </c>
      <c r="Q1537" s="43">
        <f t="shared" si="328"/>
        <v>2.7010447E-2</v>
      </c>
      <c r="R1537" s="43">
        <f t="shared" si="329"/>
        <v>1.4400422E-2</v>
      </c>
      <c r="S1537" s="43">
        <f t="shared" si="330"/>
        <v>0.86065808399999999</v>
      </c>
      <c r="T1537" s="43">
        <f t="shared" si="331"/>
        <v>3.0485651210000002</v>
      </c>
      <c r="U1537" s="43">
        <f t="shared" si="332"/>
        <v>8.1459549599999992</v>
      </c>
      <c r="V1537" s="43">
        <f t="shared" si="333"/>
        <v>9.5523150000000005E-3</v>
      </c>
      <c r="W1537" s="230">
        <f t="shared" si="334"/>
        <v>4.2189390562312933E-2</v>
      </c>
      <c r="X1537" s="43">
        <f t="shared" si="335"/>
        <v>0.88151945499999995</v>
      </c>
      <c r="Y1537" s="43">
        <v>153.6582803</v>
      </c>
      <c r="Z1537" s="43">
        <f t="shared" si="324"/>
        <v>0</v>
      </c>
      <c r="AA1537" s="43">
        <f t="shared" si="325"/>
        <v>230820</v>
      </c>
      <c r="AB1537" s="43">
        <f t="shared" si="326"/>
        <v>76507</v>
      </c>
      <c r="AC1537" s="43">
        <f t="shared" si="336"/>
        <v>2.4487274902360415E-2</v>
      </c>
      <c r="AD1537" s="43">
        <f t="shared" si="337"/>
        <v>0.89458291538016477</v>
      </c>
      <c r="AF1537" s="43">
        <v>12.340757682788583</v>
      </c>
      <c r="AG1537" s="43">
        <v>2.7010447E-2</v>
      </c>
      <c r="AH1537" s="43">
        <v>1.4400422E-2</v>
      </c>
      <c r="AI1537" s="43">
        <v>0.86065808399999999</v>
      </c>
      <c r="AJ1537" s="43">
        <v>3.0485651210000002</v>
      </c>
      <c r="AK1537" s="43">
        <v>8.1459549599999992</v>
      </c>
      <c r="AL1537" s="43">
        <v>9.5523150000000005E-3</v>
      </c>
      <c r="AM1537" s="230">
        <v>4.2189390562312933E-2</v>
      </c>
      <c r="AN1537" s="43">
        <v>0.88151945499999995</v>
      </c>
    </row>
    <row r="1538" spans="1:40" x14ac:dyDescent="0.25">
      <c r="A1538" s="134">
        <v>1528</v>
      </c>
      <c r="B1538" s="134" t="s">
        <v>217</v>
      </c>
      <c r="C1538" s="134" t="s">
        <v>218</v>
      </c>
      <c r="D1538" s="134" t="s">
        <v>219</v>
      </c>
      <c r="E1538" s="134">
        <v>461</v>
      </c>
      <c r="F1538" s="134">
        <v>1295</v>
      </c>
      <c r="G1538" s="134">
        <v>90</v>
      </c>
      <c r="H1538" s="134">
        <v>174</v>
      </c>
      <c r="I1538" s="200">
        <v>0.20412178397299999</v>
      </c>
      <c r="J1538" s="134">
        <v>1469</v>
      </c>
      <c r="K1538" s="134">
        <v>7196.6841138</v>
      </c>
      <c r="L1538" s="42">
        <v>0.88215933705500005</v>
      </c>
      <c r="M1538" s="42">
        <v>0.27401574803099998</v>
      </c>
      <c r="N1538" s="134">
        <v>0</v>
      </c>
      <c r="O1538" s="43" t="s">
        <v>666</v>
      </c>
      <c r="P1538" s="43">
        <f t="shared" si="327"/>
        <v>12.662439004043595</v>
      </c>
      <c r="Q1538" s="43">
        <f t="shared" si="328"/>
        <v>2.3940507999999999E-2</v>
      </c>
      <c r="R1538" s="43">
        <f t="shared" si="329"/>
        <v>1.4561487999999999E-2</v>
      </c>
      <c r="S1538" s="43">
        <f t="shared" si="330"/>
        <v>0.88215933700000004</v>
      </c>
      <c r="T1538" s="43">
        <f t="shared" si="331"/>
        <v>3.2772950509999998</v>
      </c>
      <c r="U1538" s="43">
        <f t="shared" si="332"/>
        <v>8.6766196279999992</v>
      </c>
      <c r="V1538" s="43">
        <f t="shared" si="333"/>
        <v>6.2624389999999999E-3</v>
      </c>
      <c r="W1538" s="230">
        <f t="shared" si="334"/>
        <v>3.1723497412763695E-2</v>
      </c>
      <c r="X1538" s="43">
        <f t="shared" si="335"/>
        <v>0.92502321899999995</v>
      </c>
      <c r="Y1538" s="43">
        <v>118.5053745</v>
      </c>
      <c r="Z1538" s="43">
        <f t="shared" si="324"/>
        <v>0</v>
      </c>
      <c r="AA1538" s="43">
        <f t="shared" si="325"/>
        <v>230820</v>
      </c>
      <c r="AB1538" s="43">
        <f t="shared" si="326"/>
        <v>76507</v>
      </c>
      <c r="AC1538" s="43">
        <f t="shared" si="336"/>
        <v>2.4487274902360415E-2</v>
      </c>
      <c r="AD1538" s="43">
        <f t="shared" si="337"/>
        <v>0.89458291538016477</v>
      </c>
      <c r="AF1538" s="43">
        <v>12.662439004043595</v>
      </c>
      <c r="AG1538" s="43">
        <v>2.3940507999999999E-2</v>
      </c>
      <c r="AH1538" s="43">
        <v>1.4561487999999999E-2</v>
      </c>
      <c r="AI1538" s="43">
        <v>0.88215933700000004</v>
      </c>
      <c r="AJ1538" s="43">
        <v>3.2772950509999998</v>
      </c>
      <c r="AK1538" s="43">
        <v>8.6766196279999992</v>
      </c>
      <c r="AL1538" s="43">
        <v>6.2624389999999999E-3</v>
      </c>
      <c r="AM1538" s="230">
        <v>3.1723497412763695E-2</v>
      </c>
      <c r="AN1538" s="43">
        <v>0.92502321899999995</v>
      </c>
    </row>
    <row r="1539" spans="1:40" x14ac:dyDescent="0.25">
      <c r="A1539" s="134">
        <v>1529</v>
      </c>
      <c r="B1539" s="134" t="s">
        <v>217</v>
      </c>
      <c r="C1539" s="134" t="s">
        <v>218</v>
      </c>
      <c r="D1539" s="134" t="s">
        <v>219</v>
      </c>
      <c r="E1539" s="134">
        <v>461</v>
      </c>
      <c r="F1539" s="134">
        <v>1295</v>
      </c>
      <c r="G1539" s="134">
        <v>21</v>
      </c>
      <c r="H1539" s="134">
        <v>174</v>
      </c>
      <c r="I1539" s="200">
        <v>4.7280054107400001E-2</v>
      </c>
      <c r="J1539" s="134">
        <v>1469</v>
      </c>
      <c r="K1539" s="134">
        <v>31070.1844093</v>
      </c>
      <c r="L1539" s="42">
        <v>0.87691815013700003</v>
      </c>
      <c r="M1539" s="42">
        <v>0.27401574803099998</v>
      </c>
      <c r="N1539" s="134">
        <v>0</v>
      </c>
      <c r="O1539" s="43" t="s">
        <v>664</v>
      </c>
      <c r="P1539" s="43">
        <f t="shared" si="327"/>
        <v>12.761704123777299</v>
      </c>
      <c r="Q1539" s="43">
        <f t="shared" si="328"/>
        <v>2.6105303E-2</v>
      </c>
      <c r="R1539" s="43">
        <f t="shared" si="329"/>
        <v>1.5650371999999999E-2</v>
      </c>
      <c r="S1539" s="43">
        <f t="shared" si="330"/>
        <v>0.87691814999999995</v>
      </c>
      <c r="T1539" s="43">
        <f t="shared" si="331"/>
        <v>3.4823515239999998</v>
      </c>
      <c r="U1539" s="43">
        <f t="shared" si="332"/>
        <v>8.8432701730000005</v>
      </c>
      <c r="V1539" s="43">
        <f t="shared" si="333"/>
        <v>1.1453563999999999E-2</v>
      </c>
      <c r="W1539" s="230">
        <f t="shared" si="334"/>
        <v>4.0388163739492923E-2</v>
      </c>
      <c r="X1539" s="43">
        <f t="shared" si="335"/>
        <v>0.90569261300000004</v>
      </c>
      <c r="Y1539" s="43">
        <v>90.521845290000002</v>
      </c>
      <c r="Z1539" s="43">
        <f t="shared" si="324"/>
        <v>0</v>
      </c>
      <c r="AA1539" s="43">
        <f t="shared" si="325"/>
        <v>230820</v>
      </c>
      <c r="AB1539" s="43">
        <f t="shared" si="326"/>
        <v>76507</v>
      </c>
      <c r="AC1539" s="43">
        <f t="shared" si="336"/>
        <v>2.4487274902360415E-2</v>
      </c>
      <c r="AD1539" s="43">
        <f t="shared" si="337"/>
        <v>0.89458291538016477</v>
      </c>
      <c r="AF1539" s="43">
        <v>12.761704123777299</v>
      </c>
      <c r="AG1539" s="43">
        <v>2.6105303E-2</v>
      </c>
      <c r="AH1539" s="43">
        <v>1.5650371999999999E-2</v>
      </c>
      <c r="AI1539" s="43">
        <v>0.87691814999999995</v>
      </c>
      <c r="AJ1539" s="43">
        <v>3.4823515239999998</v>
      </c>
      <c r="AK1539" s="43">
        <v>8.8432701730000005</v>
      </c>
      <c r="AL1539" s="43">
        <v>1.1453563999999999E-2</v>
      </c>
      <c r="AM1539" s="230">
        <v>4.0388163739492923E-2</v>
      </c>
      <c r="AN1539" s="43">
        <v>0.90569261300000004</v>
      </c>
    </row>
    <row r="1540" spans="1:40" x14ac:dyDescent="0.25">
      <c r="A1540" s="134">
        <v>1530</v>
      </c>
      <c r="B1540" s="134" t="s">
        <v>217</v>
      </c>
      <c r="C1540" s="134" t="s">
        <v>218</v>
      </c>
      <c r="D1540" s="134" t="s">
        <v>219</v>
      </c>
      <c r="E1540" s="134">
        <v>300</v>
      </c>
      <c r="F1540" s="134">
        <v>843</v>
      </c>
      <c r="G1540" s="134">
        <v>36</v>
      </c>
      <c r="H1540" s="134">
        <v>91</v>
      </c>
      <c r="I1540" s="200">
        <v>8.1409999360100002E-2</v>
      </c>
      <c r="J1540" s="134">
        <v>934</v>
      </c>
      <c r="K1540" s="134">
        <v>11472.7921305</v>
      </c>
      <c r="L1540" s="42">
        <v>0.86518006163399996</v>
      </c>
      <c r="M1540" s="42">
        <v>0.23273657288999999</v>
      </c>
      <c r="N1540" s="134">
        <v>0</v>
      </c>
      <c r="O1540" s="43" t="s">
        <v>666</v>
      </c>
      <c r="P1540" s="43">
        <f t="shared" si="327"/>
        <v>12.046529231487554</v>
      </c>
      <c r="Q1540" s="43">
        <f t="shared" si="328"/>
        <v>2.0671901999999999E-2</v>
      </c>
      <c r="R1540" s="43">
        <f t="shared" si="329"/>
        <v>1.3980087E-2</v>
      </c>
      <c r="S1540" s="43">
        <f t="shared" si="330"/>
        <v>0.86518006199999997</v>
      </c>
      <c r="T1540" s="43">
        <f t="shared" si="331"/>
        <v>2.9457538350000001</v>
      </c>
      <c r="U1540" s="43">
        <f t="shared" si="332"/>
        <v>7.6635898879999997</v>
      </c>
      <c r="V1540" s="43">
        <f t="shared" si="333"/>
        <v>7.5656819999999998E-3</v>
      </c>
      <c r="W1540" s="230">
        <f t="shared" si="334"/>
        <v>3.1679930230022899E-2</v>
      </c>
      <c r="X1540" s="43">
        <f t="shared" si="335"/>
        <v>0.89859369899999997</v>
      </c>
      <c r="Y1540" s="43">
        <v>93.961967950000002</v>
      </c>
      <c r="Z1540" s="43">
        <f t="shared" si="324"/>
        <v>0</v>
      </c>
      <c r="AA1540" s="43">
        <f t="shared" si="325"/>
        <v>230820</v>
      </c>
      <c r="AB1540" s="43">
        <f t="shared" si="326"/>
        <v>76507</v>
      </c>
      <c r="AC1540" s="43">
        <f t="shared" si="336"/>
        <v>2.4487274902360415E-2</v>
      </c>
      <c r="AD1540" s="43">
        <f t="shared" si="337"/>
        <v>0.89458291538016477</v>
      </c>
      <c r="AF1540" s="43">
        <v>12.046529231487554</v>
      </c>
      <c r="AG1540" s="43">
        <v>2.0671901999999999E-2</v>
      </c>
      <c r="AH1540" s="43">
        <v>1.3980087E-2</v>
      </c>
      <c r="AI1540" s="43">
        <v>0.86518006199999997</v>
      </c>
      <c r="AJ1540" s="43">
        <v>2.9457538350000001</v>
      </c>
      <c r="AK1540" s="43">
        <v>7.6635898879999997</v>
      </c>
      <c r="AL1540" s="43">
        <v>7.5656819999999998E-3</v>
      </c>
      <c r="AM1540" s="230">
        <v>3.1679930230022899E-2</v>
      </c>
      <c r="AN1540" s="43">
        <v>0.89859369899999997</v>
      </c>
    </row>
    <row r="1541" spans="1:40" x14ac:dyDescent="0.25">
      <c r="A1541" s="134">
        <v>1531</v>
      </c>
      <c r="B1541" s="134" t="s">
        <v>217</v>
      </c>
      <c r="C1541" s="134" t="s">
        <v>218</v>
      </c>
      <c r="D1541" s="134" t="s">
        <v>219</v>
      </c>
      <c r="E1541" s="134">
        <v>119</v>
      </c>
      <c r="F1541" s="134">
        <v>391</v>
      </c>
      <c r="G1541" s="134">
        <v>44</v>
      </c>
      <c r="H1541" s="134">
        <v>530</v>
      </c>
      <c r="I1541" s="200">
        <v>8.90618756875E-2</v>
      </c>
      <c r="J1541" s="134">
        <v>921</v>
      </c>
      <c r="K1541" s="134">
        <v>10341.125120999999</v>
      </c>
      <c r="L1541" s="42">
        <v>0.85324573178999996</v>
      </c>
      <c r="M1541" s="42">
        <v>0.81664098613299996</v>
      </c>
      <c r="N1541" s="134">
        <v>0</v>
      </c>
      <c r="O1541" s="43" t="s">
        <v>666</v>
      </c>
      <c r="P1541" s="43">
        <f t="shared" si="327"/>
        <v>12.950620699788207</v>
      </c>
      <c r="Q1541" s="43">
        <f t="shared" si="328"/>
        <v>1.7037357E-2</v>
      </c>
      <c r="R1541" s="43">
        <f t="shared" si="329"/>
        <v>4.5227943E-2</v>
      </c>
      <c r="S1541" s="43">
        <f t="shared" si="330"/>
        <v>0.85324573199999998</v>
      </c>
      <c r="T1541" s="43">
        <f t="shared" si="331"/>
        <v>2.8178608789999999</v>
      </c>
      <c r="U1541" s="43">
        <f t="shared" si="332"/>
        <v>8.1834925760000008</v>
      </c>
      <c r="V1541" s="43">
        <f t="shared" si="333"/>
        <v>7.9683830000000008E-3</v>
      </c>
      <c r="W1541" s="230">
        <f t="shared" si="334"/>
        <v>1.9183935056611836E-2</v>
      </c>
      <c r="X1541" s="43">
        <f t="shared" si="335"/>
        <v>0.92243110399999995</v>
      </c>
      <c r="Y1541" s="43">
        <v>36.569220260000002</v>
      </c>
      <c r="Z1541" s="43">
        <f t="shared" si="324"/>
        <v>0</v>
      </c>
      <c r="AA1541" s="43">
        <f t="shared" si="325"/>
        <v>230820</v>
      </c>
      <c r="AB1541" s="43">
        <f t="shared" si="326"/>
        <v>76507</v>
      </c>
      <c r="AC1541" s="43">
        <f t="shared" si="336"/>
        <v>2.4487274902360415E-2</v>
      </c>
      <c r="AD1541" s="43">
        <f t="shared" si="337"/>
        <v>0.89458291538016477</v>
      </c>
      <c r="AF1541" s="43">
        <v>12.950620699788207</v>
      </c>
      <c r="AG1541" s="43">
        <v>1.7037357E-2</v>
      </c>
      <c r="AH1541" s="43">
        <v>4.5227943E-2</v>
      </c>
      <c r="AI1541" s="43">
        <v>0.85324573199999998</v>
      </c>
      <c r="AJ1541" s="43">
        <v>2.8178608789999999</v>
      </c>
      <c r="AK1541" s="43">
        <v>8.1834925760000008</v>
      </c>
      <c r="AL1541" s="43">
        <v>7.9683830000000008E-3</v>
      </c>
      <c r="AM1541" s="230">
        <v>1.9183935056611836E-2</v>
      </c>
      <c r="AN1541" s="43">
        <v>0.92243110399999995</v>
      </c>
    </row>
    <row r="1542" spans="1:40" x14ac:dyDescent="0.25">
      <c r="A1542" s="134">
        <v>1532</v>
      </c>
      <c r="B1542" s="134" t="s">
        <v>217</v>
      </c>
      <c r="C1542" s="134" t="s">
        <v>218</v>
      </c>
      <c r="D1542" s="134" t="s">
        <v>219</v>
      </c>
      <c r="E1542" s="134">
        <v>593</v>
      </c>
      <c r="F1542" s="134">
        <v>1948</v>
      </c>
      <c r="G1542" s="134">
        <v>51</v>
      </c>
      <c r="H1542" s="134">
        <v>0</v>
      </c>
      <c r="I1542" s="200">
        <v>0.10446460639000001</v>
      </c>
      <c r="J1542" s="134">
        <v>1948</v>
      </c>
      <c r="K1542" s="134">
        <v>18647.464124999999</v>
      </c>
      <c r="L1542" s="42">
        <v>0.86983576490199999</v>
      </c>
      <c r="M1542" s="42">
        <v>0</v>
      </c>
      <c r="N1542" s="134">
        <v>0</v>
      </c>
      <c r="O1542" s="43" t="s">
        <v>666</v>
      </c>
      <c r="P1542" s="43">
        <f t="shared" si="327"/>
        <v>13.068129524472612</v>
      </c>
      <c r="Q1542" s="43">
        <f t="shared" si="328"/>
        <v>2.3176322999999999E-2</v>
      </c>
      <c r="R1542" s="43">
        <f t="shared" si="329"/>
        <v>3.4367652999999998E-2</v>
      </c>
      <c r="S1542" s="43">
        <f t="shared" si="330"/>
        <v>0.86983576500000004</v>
      </c>
      <c r="T1542" s="43">
        <f t="shared" si="331"/>
        <v>2.9569882029999999</v>
      </c>
      <c r="U1542" s="43">
        <f t="shared" si="332"/>
        <v>9.6891992610000006</v>
      </c>
      <c r="V1542" s="43">
        <f t="shared" si="333"/>
        <v>3.8105080000000002E-3</v>
      </c>
      <c r="W1542" s="230">
        <f t="shared" si="334"/>
        <v>3.9193791524761316E-2</v>
      </c>
      <c r="X1542" s="43">
        <f t="shared" si="335"/>
        <v>0.93304393900000004</v>
      </c>
      <c r="Y1542" s="43">
        <v>36.489756960000001</v>
      </c>
      <c r="Z1542" s="43">
        <f t="shared" si="324"/>
        <v>0</v>
      </c>
      <c r="AA1542" s="43">
        <f t="shared" si="325"/>
        <v>230820</v>
      </c>
      <c r="AB1542" s="43">
        <f t="shared" si="326"/>
        <v>76507</v>
      </c>
      <c r="AC1542" s="43">
        <f t="shared" si="336"/>
        <v>2.4487274902360415E-2</v>
      </c>
      <c r="AD1542" s="43">
        <f t="shared" si="337"/>
        <v>0.89458291538016477</v>
      </c>
      <c r="AF1542" s="43">
        <v>13.068129524472612</v>
      </c>
      <c r="AG1542" s="43">
        <v>2.3176322999999999E-2</v>
      </c>
      <c r="AH1542" s="43">
        <v>3.4367652999999998E-2</v>
      </c>
      <c r="AI1542" s="43">
        <v>0.86983576500000004</v>
      </c>
      <c r="AJ1542" s="43">
        <v>2.9569882029999999</v>
      </c>
      <c r="AK1542" s="43">
        <v>9.6891992610000006</v>
      </c>
      <c r="AL1542" s="43">
        <v>3.8105080000000002E-3</v>
      </c>
      <c r="AM1542" s="230">
        <v>3.9193791524761316E-2</v>
      </c>
      <c r="AN1542" s="43">
        <v>0.93304393900000004</v>
      </c>
    </row>
    <row r="1543" spans="1:40" x14ac:dyDescent="0.25">
      <c r="A1543" s="134">
        <v>1533</v>
      </c>
      <c r="B1543" s="134" t="s">
        <v>217</v>
      </c>
      <c r="C1543" s="134" t="s">
        <v>218</v>
      </c>
      <c r="D1543" s="134" t="s">
        <v>219</v>
      </c>
      <c r="E1543" s="134">
        <v>38</v>
      </c>
      <c r="F1543" s="134">
        <v>124</v>
      </c>
      <c r="G1543" s="134">
        <v>25</v>
      </c>
      <c r="H1543" s="134">
        <v>31</v>
      </c>
      <c r="I1543" s="200">
        <v>4.0827921109500002E-2</v>
      </c>
      <c r="J1543" s="134">
        <v>155</v>
      </c>
      <c r="K1543" s="134">
        <v>3796.4215612200001</v>
      </c>
      <c r="L1543" s="42">
        <v>0.89499426824600004</v>
      </c>
      <c r="M1543" s="42">
        <v>0.449275362319</v>
      </c>
      <c r="N1543" s="134">
        <v>0</v>
      </c>
      <c r="O1543" s="43" t="s">
        <v>666</v>
      </c>
      <c r="P1543" s="43">
        <f t="shared" si="327"/>
        <v>12.378510110939084</v>
      </c>
      <c r="Q1543" s="43">
        <f t="shared" si="328"/>
        <v>1.3679785999999999E-2</v>
      </c>
      <c r="R1543" s="43">
        <f t="shared" si="329"/>
        <v>1.3183034E-2</v>
      </c>
      <c r="S1543" s="43">
        <f t="shared" si="330"/>
        <v>0.89499426800000004</v>
      </c>
      <c r="T1543" s="43">
        <f t="shared" si="331"/>
        <v>3.4891774889999998</v>
      </c>
      <c r="U1543" s="43">
        <f t="shared" si="332"/>
        <v>8.5043256869999997</v>
      </c>
      <c r="V1543" s="43">
        <f t="shared" si="333"/>
        <v>2.481048E-3</v>
      </c>
      <c r="W1543" s="230">
        <f t="shared" si="334"/>
        <v>1.998621640248105E-2</v>
      </c>
      <c r="X1543" s="43">
        <f t="shared" si="335"/>
        <v>0.89951757399999999</v>
      </c>
      <c r="Y1543" s="43">
        <v>122.81974049999999</v>
      </c>
      <c r="Z1543" s="43">
        <f t="shared" si="324"/>
        <v>0</v>
      </c>
      <c r="AA1543" s="43">
        <f t="shared" si="325"/>
        <v>230820</v>
      </c>
      <c r="AB1543" s="43">
        <f t="shared" si="326"/>
        <v>76507</v>
      </c>
      <c r="AC1543" s="43">
        <f t="shared" si="336"/>
        <v>2.4487274902360415E-2</v>
      </c>
      <c r="AD1543" s="43">
        <f t="shared" si="337"/>
        <v>0.89458291538016477</v>
      </c>
      <c r="AF1543" s="43">
        <v>12.378510110939084</v>
      </c>
      <c r="AG1543" s="43">
        <v>1.3679785999999999E-2</v>
      </c>
      <c r="AH1543" s="43">
        <v>1.3183034E-2</v>
      </c>
      <c r="AI1543" s="43">
        <v>0.89499426800000004</v>
      </c>
      <c r="AJ1543" s="43">
        <v>3.4891774889999998</v>
      </c>
      <c r="AK1543" s="43">
        <v>8.5043256869999997</v>
      </c>
      <c r="AL1543" s="43">
        <v>2.481048E-3</v>
      </c>
      <c r="AM1543" s="230">
        <v>1.998621640248105E-2</v>
      </c>
      <c r="AN1543" s="43">
        <v>0.89951757399999999</v>
      </c>
    </row>
    <row r="1544" spans="1:40" x14ac:dyDescent="0.25">
      <c r="A1544" s="134">
        <v>1534</v>
      </c>
      <c r="B1544" s="134" t="s">
        <v>217</v>
      </c>
      <c r="C1544" s="134" t="s">
        <v>218</v>
      </c>
      <c r="D1544" s="134" t="s">
        <v>219</v>
      </c>
      <c r="E1544" s="134">
        <v>19</v>
      </c>
      <c r="F1544" s="134">
        <v>63</v>
      </c>
      <c r="G1544" s="134">
        <v>62</v>
      </c>
      <c r="H1544" s="134">
        <v>530</v>
      </c>
      <c r="I1544" s="200">
        <v>0.12658630254200001</v>
      </c>
      <c r="J1544" s="134">
        <v>593</v>
      </c>
      <c r="K1544" s="134">
        <v>4684.5510777299996</v>
      </c>
      <c r="L1544" s="42">
        <v>0.85641048422900001</v>
      </c>
      <c r="M1544" s="42">
        <v>0.96539162112900001</v>
      </c>
      <c r="N1544" s="134">
        <v>0</v>
      </c>
      <c r="O1544" s="43" t="s">
        <v>666</v>
      </c>
      <c r="P1544" s="43">
        <f t="shared" si="327"/>
        <v>13.769235122075948</v>
      </c>
      <c r="Q1544" s="43">
        <f t="shared" si="328"/>
        <v>1.6303865000000001E-2</v>
      </c>
      <c r="R1544" s="43">
        <f t="shared" si="329"/>
        <v>5.8533984999999997E-2</v>
      </c>
      <c r="S1544" s="43">
        <f t="shared" si="330"/>
        <v>0.85641048399999997</v>
      </c>
      <c r="T1544" s="43">
        <f t="shared" si="331"/>
        <v>2.9203492789999999</v>
      </c>
      <c r="U1544" s="43">
        <f t="shared" si="332"/>
        <v>8.7204578619999999</v>
      </c>
      <c r="V1544" s="43">
        <f t="shared" si="333"/>
        <v>6.9132839999999996E-3</v>
      </c>
      <c r="W1544" s="230">
        <f t="shared" si="334"/>
        <v>1.4009182928101847E-2</v>
      </c>
      <c r="X1544" s="43">
        <f t="shared" si="335"/>
        <v>0.94445893800000003</v>
      </c>
      <c r="Y1544" s="43">
        <v>35.641616130000003</v>
      </c>
      <c r="Z1544" s="43">
        <f t="shared" si="324"/>
        <v>0</v>
      </c>
      <c r="AA1544" s="43">
        <f t="shared" si="325"/>
        <v>230820</v>
      </c>
      <c r="AB1544" s="43">
        <f t="shared" si="326"/>
        <v>76507</v>
      </c>
      <c r="AC1544" s="43">
        <f t="shared" si="336"/>
        <v>2.4487274902360415E-2</v>
      </c>
      <c r="AD1544" s="43">
        <f t="shared" si="337"/>
        <v>0.89458291538016477</v>
      </c>
      <c r="AF1544" s="43">
        <v>13.769235122075948</v>
      </c>
      <c r="AG1544" s="43">
        <v>1.6303865000000001E-2</v>
      </c>
      <c r="AH1544" s="43">
        <v>5.8533984999999997E-2</v>
      </c>
      <c r="AI1544" s="43">
        <v>0.85641048399999997</v>
      </c>
      <c r="AJ1544" s="43">
        <v>2.9203492789999999</v>
      </c>
      <c r="AK1544" s="43">
        <v>8.7204578619999999</v>
      </c>
      <c r="AL1544" s="43">
        <v>6.9132839999999996E-3</v>
      </c>
      <c r="AM1544" s="230">
        <v>1.4009182928101847E-2</v>
      </c>
      <c r="AN1544" s="43">
        <v>0.94445893800000003</v>
      </c>
    </row>
    <row r="1545" spans="1:40" x14ac:dyDescent="0.25">
      <c r="A1545" s="134">
        <v>1535</v>
      </c>
      <c r="B1545" s="134" t="s">
        <v>217</v>
      </c>
      <c r="C1545" s="134" t="s">
        <v>218</v>
      </c>
      <c r="D1545" s="134" t="s">
        <v>219</v>
      </c>
      <c r="E1545" s="134">
        <v>19</v>
      </c>
      <c r="F1545" s="134">
        <v>63</v>
      </c>
      <c r="G1545" s="134">
        <v>70</v>
      </c>
      <c r="H1545" s="134">
        <v>530</v>
      </c>
      <c r="I1545" s="200">
        <v>0.14267212722799999</v>
      </c>
      <c r="J1545" s="134">
        <v>593</v>
      </c>
      <c r="K1545" s="134">
        <v>4156.38297066</v>
      </c>
      <c r="L1545" s="42">
        <v>0.86545752728900005</v>
      </c>
      <c r="M1545" s="42">
        <v>0.96539162112900001</v>
      </c>
      <c r="N1545" s="134">
        <v>0</v>
      </c>
      <c r="O1545" s="43" t="s">
        <v>666</v>
      </c>
      <c r="P1545" s="43">
        <f t="shared" si="327"/>
        <v>13.639437568416874</v>
      </c>
      <c r="Q1545" s="43">
        <f t="shared" si="328"/>
        <v>1.5015783E-2</v>
      </c>
      <c r="R1545" s="43">
        <f t="shared" si="329"/>
        <v>5.9031513000000001E-2</v>
      </c>
      <c r="S1545" s="43">
        <f t="shared" si="330"/>
        <v>0.865457527</v>
      </c>
      <c r="T1545" s="43">
        <f t="shared" si="331"/>
        <v>3.0319323960000002</v>
      </c>
      <c r="U1545" s="43">
        <f t="shared" si="332"/>
        <v>8.8670911360000009</v>
      </c>
      <c r="V1545" s="43">
        <f t="shared" si="333"/>
        <v>7.1177999999999996E-3</v>
      </c>
      <c r="W1545" s="230">
        <f t="shared" si="334"/>
        <v>1.199857644008338E-2</v>
      </c>
      <c r="X1545" s="43">
        <f t="shared" si="335"/>
        <v>0.94920941599999997</v>
      </c>
      <c r="Y1545" s="43">
        <v>35.487348220000001</v>
      </c>
      <c r="Z1545" s="43">
        <f t="shared" si="324"/>
        <v>0</v>
      </c>
      <c r="AA1545" s="43">
        <f t="shared" si="325"/>
        <v>230820</v>
      </c>
      <c r="AB1545" s="43">
        <f t="shared" si="326"/>
        <v>76507</v>
      </c>
      <c r="AC1545" s="43">
        <f t="shared" si="336"/>
        <v>2.4487274902360415E-2</v>
      </c>
      <c r="AD1545" s="43">
        <f t="shared" si="337"/>
        <v>0.89458291538016477</v>
      </c>
      <c r="AF1545" s="43">
        <v>13.639437568416874</v>
      </c>
      <c r="AG1545" s="43">
        <v>1.5015783E-2</v>
      </c>
      <c r="AH1545" s="43">
        <v>5.9031513000000001E-2</v>
      </c>
      <c r="AI1545" s="43">
        <v>0.865457527</v>
      </c>
      <c r="AJ1545" s="43">
        <v>3.0319323960000002</v>
      </c>
      <c r="AK1545" s="43">
        <v>8.8670911360000009</v>
      </c>
      <c r="AL1545" s="43">
        <v>7.1177999999999996E-3</v>
      </c>
      <c r="AM1545" s="230">
        <v>1.199857644008338E-2</v>
      </c>
      <c r="AN1545" s="43">
        <v>0.94920941599999997</v>
      </c>
    </row>
    <row r="1546" spans="1:40" x14ac:dyDescent="0.25">
      <c r="A1546" s="134">
        <v>1536</v>
      </c>
      <c r="B1546" s="134" t="s">
        <v>217</v>
      </c>
      <c r="C1546" s="134" t="s">
        <v>218</v>
      </c>
      <c r="D1546" s="134" t="s">
        <v>219</v>
      </c>
      <c r="E1546" s="134">
        <v>0</v>
      </c>
      <c r="F1546" s="134">
        <v>0</v>
      </c>
      <c r="G1546" s="134">
        <v>42</v>
      </c>
      <c r="H1546" s="134">
        <v>1200</v>
      </c>
      <c r="I1546" s="200">
        <v>9.5591205963699993E-2</v>
      </c>
      <c r="J1546" s="134">
        <v>1200</v>
      </c>
      <c r="K1546" s="134">
        <v>12553.456020400001</v>
      </c>
      <c r="L1546" s="42">
        <v>0.89652697613900001</v>
      </c>
      <c r="M1546" s="42">
        <v>1</v>
      </c>
      <c r="N1546" s="134">
        <v>1</v>
      </c>
      <c r="O1546" s="43" t="s">
        <v>666</v>
      </c>
      <c r="P1546" s="43">
        <f t="shared" si="327"/>
        <v>14.927572561770681</v>
      </c>
      <c r="Q1546" s="43">
        <f t="shared" si="328"/>
        <v>2.8755236999999999E-2</v>
      </c>
      <c r="R1546" s="43">
        <f t="shared" si="329"/>
        <v>8.7982119999999997E-3</v>
      </c>
      <c r="S1546" s="43">
        <f t="shared" si="330"/>
        <v>0.89652697599999998</v>
      </c>
      <c r="T1546" s="43">
        <f t="shared" si="331"/>
        <v>3.6955348379999999</v>
      </c>
      <c r="U1546" s="43">
        <f t="shared" si="332"/>
        <v>8.6700546020000004</v>
      </c>
      <c r="V1546" s="43">
        <f t="shared" si="333"/>
        <v>7.3095310000000002E-3</v>
      </c>
      <c r="W1546" s="230">
        <f t="shared" si="334"/>
        <v>5.8353247118358167E-2</v>
      </c>
      <c r="X1546" s="43">
        <f t="shared" si="335"/>
        <v>0.90337714400000002</v>
      </c>
      <c r="Y1546" s="43">
        <v>6.7500379710000002</v>
      </c>
      <c r="Z1546" s="43">
        <f t="shared" si="324"/>
        <v>0</v>
      </c>
      <c r="AA1546" s="43">
        <f t="shared" si="325"/>
        <v>230820</v>
      </c>
      <c r="AB1546" s="43">
        <f t="shared" si="326"/>
        <v>76507</v>
      </c>
      <c r="AC1546" s="43">
        <f t="shared" si="336"/>
        <v>2.4487274902360415E-2</v>
      </c>
      <c r="AD1546" s="43">
        <f t="shared" si="337"/>
        <v>0.89458291538016477</v>
      </c>
      <c r="AF1546" s="43">
        <v>14.927572561770681</v>
      </c>
      <c r="AG1546" s="43">
        <v>2.8755236999999999E-2</v>
      </c>
      <c r="AH1546" s="43">
        <v>8.7982119999999997E-3</v>
      </c>
      <c r="AI1546" s="43">
        <v>0.89652697599999998</v>
      </c>
      <c r="AJ1546" s="43">
        <v>3.6955348379999999</v>
      </c>
      <c r="AK1546" s="43">
        <v>8.6700546020000004</v>
      </c>
      <c r="AL1546" s="43">
        <v>7.3095310000000002E-3</v>
      </c>
      <c r="AM1546" s="230">
        <v>5.8353247118358167E-2</v>
      </c>
      <c r="AN1546" s="43">
        <v>0.90337714400000002</v>
      </c>
    </row>
    <row r="1547" spans="1:40" x14ac:dyDescent="0.25">
      <c r="A1547" s="134">
        <v>1537</v>
      </c>
      <c r="B1547" s="134" t="s">
        <v>217</v>
      </c>
      <c r="C1547" s="134" t="s">
        <v>218</v>
      </c>
      <c r="D1547" s="134" t="s">
        <v>219</v>
      </c>
      <c r="E1547" s="134">
        <v>0</v>
      </c>
      <c r="F1547" s="134">
        <v>0</v>
      </c>
      <c r="G1547" s="134">
        <v>116</v>
      </c>
      <c r="H1547" s="134">
        <v>1650</v>
      </c>
      <c r="I1547" s="200">
        <v>0.262647790065</v>
      </c>
      <c r="J1547" s="134">
        <v>1650</v>
      </c>
      <c r="K1547" s="134">
        <v>6282.1773584800003</v>
      </c>
      <c r="L1547" s="42">
        <v>0.921313348586</v>
      </c>
      <c r="M1547" s="42">
        <v>1</v>
      </c>
      <c r="N1547" s="134">
        <v>1</v>
      </c>
      <c r="O1547" s="43" t="s">
        <v>666</v>
      </c>
      <c r="P1547" s="43">
        <f t="shared" si="327"/>
        <v>15.778308090777729</v>
      </c>
      <c r="Q1547" s="43">
        <f t="shared" si="328"/>
        <v>1.166596E-2</v>
      </c>
      <c r="R1547" s="43">
        <f t="shared" si="329"/>
        <v>8.6277030000000005E-3</v>
      </c>
      <c r="S1547" s="43">
        <f t="shared" si="330"/>
        <v>0.92131334899999995</v>
      </c>
      <c r="T1547" s="43">
        <f t="shared" si="331"/>
        <v>4.1657770320000003</v>
      </c>
      <c r="U1547" s="43">
        <f t="shared" si="332"/>
        <v>9.2188326499999995</v>
      </c>
      <c r="V1547" s="43">
        <f t="shared" si="333"/>
        <v>7.3035640000000002E-3</v>
      </c>
      <c r="W1547" s="230">
        <f t="shared" si="334"/>
        <v>2.0378902994951226E-2</v>
      </c>
      <c r="X1547" s="43">
        <f t="shared" si="335"/>
        <v>0.955308563</v>
      </c>
      <c r="Y1547" s="43">
        <v>9.2733394170000008</v>
      </c>
      <c r="Z1547" s="43">
        <f t="shared" ref="Z1547:Z1590" si="338">IF(B1547="Berkeley",1,0)</f>
        <v>0</v>
      </c>
      <c r="AA1547" s="43">
        <f t="shared" ref="AA1547:AA1590" si="339">SUMIFS(F:F,B:B,B1547)</f>
        <v>230820</v>
      </c>
      <c r="AB1547" s="43">
        <f t="shared" ref="AB1547:AB1590" si="340">SUMIFS(E:E,B:B,B1547)</f>
        <v>76507</v>
      </c>
      <c r="AC1547" s="43">
        <f t="shared" si="336"/>
        <v>2.4487274902360415E-2</v>
      </c>
      <c r="AD1547" s="43">
        <f t="shared" si="337"/>
        <v>0.89458291538016477</v>
      </c>
      <c r="AF1547" s="43">
        <v>15.778308090777729</v>
      </c>
      <c r="AG1547" s="43">
        <v>1.166596E-2</v>
      </c>
      <c r="AH1547" s="43">
        <v>8.6277030000000005E-3</v>
      </c>
      <c r="AI1547" s="43">
        <v>0.92131334899999995</v>
      </c>
      <c r="AJ1547" s="43">
        <v>4.1657770320000003</v>
      </c>
      <c r="AK1547" s="43">
        <v>9.2188326499999995</v>
      </c>
      <c r="AL1547" s="43">
        <v>7.3035640000000002E-3</v>
      </c>
      <c r="AM1547" s="230">
        <v>2.0378902994951226E-2</v>
      </c>
      <c r="AN1547" s="43">
        <v>0.955308563</v>
      </c>
    </row>
    <row r="1548" spans="1:40" x14ac:dyDescent="0.25">
      <c r="A1548" s="134">
        <v>1538</v>
      </c>
      <c r="B1548" s="134" t="s">
        <v>217</v>
      </c>
      <c r="C1548" s="134" t="s">
        <v>218</v>
      </c>
      <c r="D1548" s="134" t="s">
        <v>219</v>
      </c>
      <c r="E1548" s="134">
        <v>0</v>
      </c>
      <c r="F1548" s="134">
        <v>0</v>
      </c>
      <c r="G1548" s="134">
        <v>63</v>
      </c>
      <c r="H1548" s="134">
        <v>1500</v>
      </c>
      <c r="I1548" s="200">
        <v>0.14269164251899999</v>
      </c>
      <c r="J1548" s="134">
        <v>1500</v>
      </c>
      <c r="K1548" s="134">
        <v>10512.178383500001</v>
      </c>
      <c r="L1548" s="42">
        <v>0.91279084441299996</v>
      </c>
      <c r="M1548" s="42">
        <v>1</v>
      </c>
      <c r="N1548" s="134">
        <v>1</v>
      </c>
      <c r="O1548" s="43" t="s">
        <v>666</v>
      </c>
      <c r="P1548" s="43">
        <f t="shared" ref="P1548:P1590" si="341">IF(OR(IFERROR(AF1548=0,TRUE),ISERROR(AF1548)),AVERAGEIFS(AF:AF,$B:$B,$B1548,AF:AF,"&gt;0"),AF1548)</f>
        <v>15.623031317565387</v>
      </c>
      <c r="Q1548" s="43">
        <f t="shared" ref="Q1548:Q1590" si="342">IF(OR(IFERROR(AG1548=0,TRUE),ISERROR(AG1548)),AVERAGEIFS(AG:AG,$B:$B,$B1548,AG:AG,"&gt;0"),AG1548)</f>
        <v>1.3399104E-2</v>
      </c>
      <c r="R1548" s="43">
        <f t="shared" ref="R1548:R1590" si="343">IF(OR(IFERROR(AH1548=0,TRUE),ISERROR(AH1548)),AVERAGEIFS(AH:AH,$B:$B,$B1548,AH:AH,"&gt;0"),AH1548)</f>
        <v>8.7270850000000007E-3</v>
      </c>
      <c r="S1548" s="43">
        <f t="shared" ref="S1548:S1590" si="344">IF(OR(IFERROR(AI1548=0,TRUE),ISERROR(AI1548)),AVERAGEIFS(AI:AI,$B:$B,$B1548,AI:AI,"&gt;0"),AI1548)</f>
        <v>0.91279084399999999</v>
      </c>
      <c r="T1548" s="43">
        <f t="shared" ref="T1548:T1590" si="345">IF(OR(IFERROR(AJ1548=0,TRUE),ISERROR(AJ1548)),AVERAGEIFS(AJ:AJ,$B:$B,$B1548,AJ:AJ,"&gt;0"),AJ1548)</f>
        <v>4.0112395630000002</v>
      </c>
      <c r="U1548" s="43">
        <f t="shared" ref="U1548:U1590" si="346">IF(OR(IFERROR(AK1548=0,TRUE),ISERROR(AK1548)),AVERAGEIFS(AK:AK,$B:$B,$B1548,AK:AK,"&gt;0"),AK1548)</f>
        <v>8.9932518639999994</v>
      </c>
      <c r="V1548" s="43">
        <f t="shared" ref="V1548:V1590" si="347">IF(OR(IFERROR(AL1548=0,TRUE),ISERROR(AL1548)),AVERAGEIFS(AL:AL,$B:$B,$B1548,AL:AL,"&gt;0"),AL1548)</f>
        <v>7.2521820000000002E-3</v>
      </c>
      <c r="W1548" s="230">
        <f t="shared" ref="W1548:W1590" si="348">IF(OR(IFERROR(AM1548=0,TRUE),ISERROR(AM1548)),AVERAGEIFS(AM:AM,$B:$B,$B1548,AM:AM,"&gt;0"),AM1548)</f>
        <v>2.7336228584278505E-2</v>
      </c>
      <c r="X1548" s="43">
        <f t="shared" ref="X1548:X1590" si="349">IF(OR(IFERROR(AN1548=0,TRUE),ISERROR(AN1548)),AVERAGEIFS(AN:AN,$B:$B,$B1548,AN:AN,"&gt;0"),AN1548)</f>
        <v>0.94466697600000005</v>
      </c>
      <c r="Y1548" s="43">
        <v>6.7497810999999999</v>
      </c>
      <c r="Z1548" s="43">
        <f t="shared" si="338"/>
        <v>0</v>
      </c>
      <c r="AA1548" s="43">
        <f t="shared" si="339"/>
        <v>230820</v>
      </c>
      <c r="AB1548" s="43">
        <f t="shared" si="340"/>
        <v>76507</v>
      </c>
      <c r="AC1548" s="43">
        <f t="shared" ref="AC1548:AC1590" si="350">AVERAGEIFS(Q:Q,B:B,B1548,N:N,0,Q:Q,"&gt;0")</f>
        <v>2.4487274902360415E-2</v>
      </c>
      <c r="AD1548" s="43">
        <f t="shared" ref="AD1548:AD1590" si="351">AVERAGEIFS(S:S,B:B,B1548,N:N,0,S:S,"&gt;0")</f>
        <v>0.89458291538016477</v>
      </c>
      <c r="AF1548" s="43">
        <v>15.623031317565387</v>
      </c>
      <c r="AG1548" s="43">
        <v>1.3399104E-2</v>
      </c>
      <c r="AH1548" s="43">
        <v>8.7270850000000007E-3</v>
      </c>
      <c r="AI1548" s="43">
        <v>0.91279084399999999</v>
      </c>
      <c r="AJ1548" s="43">
        <v>4.0112395630000002</v>
      </c>
      <c r="AK1548" s="43">
        <v>8.9932518639999994</v>
      </c>
      <c r="AL1548" s="43">
        <v>7.2521820000000002E-3</v>
      </c>
      <c r="AM1548" s="230">
        <v>2.7336228584278505E-2</v>
      </c>
      <c r="AN1548" s="43">
        <v>0.94466697600000005</v>
      </c>
    </row>
    <row r="1549" spans="1:40" x14ac:dyDescent="0.25">
      <c r="A1549" s="134">
        <v>1539</v>
      </c>
      <c r="B1549" s="134" t="s">
        <v>217</v>
      </c>
      <c r="C1549" s="134" t="s">
        <v>218</v>
      </c>
      <c r="D1549" s="134" t="s">
        <v>219</v>
      </c>
      <c r="E1549" s="134">
        <v>0</v>
      </c>
      <c r="F1549" s="134">
        <v>0</v>
      </c>
      <c r="G1549" s="134">
        <v>296</v>
      </c>
      <c r="H1549" s="134">
        <v>2783</v>
      </c>
      <c r="I1549" s="200">
        <v>0.67336080094299999</v>
      </c>
      <c r="J1549" s="134">
        <v>2783</v>
      </c>
      <c r="K1549" s="134">
        <v>4132.9997173900001</v>
      </c>
      <c r="L1549" s="42">
        <v>0.97467273895600004</v>
      </c>
      <c r="M1549" s="42">
        <v>1</v>
      </c>
      <c r="N1549" s="134">
        <v>1</v>
      </c>
      <c r="O1549" s="43" t="s">
        <v>666</v>
      </c>
      <c r="P1549" s="43">
        <f t="shared" si="341"/>
        <v>15.957748834790948</v>
      </c>
      <c r="Q1549" s="43">
        <f t="shared" si="342"/>
        <v>2.5878991261870498E-2</v>
      </c>
      <c r="R1549" s="43">
        <f t="shared" si="343"/>
        <v>8.6534809999999993E-3</v>
      </c>
      <c r="S1549" s="43">
        <f t="shared" si="344"/>
        <v>0.97467273899999995</v>
      </c>
      <c r="T1549" s="43">
        <f t="shared" si="345"/>
        <v>5.6558529330000002</v>
      </c>
      <c r="U1549" s="43">
        <f t="shared" si="346"/>
        <v>10.134637550000001</v>
      </c>
      <c r="V1549" s="43">
        <f t="shared" si="347"/>
        <v>7.8156070000000005E-3</v>
      </c>
      <c r="W1549" s="230">
        <f t="shared" si="348"/>
        <v>3.855010570216353E-2</v>
      </c>
      <c r="X1549" s="43">
        <f t="shared" si="349"/>
        <v>0.98480841299999999</v>
      </c>
      <c r="Y1549" s="43">
        <v>6.7497810999999999</v>
      </c>
      <c r="Z1549" s="43">
        <f t="shared" si="338"/>
        <v>0</v>
      </c>
      <c r="AA1549" s="43">
        <f t="shared" si="339"/>
        <v>230820</v>
      </c>
      <c r="AB1549" s="43">
        <f t="shared" si="340"/>
        <v>76507</v>
      </c>
      <c r="AC1549" s="43">
        <f t="shared" si="350"/>
        <v>2.4487274902360415E-2</v>
      </c>
      <c r="AD1549" s="43">
        <f t="shared" si="351"/>
        <v>0.89458291538016477</v>
      </c>
      <c r="AF1549" s="43">
        <v>15.957748834790948</v>
      </c>
      <c r="AG1549" s="43">
        <v>0</v>
      </c>
      <c r="AH1549" s="43">
        <v>8.6534809999999993E-3</v>
      </c>
      <c r="AI1549" s="43">
        <v>0.97467273899999995</v>
      </c>
      <c r="AJ1549" s="43">
        <v>5.6558529330000002</v>
      </c>
      <c r="AK1549" s="43">
        <v>10.134637550000001</v>
      </c>
      <c r="AL1549" s="43">
        <v>7.8156070000000005E-3</v>
      </c>
      <c r="AM1549" s="230">
        <v>0</v>
      </c>
      <c r="AN1549" s="43">
        <v>0.98480841299999999</v>
      </c>
    </row>
    <row r="1550" spans="1:40" x14ac:dyDescent="0.25">
      <c r="A1550" s="134">
        <v>1540</v>
      </c>
      <c r="B1550" s="134" t="s">
        <v>217</v>
      </c>
      <c r="C1550" s="134" t="s">
        <v>218</v>
      </c>
      <c r="D1550" s="134" t="s">
        <v>219</v>
      </c>
      <c r="E1550" s="134">
        <v>18</v>
      </c>
      <c r="F1550" s="134">
        <v>47</v>
      </c>
      <c r="G1550" s="134">
        <v>114</v>
      </c>
      <c r="H1550" s="134">
        <v>1358</v>
      </c>
      <c r="I1550" s="200">
        <v>0.18495881398399999</v>
      </c>
      <c r="J1550" s="134">
        <v>1405</v>
      </c>
      <c r="K1550" s="134">
        <v>7596.28573375</v>
      </c>
      <c r="L1550" s="42">
        <v>0.95782065892699997</v>
      </c>
      <c r="M1550" s="42">
        <v>0.98691860465100001</v>
      </c>
      <c r="N1550" s="134">
        <v>0</v>
      </c>
      <c r="O1550" s="43" t="s">
        <v>666</v>
      </c>
      <c r="P1550" s="43">
        <f t="shared" si="341"/>
        <v>16.50366032463069</v>
      </c>
      <c r="Q1550" s="43">
        <f t="shared" si="342"/>
        <v>9.7963470000000004E-3</v>
      </c>
      <c r="R1550" s="43">
        <f t="shared" si="343"/>
        <v>7.7359910000000002E-3</v>
      </c>
      <c r="S1550" s="43">
        <f t="shared" si="344"/>
        <v>0.95782065900000002</v>
      </c>
      <c r="T1550" s="43">
        <f t="shared" si="345"/>
        <v>5.29193582</v>
      </c>
      <c r="U1550" s="43">
        <f t="shared" si="346"/>
        <v>11.375740589999999</v>
      </c>
      <c r="V1550" s="43">
        <f t="shared" si="347"/>
        <v>6.0748399999999998E-3</v>
      </c>
      <c r="W1550" s="230">
        <f t="shared" si="348"/>
        <v>1.3053002416386258E-2</v>
      </c>
      <c r="X1550" s="43">
        <f t="shared" si="349"/>
        <v>0.96969354799999996</v>
      </c>
      <c r="Y1550" s="43">
        <v>6.7497810999999999</v>
      </c>
      <c r="Z1550" s="43">
        <f t="shared" si="338"/>
        <v>0</v>
      </c>
      <c r="AA1550" s="43">
        <f t="shared" si="339"/>
        <v>230820</v>
      </c>
      <c r="AB1550" s="43">
        <f t="shared" si="340"/>
        <v>76507</v>
      </c>
      <c r="AC1550" s="43">
        <f t="shared" si="350"/>
        <v>2.4487274902360415E-2</v>
      </c>
      <c r="AD1550" s="43">
        <f t="shared" si="351"/>
        <v>0.89458291538016477</v>
      </c>
      <c r="AF1550" s="43">
        <v>16.50366032463069</v>
      </c>
      <c r="AG1550" s="43">
        <v>9.7963470000000004E-3</v>
      </c>
      <c r="AH1550" s="43">
        <v>7.7359910000000002E-3</v>
      </c>
      <c r="AI1550" s="43">
        <v>0.95782065900000002</v>
      </c>
      <c r="AJ1550" s="43">
        <v>5.29193582</v>
      </c>
      <c r="AK1550" s="43">
        <v>11.375740589999999</v>
      </c>
      <c r="AL1550" s="43">
        <v>6.0748399999999998E-3</v>
      </c>
      <c r="AM1550" s="230">
        <v>1.3053002416386258E-2</v>
      </c>
      <c r="AN1550" s="43">
        <v>0.96969354799999996</v>
      </c>
    </row>
    <row r="1551" spans="1:40" x14ac:dyDescent="0.25">
      <c r="A1551" s="134">
        <v>1541</v>
      </c>
      <c r="B1551" s="134" t="s">
        <v>217</v>
      </c>
      <c r="C1551" s="134" t="s">
        <v>218</v>
      </c>
      <c r="D1551" s="134" t="s">
        <v>219</v>
      </c>
      <c r="E1551" s="134">
        <v>0</v>
      </c>
      <c r="F1551" s="134">
        <v>0</v>
      </c>
      <c r="G1551" s="134">
        <v>131</v>
      </c>
      <c r="H1551" s="134">
        <v>1017</v>
      </c>
      <c r="I1551" s="200">
        <v>0.21312835405</v>
      </c>
      <c r="J1551" s="134">
        <v>1017</v>
      </c>
      <c r="K1551" s="134">
        <v>4771.7724116600002</v>
      </c>
      <c r="L1551" s="42">
        <v>0.95241024453400003</v>
      </c>
      <c r="M1551" s="42">
        <v>1</v>
      </c>
      <c r="N1551" s="134">
        <v>0</v>
      </c>
      <c r="O1551" s="43" t="s">
        <v>666</v>
      </c>
      <c r="P1551" s="43">
        <f t="shared" si="341"/>
        <v>16.144271456400769</v>
      </c>
      <c r="Q1551" s="43">
        <f t="shared" si="342"/>
        <v>7.0125420000000001E-3</v>
      </c>
      <c r="R1551" s="43">
        <f t="shared" si="343"/>
        <v>7.3888599999999997E-3</v>
      </c>
      <c r="S1551" s="43">
        <f t="shared" si="344"/>
        <v>0.95241024500000004</v>
      </c>
      <c r="T1551" s="43">
        <f t="shared" si="345"/>
        <v>5.2207729470000004</v>
      </c>
      <c r="U1551" s="43">
        <f t="shared" si="346"/>
        <v>11.01647333</v>
      </c>
      <c r="V1551" s="43">
        <f t="shared" si="347"/>
        <v>6.1553729999999996E-3</v>
      </c>
      <c r="W1551" s="230">
        <f t="shared" si="348"/>
        <v>6.9454652359253275E-3</v>
      </c>
      <c r="X1551" s="43">
        <f t="shared" si="349"/>
        <v>0.97201602200000004</v>
      </c>
      <c r="Y1551" s="43">
        <v>6.7497810999999999</v>
      </c>
      <c r="Z1551" s="43">
        <f t="shared" si="338"/>
        <v>0</v>
      </c>
      <c r="AA1551" s="43">
        <f t="shared" si="339"/>
        <v>230820</v>
      </c>
      <c r="AB1551" s="43">
        <f t="shared" si="340"/>
        <v>76507</v>
      </c>
      <c r="AC1551" s="43">
        <f t="shared" si="350"/>
        <v>2.4487274902360415E-2</v>
      </c>
      <c r="AD1551" s="43">
        <f t="shared" si="351"/>
        <v>0.89458291538016477</v>
      </c>
      <c r="AF1551" s="43">
        <v>16.144271456400769</v>
      </c>
      <c r="AG1551" s="43">
        <v>7.0125420000000001E-3</v>
      </c>
      <c r="AH1551" s="43">
        <v>7.3888599999999997E-3</v>
      </c>
      <c r="AI1551" s="43">
        <v>0.95241024500000004</v>
      </c>
      <c r="AJ1551" s="43">
        <v>5.2207729470000004</v>
      </c>
      <c r="AK1551" s="43">
        <v>11.01647333</v>
      </c>
      <c r="AL1551" s="43">
        <v>6.1553729999999996E-3</v>
      </c>
      <c r="AM1551" s="230">
        <v>6.9454652359253275E-3</v>
      </c>
      <c r="AN1551" s="43">
        <v>0.97201602200000004</v>
      </c>
    </row>
    <row r="1552" spans="1:40" x14ac:dyDescent="0.25">
      <c r="A1552" s="134">
        <v>1542</v>
      </c>
      <c r="B1552" s="134" t="s">
        <v>217</v>
      </c>
      <c r="C1552" s="134" t="s">
        <v>218</v>
      </c>
      <c r="D1552" s="134" t="s">
        <v>219</v>
      </c>
      <c r="E1552" s="134">
        <v>18</v>
      </c>
      <c r="F1552" s="134">
        <v>47</v>
      </c>
      <c r="G1552" s="134">
        <v>117</v>
      </c>
      <c r="H1552" s="134">
        <v>1358</v>
      </c>
      <c r="I1552" s="200">
        <v>0.189618545561</v>
      </c>
      <c r="J1552" s="134">
        <v>1405</v>
      </c>
      <c r="K1552" s="134">
        <v>7409.6127878300003</v>
      </c>
      <c r="L1552" s="42">
        <v>0.96197222991099995</v>
      </c>
      <c r="M1552" s="42">
        <v>0.98691860465100001</v>
      </c>
      <c r="N1552" s="134">
        <v>0</v>
      </c>
      <c r="O1552" s="43" t="s">
        <v>666</v>
      </c>
      <c r="P1552" s="43">
        <f t="shared" si="341"/>
        <v>15.497705951900793</v>
      </c>
      <c r="Q1552" s="43">
        <f t="shared" si="342"/>
        <v>1.06214E-4</v>
      </c>
      <c r="R1552" s="43">
        <f t="shared" si="343"/>
        <v>8.3168649999999997E-3</v>
      </c>
      <c r="S1552" s="43">
        <f t="shared" si="344"/>
        <v>0.96197222999999998</v>
      </c>
      <c r="T1552" s="43">
        <f t="shared" si="345"/>
        <v>4.7957446810000004</v>
      </c>
      <c r="U1552" s="43">
        <f t="shared" si="346"/>
        <v>10.827697669999999</v>
      </c>
      <c r="V1552" s="43">
        <f t="shared" si="347"/>
        <v>6.7944290000000003E-3</v>
      </c>
      <c r="W1552" s="230">
        <f t="shared" si="348"/>
        <v>2.8216067357395995E-4</v>
      </c>
      <c r="X1552" s="43">
        <f t="shared" si="349"/>
        <v>0.98195300299999999</v>
      </c>
      <c r="Y1552" s="43">
        <v>6.7497810999999999</v>
      </c>
      <c r="Z1552" s="43">
        <f t="shared" si="338"/>
        <v>0</v>
      </c>
      <c r="AA1552" s="43">
        <f t="shared" si="339"/>
        <v>230820</v>
      </c>
      <c r="AB1552" s="43">
        <f t="shared" si="340"/>
        <v>76507</v>
      </c>
      <c r="AC1552" s="43">
        <f t="shared" si="350"/>
        <v>2.4487274902360415E-2</v>
      </c>
      <c r="AD1552" s="43">
        <f t="shared" si="351"/>
        <v>0.89458291538016477</v>
      </c>
      <c r="AF1552" s="43">
        <v>15.497705951900793</v>
      </c>
      <c r="AG1552" s="43">
        <v>1.06214E-4</v>
      </c>
      <c r="AH1552" s="43">
        <v>8.3168649999999997E-3</v>
      </c>
      <c r="AI1552" s="43">
        <v>0.96197222999999998</v>
      </c>
      <c r="AJ1552" s="43">
        <v>4.7957446810000004</v>
      </c>
      <c r="AK1552" s="43">
        <v>10.827697669999999</v>
      </c>
      <c r="AL1552" s="43">
        <v>6.7944290000000003E-3</v>
      </c>
      <c r="AM1552" s="230">
        <v>2.8216067357395995E-4</v>
      </c>
      <c r="AN1552" s="43">
        <v>0.98195300299999999</v>
      </c>
    </row>
    <row r="1553" spans="1:40" x14ac:dyDescent="0.25">
      <c r="A1553" s="134">
        <v>1543</v>
      </c>
      <c r="B1553" s="134" t="s">
        <v>217</v>
      </c>
      <c r="C1553" s="134" t="s">
        <v>218</v>
      </c>
      <c r="D1553" s="134" t="s">
        <v>219</v>
      </c>
      <c r="E1553" s="134">
        <v>18</v>
      </c>
      <c r="F1553" s="134">
        <v>47</v>
      </c>
      <c r="G1553" s="134">
        <v>179</v>
      </c>
      <c r="H1553" s="134">
        <v>1358</v>
      </c>
      <c r="I1553" s="200">
        <v>0.29099795055700001</v>
      </c>
      <c r="J1553" s="134">
        <v>1405</v>
      </c>
      <c r="K1553" s="134">
        <v>4828.21269811</v>
      </c>
      <c r="L1553" s="42">
        <v>0.95596186296100005</v>
      </c>
      <c r="M1553" s="42">
        <v>0.98691860465100001</v>
      </c>
      <c r="N1553" s="134">
        <v>0</v>
      </c>
      <c r="O1553" s="43" t="s">
        <v>666</v>
      </c>
      <c r="P1553" s="43">
        <f t="shared" si="341"/>
        <v>15.768491586937259</v>
      </c>
      <c r="Q1553" s="43">
        <f t="shared" si="342"/>
        <v>1.05263E-4</v>
      </c>
      <c r="R1553" s="43">
        <f t="shared" si="343"/>
        <v>8.0924780000000002E-3</v>
      </c>
      <c r="S1553" s="43">
        <f t="shared" si="344"/>
        <v>0.95596186299999997</v>
      </c>
      <c r="T1553" s="43">
        <f t="shared" si="345"/>
        <v>4.9752698720000001</v>
      </c>
      <c r="U1553" s="43">
        <f t="shared" si="346"/>
        <v>10.67228448</v>
      </c>
      <c r="V1553" s="43">
        <f t="shared" si="347"/>
        <v>6.8592810000000001E-3</v>
      </c>
      <c r="W1553" s="230">
        <f t="shared" si="348"/>
        <v>3.1725541248673543E-4</v>
      </c>
      <c r="X1553" s="43">
        <f t="shared" si="349"/>
        <v>0.982747869</v>
      </c>
      <c r="Y1553" s="43">
        <v>6.7497810999999999</v>
      </c>
      <c r="Z1553" s="43">
        <f t="shared" si="338"/>
        <v>0</v>
      </c>
      <c r="AA1553" s="43">
        <f t="shared" si="339"/>
        <v>230820</v>
      </c>
      <c r="AB1553" s="43">
        <f t="shared" si="340"/>
        <v>76507</v>
      </c>
      <c r="AC1553" s="43">
        <f t="shared" si="350"/>
        <v>2.4487274902360415E-2</v>
      </c>
      <c r="AD1553" s="43">
        <f t="shared" si="351"/>
        <v>0.89458291538016477</v>
      </c>
      <c r="AF1553" s="43">
        <v>15.768491586937259</v>
      </c>
      <c r="AG1553" s="43">
        <v>1.05263E-4</v>
      </c>
      <c r="AH1553" s="43">
        <v>8.0924780000000002E-3</v>
      </c>
      <c r="AI1553" s="43">
        <v>0.95596186299999997</v>
      </c>
      <c r="AJ1553" s="43">
        <v>4.9752698720000001</v>
      </c>
      <c r="AK1553" s="43">
        <v>10.67228448</v>
      </c>
      <c r="AL1553" s="43">
        <v>6.8592810000000001E-3</v>
      </c>
      <c r="AM1553" s="230">
        <v>3.1725541248673543E-4</v>
      </c>
      <c r="AN1553" s="43">
        <v>0.982747869</v>
      </c>
    </row>
    <row r="1554" spans="1:40" x14ac:dyDescent="0.25">
      <c r="A1554" s="134">
        <v>1544</v>
      </c>
      <c r="B1554" s="134" t="s">
        <v>217</v>
      </c>
      <c r="C1554" s="134" t="s">
        <v>218</v>
      </c>
      <c r="D1554" s="134" t="s">
        <v>219</v>
      </c>
      <c r="E1554" s="134">
        <v>103</v>
      </c>
      <c r="F1554" s="134">
        <v>307</v>
      </c>
      <c r="G1554" s="134">
        <v>23</v>
      </c>
      <c r="H1554" s="134">
        <v>55</v>
      </c>
      <c r="I1554" s="200">
        <v>3.7580653768400002E-2</v>
      </c>
      <c r="J1554" s="134">
        <v>362</v>
      </c>
      <c r="K1554" s="134">
        <v>9632.6158195999997</v>
      </c>
      <c r="L1554" s="42">
        <v>0.89629399906999996</v>
      </c>
      <c r="M1554" s="42">
        <v>0.34810126582299999</v>
      </c>
      <c r="N1554" s="134">
        <v>0</v>
      </c>
      <c r="O1554" s="43" t="s">
        <v>666</v>
      </c>
      <c r="P1554" s="43">
        <f t="shared" si="341"/>
        <v>13.804356806258113</v>
      </c>
      <c r="Q1554" s="43">
        <f t="shared" si="342"/>
        <v>1.8080322999999999E-2</v>
      </c>
      <c r="R1554" s="43">
        <f t="shared" si="343"/>
        <v>1.1924328999999999E-2</v>
      </c>
      <c r="S1554" s="43">
        <f t="shared" si="344"/>
        <v>0.89629399899999995</v>
      </c>
      <c r="T1554" s="43">
        <f t="shared" si="345"/>
        <v>4.7039947609999997</v>
      </c>
      <c r="U1554" s="43">
        <f t="shared" si="346"/>
        <v>9.7538125050000009</v>
      </c>
      <c r="V1554" s="43">
        <f t="shared" si="347"/>
        <v>3.6972480000000002E-3</v>
      </c>
      <c r="W1554" s="230">
        <f t="shared" si="348"/>
        <v>2.5299741192626631E-2</v>
      </c>
      <c r="X1554" s="43">
        <f t="shared" si="349"/>
        <v>0.920720435</v>
      </c>
      <c r="Y1554" s="43">
        <v>139.8283467</v>
      </c>
      <c r="Z1554" s="43">
        <f t="shared" si="338"/>
        <v>0</v>
      </c>
      <c r="AA1554" s="43">
        <f t="shared" si="339"/>
        <v>230820</v>
      </c>
      <c r="AB1554" s="43">
        <f t="shared" si="340"/>
        <v>76507</v>
      </c>
      <c r="AC1554" s="43">
        <f t="shared" si="350"/>
        <v>2.4487274902360415E-2</v>
      </c>
      <c r="AD1554" s="43">
        <f t="shared" si="351"/>
        <v>0.89458291538016477</v>
      </c>
      <c r="AF1554" s="43">
        <v>13.804356806258113</v>
      </c>
      <c r="AG1554" s="43">
        <v>1.8080322999999999E-2</v>
      </c>
      <c r="AH1554" s="43">
        <v>1.1924328999999999E-2</v>
      </c>
      <c r="AI1554" s="43">
        <v>0.89629399899999995</v>
      </c>
      <c r="AJ1554" s="43">
        <v>4.7039947609999997</v>
      </c>
      <c r="AK1554" s="43">
        <v>9.7538125050000009</v>
      </c>
      <c r="AL1554" s="43">
        <v>3.6972480000000002E-3</v>
      </c>
      <c r="AM1554" s="230">
        <v>2.5299741192626631E-2</v>
      </c>
      <c r="AN1554" s="43">
        <v>0.920720435</v>
      </c>
    </row>
    <row r="1555" spans="1:40" x14ac:dyDescent="0.25">
      <c r="A1555" s="134">
        <v>1545</v>
      </c>
      <c r="B1555" s="134" t="s">
        <v>220</v>
      </c>
      <c r="C1555" s="134" t="s">
        <v>218</v>
      </c>
      <c r="D1555" s="134" t="s">
        <v>219</v>
      </c>
      <c r="E1555" s="134">
        <v>465</v>
      </c>
      <c r="F1555" s="134">
        <v>1648</v>
      </c>
      <c r="G1555" s="134">
        <v>98</v>
      </c>
      <c r="H1555" s="134">
        <v>39</v>
      </c>
      <c r="I1555" s="200">
        <v>0.16364869382300001</v>
      </c>
      <c r="J1555" s="134">
        <v>1687</v>
      </c>
      <c r="K1555" s="134">
        <v>10308.667674599999</v>
      </c>
      <c r="L1555" s="42">
        <v>0.85886502478799998</v>
      </c>
      <c r="M1555" s="42">
        <v>7.7380952380999998E-2</v>
      </c>
      <c r="N1555" s="134">
        <v>0</v>
      </c>
      <c r="O1555" s="43" t="s">
        <v>666</v>
      </c>
      <c r="P1555" s="43">
        <f t="shared" si="341"/>
        <v>14.354310307725413</v>
      </c>
      <c r="Q1555" s="43">
        <f t="shared" si="342"/>
        <v>3.1606355000000003E-2</v>
      </c>
      <c r="R1555" s="43">
        <f t="shared" si="343"/>
        <v>1.5241882E-2</v>
      </c>
      <c r="S1555" s="43">
        <f t="shared" si="344"/>
        <v>0.85886502499999995</v>
      </c>
      <c r="T1555" s="43">
        <f t="shared" si="345"/>
        <v>3.791404488</v>
      </c>
      <c r="U1555" s="43">
        <f t="shared" si="346"/>
        <v>10.03869718</v>
      </c>
      <c r="V1555" s="43">
        <f t="shared" si="347"/>
        <v>2.331236E-3</v>
      </c>
      <c r="W1555" s="230">
        <f t="shared" si="348"/>
        <v>5.098684210526315E-2</v>
      </c>
      <c r="X1555" s="43">
        <f t="shared" si="349"/>
        <v>0.91224256299999995</v>
      </c>
      <c r="Y1555" s="43">
        <v>5.0366018830000003</v>
      </c>
      <c r="Z1555" s="43">
        <f t="shared" si="338"/>
        <v>0</v>
      </c>
      <c r="AA1555" s="43">
        <f t="shared" si="339"/>
        <v>48985</v>
      </c>
      <c r="AB1555" s="43">
        <f t="shared" si="340"/>
        <v>14833</v>
      </c>
      <c r="AC1555" s="43">
        <f t="shared" si="350"/>
        <v>2.2308424319999999E-2</v>
      </c>
      <c r="AD1555" s="43">
        <f t="shared" si="351"/>
        <v>0.8897095029615385</v>
      </c>
      <c r="AF1555" s="43">
        <v>14.354310307725413</v>
      </c>
      <c r="AG1555" s="43">
        <v>3.1606355000000003E-2</v>
      </c>
      <c r="AH1555" s="43">
        <v>1.5241882E-2</v>
      </c>
      <c r="AI1555" s="43">
        <v>0.85886502499999995</v>
      </c>
      <c r="AJ1555" s="43">
        <v>3.791404488</v>
      </c>
      <c r="AK1555" s="43">
        <v>10.03869718</v>
      </c>
      <c r="AL1555" s="43">
        <v>2.331236E-3</v>
      </c>
      <c r="AM1555" s="230">
        <v>5.098684210526315E-2</v>
      </c>
      <c r="AN1555" s="43">
        <v>0.91224256299999995</v>
      </c>
    </row>
    <row r="1556" spans="1:40" x14ac:dyDescent="0.25">
      <c r="A1556" s="134">
        <v>1546</v>
      </c>
      <c r="B1556" s="134" t="s">
        <v>220</v>
      </c>
      <c r="C1556" s="134" t="s">
        <v>218</v>
      </c>
      <c r="D1556" s="134" t="s">
        <v>219</v>
      </c>
      <c r="E1556" s="134">
        <v>468</v>
      </c>
      <c r="F1556" s="134">
        <v>1658</v>
      </c>
      <c r="G1556" s="134">
        <v>51</v>
      </c>
      <c r="H1556" s="134">
        <v>952</v>
      </c>
      <c r="I1556" s="200">
        <v>8.6121238828599997E-2</v>
      </c>
      <c r="J1556" s="134">
        <v>2610</v>
      </c>
      <c r="K1556" s="134">
        <v>30306.113050600001</v>
      </c>
      <c r="L1556" s="42">
        <v>0.89185489518299998</v>
      </c>
      <c r="M1556" s="42">
        <v>0.67042253521100004</v>
      </c>
      <c r="N1556" s="134">
        <v>0</v>
      </c>
      <c r="O1556" s="43" t="s">
        <v>664</v>
      </c>
      <c r="P1556" s="43">
        <f t="shared" si="341"/>
        <v>14.435748077534438</v>
      </c>
      <c r="Q1556" s="43">
        <f t="shared" si="342"/>
        <v>5.1812510000000004E-3</v>
      </c>
      <c r="R1556" s="43">
        <f t="shared" si="343"/>
        <v>1.3323748E-2</v>
      </c>
      <c r="S1556" s="43">
        <f t="shared" si="344"/>
        <v>0.89185489500000004</v>
      </c>
      <c r="T1556" s="43">
        <f t="shared" si="345"/>
        <v>3.8839779010000002</v>
      </c>
      <c r="U1556" s="43">
        <f t="shared" si="346"/>
        <v>9.2903217219999998</v>
      </c>
      <c r="V1556" s="43">
        <f t="shared" si="347"/>
        <v>8.203732E-3</v>
      </c>
      <c r="W1556" s="230">
        <f t="shared" si="348"/>
        <v>1.9629171406508186E-2</v>
      </c>
      <c r="X1556" s="43">
        <f t="shared" si="349"/>
        <v>0.93377230499999997</v>
      </c>
      <c r="Y1556" s="43">
        <v>4.3261703999999996</v>
      </c>
      <c r="Z1556" s="43">
        <f t="shared" si="338"/>
        <v>0</v>
      </c>
      <c r="AA1556" s="43">
        <f t="shared" si="339"/>
        <v>48985</v>
      </c>
      <c r="AB1556" s="43">
        <f t="shared" si="340"/>
        <v>14833</v>
      </c>
      <c r="AC1556" s="43">
        <f t="shared" si="350"/>
        <v>2.2308424319999999E-2</v>
      </c>
      <c r="AD1556" s="43">
        <f t="shared" si="351"/>
        <v>0.8897095029615385</v>
      </c>
      <c r="AF1556" s="43">
        <v>14.435748077534438</v>
      </c>
      <c r="AG1556" s="43">
        <v>5.1812510000000004E-3</v>
      </c>
      <c r="AH1556" s="43">
        <v>1.3323748E-2</v>
      </c>
      <c r="AI1556" s="43">
        <v>0.89185489500000004</v>
      </c>
      <c r="AJ1556" s="43">
        <v>3.8839779010000002</v>
      </c>
      <c r="AK1556" s="43">
        <v>9.2903217219999998</v>
      </c>
      <c r="AL1556" s="43">
        <v>8.203732E-3</v>
      </c>
      <c r="AM1556" s="230">
        <v>1.9629171406508186E-2</v>
      </c>
      <c r="AN1556" s="43">
        <v>0.93377230499999997</v>
      </c>
    </row>
    <row r="1557" spans="1:40" x14ac:dyDescent="0.25">
      <c r="A1557" s="134">
        <v>1547</v>
      </c>
      <c r="B1557" s="134" t="s">
        <v>220</v>
      </c>
      <c r="C1557" s="134" t="s">
        <v>218</v>
      </c>
      <c r="D1557" s="134" t="s">
        <v>219</v>
      </c>
      <c r="E1557" s="134">
        <v>465</v>
      </c>
      <c r="F1557" s="134">
        <v>1648</v>
      </c>
      <c r="G1557" s="134">
        <v>281</v>
      </c>
      <c r="H1557" s="134">
        <v>39</v>
      </c>
      <c r="I1557" s="200">
        <v>0.47191042534599997</v>
      </c>
      <c r="J1557" s="134">
        <v>1687</v>
      </c>
      <c r="K1557" s="134">
        <v>3574.83096239</v>
      </c>
      <c r="L1557" s="42">
        <v>0.91299950328599999</v>
      </c>
      <c r="M1557" s="42">
        <v>7.7380952380999998E-2</v>
      </c>
      <c r="N1557" s="134">
        <v>0</v>
      </c>
      <c r="O1557" s="43" t="s">
        <v>665</v>
      </c>
      <c r="P1557" s="43">
        <f t="shared" si="341"/>
        <v>15.112802322692108</v>
      </c>
      <c r="Q1557" s="43">
        <f t="shared" si="342"/>
        <v>1.0218626E-2</v>
      </c>
      <c r="R1557" s="43">
        <f t="shared" si="343"/>
        <v>1.3907986000000001E-2</v>
      </c>
      <c r="S1557" s="43">
        <f t="shared" si="344"/>
        <v>0.91299950299999999</v>
      </c>
      <c r="T1557" s="43">
        <f t="shared" si="345"/>
        <v>4.8056454750000004</v>
      </c>
      <c r="U1557" s="43">
        <f t="shared" si="346"/>
        <v>12.188973819999999</v>
      </c>
      <c r="V1557" s="43">
        <f t="shared" si="347"/>
        <v>1.094107E-3</v>
      </c>
      <c r="W1557" s="230">
        <f t="shared" si="348"/>
        <v>3.3405800190403116E-2</v>
      </c>
      <c r="X1557" s="43">
        <f t="shared" si="349"/>
        <v>0.94611875999999995</v>
      </c>
      <c r="Y1557" s="43">
        <v>4.3957119049999998</v>
      </c>
      <c r="Z1557" s="43">
        <f t="shared" si="338"/>
        <v>0</v>
      </c>
      <c r="AA1557" s="43">
        <f t="shared" si="339"/>
        <v>48985</v>
      </c>
      <c r="AB1557" s="43">
        <f t="shared" si="340"/>
        <v>14833</v>
      </c>
      <c r="AC1557" s="43">
        <f t="shared" si="350"/>
        <v>2.2308424319999999E-2</v>
      </c>
      <c r="AD1557" s="43">
        <f t="shared" si="351"/>
        <v>0.8897095029615385</v>
      </c>
      <c r="AF1557" s="43">
        <v>15.112802322692108</v>
      </c>
      <c r="AG1557" s="43">
        <v>1.0218626E-2</v>
      </c>
      <c r="AH1557" s="43">
        <v>1.3907986000000001E-2</v>
      </c>
      <c r="AI1557" s="43">
        <v>0.91299950299999999</v>
      </c>
      <c r="AJ1557" s="43">
        <v>4.8056454750000004</v>
      </c>
      <c r="AK1557" s="43">
        <v>12.188973819999999</v>
      </c>
      <c r="AL1557" s="43">
        <v>1.094107E-3</v>
      </c>
      <c r="AM1557" s="230">
        <v>3.3405800190403116E-2</v>
      </c>
      <c r="AN1557" s="43">
        <v>0.94611875999999995</v>
      </c>
    </row>
    <row r="1558" spans="1:40" x14ac:dyDescent="0.25">
      <c r="A1558" s="134">
        <v>1548</v>
      </c>
      <c r="B1558" s="134" t="s">
        <v>207</v>
      </c>
      <c r="C1558" s="134" t="s">
        <v>205</v>
      </c>
      <c r="D1558" s="134" t="s">
        <v>62</v>
      </c>
      <c r="E1558" s="134">
        <v>190</v>
      </c>
      <c r="F1558" s="134">
        <v>512</v>
      </c>
      <c r="G1558" s="134">
        <v>73</v>
      </c>
      <c r="H1558" s="134">
        <v>0</v>
      </c>
      <c r="I1558" s="200">
        <v>0.119977619343</v>
      </c>
      <c r="J1558" s="134">
        <v>512</v>
      </c>
      <c r="K1558" s="134">
        <v>4267.4625718099996</v>
      </c>
      <c r="L1558" s="42">
        <v>0.91015511421799999</v>
      </c>
      <c r="M1558" s="42">
        <v>0</v>
      </c>
      <c r="N1558" s="134">
        <v>0</v>
      </c>
      <c r="O1558" s="43" t="s">
        <v>665</v>
      </c>
      <c r="P1558" s="43">
        <f t="shared" si="341"/>
        <v>17.508934090122494</v>
      </c>
      <c r="Q1558" s="43">
        <f t="shared" si="342"/>
        <v>1.2717595999999999E-2</v>
      </c>
      <c r="R1558" s="43">
        <f t="shared" si="343"/>
        <v>1.3640443E-2</v>
      </c>
      <c r="S1558" s="43">
        <f t="shared" si="344"/>
        <v>0.91015511400000004</v>
      </c>
      <c r="T1558" s="43">
        <f t="shared" si="345"/>
        <v>3.3411494249999998</v>
      </c>
      <c r="U1558" s="43">
        <f t="shared" si="346"/>
        <v>10.749314569999999</v>
      </c>
      <c r="V1558" s="43">
        <f t="shared" si="347"/>
        <v>4.5644199999999999E-4</v>
      </c>
      <c r="W1558" s="230">
        <f t="shared" si="348"/>
        <v>5.699008868022952E-2</v>
      </c>
      <c r="X1558" s="43">
        <f t="shared" si="349"/>
        <v>0.88093375100000004</v>
      </c>
      <c r="Y1558" s="43">
        <v>44.163512939999997</v>
      </c>
      <c r="Z1558" s="43">
        <f t="shared" si="338"/>
        <v>0</v>
      </c>
      <c r="AA1558" s="43">
        <f t="shared" si="339"/>
        <v>58427</v>
      </c>
      <c r="AB1558" s="43">
        <f t="shared" si="340"/>
        <v>20964</v>
      </c>
      <c r="AC1558" s="43">
        <f t="shared" si="350"/>
        <v>2.1965121632062434E-2</v>
      </c>
      <c r="AD1558" s="43">
        <f t="shared" si="351"/>
        <v>0.90685301037719301</v>
      </c>
      <c r="AF1558" s="43">
        <v>17.508934090122494</v>
      </c>
      <c r="AG1558" s="43">
        <v>1.2717595999999999E-2</v>
      </c>
      <c r="AH1558" s="43">
        <v>1.3640443E-2</v>
      </c>
      <c r="AI1558" s="43">
        <v>0.91015511400000004</v>
      </c>
      <c r="AJ1558" s="43">
        <v>3.3411494249999998</v>
      </c>
      <c r="AK1558" s="43">
        <v>10.749314569999999</v>
      </c>
      <c r="AL1558" s="43">
        <v>4.5644199999999999E-4</v>
      </c>
      <c r="AM1558" s="230">
        <v>5.699008868022952E-2</v>
      </c>
      <c r="AN1558" s="43">
        <v>0.88093375100000004</v>
      </c>
    </row>
    <row r="1559" spans="1:40" x14ac:dyDescent="0.25">
      <c r="A1559" s="134">
        <v>1549</v>
      </c>
      <c r="B1559" s="134" t="s">
        <v>207</v>
      </c>
      <c r="C1559" s="134" t="s">
        <v>205</v>
      </c>
      <c r="D1559" s="134" t="s">
        <v>62</v>
      </c>
      <c r="E1559" s="134">
        <v>126</v>
      </c>
      <c r="F1559" s="134">
        <v>339</v>
      </c>
      <c r="G1559" s="134">
        <v>47</v>
      </c>
      <c r="H1559" s="134">
        <v>19</v>
      </c>
      <c r="I1559" s="200">
        <v>7.79455614465E-2</v>
      </c>
      <c r="J1559" s="134">
        <v>358</v>
      </c>
      <c r="K1559" s="134">
        <v>4592.9491475300001</v>
      </c>
      <c r="L1559" s="42">
        <v>0.89243952090099998</v>
      </c>
      <c r="M1559" s="42">
        <v>0.13103448275900001</v>
      </c>
      <c r="N1559" s="134">
        <v>0</v>
      </c>
      <c r="O1559" s="43" t="s">
        <v>665</v>
      </c>
      <c r="P1559" s="43">
        <f t="shared" si="341"/>
        <v>16.571497326778054</v>
      </c>
      <c r="Q1559" s="43">
        <f t="shared" si="342"/>
        <v>1.0651895999999999E-2</v>
      </c>
      <c r="R1559" s="43">
        <f t="shared" si="343"/>
        <v>1.2561347E-2</v>
      </c>
      <c r="S1559" s="43">
        <f t="shared" si="344"/>
        <v>0.89243952100000001</v>
      </c>
      <c r="T1559" s="43">
        <f t="shared" si="345"/>
        <v>3.0640703519999999</v>
      </c>
      <c r="U1559" s="43">
        <f t="shared" si="346"/>
        <v>9.2484384790000007</v>
      </c>
      <c r="V1559" s="43">
        <f t="shared" si="347"/>
        <v>2.5157199999999998E-4</v>
      </c>
      <c r="W1559" s="230">
        <f t="shared" si="348"/>
        <v>4.8385744234800833E-2</v>
      </c>
      <c r="X1559" s="43">
        <f t="shared" si="349"/>
        <v>0.87488469599999996</v>
      </c>
      <c r="Y1559" s="43">
        <v>162.90054219999999</v>
      </c>
      <c r="Z1559" s="43">
        <f t="shared" si="338"/>
        <v>0</v>
      </c>
      <c r="AA1559" s="43">
        <f t="shared" si="339"/>
        <v>58427</v>
      </c>
      <c r="AB1559" s="43">
        <f t="shared" si="340"/>
        <v>20964</v>
      </c>
      <c r="AC1559" s="43">
        <f t="shared" si="350"/>
        <v>2.1965121632062434E-2</v>
      </c>
      <c r="AD1559" s="43">
        <f t="shared" si="351"/>
        <v>0.90685301037719301</v>
      </c>
      <c r="AF1559" s="43">
        <v>16.571497326778054</v>
      </c>
      <c r="AG1559" s="43">
        <v>1.0651895999999999E-2</v>
      </c>
      <c r="AH1559" s="43">
        <v>1.2561347E-2</v>
      </c>
      <c r="AI1559" s="43">
        <v>0.89243952100000001</v>
      </c>
      <c r="AJ1559" s="43">
        <v>3.0640703519999999</v>
      </c>
      <c r="AK1559" s="43">
        <v>9.2484384790000007</v>
      </c>
      <c r="AL1559" s="43">
        <v>2.5157199999999998E-4</v>
      </c>
      <c r="AM1559" s="230">
        <v>4.8385744234800833E-2</v>
      </c>
      <c r="AN1559" s="43">
        <v>0.87488469599999996</v>
      </c>
    </row>
    <row r="1560" spans="1:40" x14ac:dyDescent="0.25">
      <c r="A1560" s="134">
        <v>1550</v>
      </c>
      <c r="B1560" s="134" t="s">
        <v>207</v>
      </c>
      <c r="C1560" s="134" t="s">
        <v>205</v>
      </c>
      <c r="D1560" s="134" t="s">
        <v>62</v>
      </c>
      <c r="E1560" s="134">
        <v>98</v>
      </c>
      <c r="F1560" s="134">
        <v>264</v>
      </c>
      <c r="G1560" s="134">
        <v>37</v>
      </c>
      <c r="H1560" s="134">
        <v>15</v>
      </c>
      <c r="I1560" s="200">
        <v>6.1232872042600001E-2</v>
      </c>
      <c r="J1560" s="134">
        <v>279</v>
      </c>
      <c r="K1560" s="134">
        <v>4556.3761863999998</v>
      </c>
      <c r="L1560" s="42">
        <v>0.87504849016899999</v>
      </c>
      <c r="M1560" s="42">
        <v>0.132743362832</v>
      </c>
      <c r="N1560" s="134">
        <v>0</v>
      </c>
      <c r="O1560" s="43" t="s">
        <v>666</v>
      </c>
      <c r="P1560" s="43">
        <f t="shared" si="341"/>
        <v>15.969769768074906</v>
      </c>
      <c r="Q1560" s="43">
        <f t="shared" si="342"/>
        <v>1.5006431000000001E-2</v>
      </c>
      <c r="R1560" s="43">
        <f t="shared" si="343"/>
        <v>1.2883072000000001E-2</v>
      </c>
      <c r="S1560" s="43">
        <f t="shared" si="344"/>
        <v>0.87504848999999996</v>
      </c>
      <c r="T1560" s="43">
        <f t="shared" si="345"/>
        <v>2.7828162289999998</v>
      </c>
      <c r="U1560" s="43">
        <f t="shared" si="346"/>
        <v>8.441557886</v>
      </c>
      <c r="V1560" s="43">
        <f t="shared" si="347"/>
        <v>2.2431600000000001E-4</v>
      </c>
      <c r="W1560" s="230">
        <f t="shared" si="348"/>
        <v>5.2826379542395697E-2</v>
      </c>
      <c r="X1560" s="43">
        <f t="shared" si="349"/>
        <v>0.86327949800000003</v>
      </c>
      <c r="Y1560" s="43">
        <v>144.8731439</v>
      </c>
      <c r="Z1560" s="43">
        <f t="shared" si="338"/>
        <v>0</v>
      </c>
      <c r="AA1560" s="43">
        <f t="shared" si="339"/>
        <v>58427</v>
      </c>
      <c r="AB1560" s="43">
        <f t="shared" si="340"/>
        <v>20964</v>
      </c>
      <c r="AC1560" s="43">
        <f t="shared" si="350"/>
        <v>2.1965121632062434E-2</v>
      </c>
      <c r="AD1560" s="43">
        <f t="shared" si="351"/>
        <v>0.90685301037719301</v>
      </c>
      <c r="AF1560" s="43">
        <v>15.969769768074906</v>
      </c>
      <c r="AG1560" s="43">
        <v>1.5006431000000001E-2</v>
      </c>
      <c r="AH1560" s="43">
        <v>1.2883072000000001E-2</v>
      </c>
      <c r="AI1560" s="43">
        <v>0.87504848999999996</v>
      </c>
      <c r="AJ1560" s="43">
        <v>2.7828162289999998</v>
      </c>
      <c r="AK1560" s="43">
        <v>8.441557886</v>
      </c>
      <c r="AL1560" s="43">
        <v>2.2431600000000001E-4</v>
      </c>
      <c r="AM1560" s="230">
        <v>5.2826379542395697E-2</v>
      </c>
      <c r="AN1560" s="43">
        <v>0.86327949800000003</v>
      </c>
    </row>
    <row r="1561" spans="1:40" x14ac:dyDescent="0.25">
      <c r="A1561" s="134">
        <v>1551</v>
      </c>
      <c r="B1561" s="134" t="s">
        <v>207</v>
      </c>
      <c r="C1561" s="134" t="s">
        <v>205</v>
      </c>
      <c r="D1561" s="134" t="s">
        <v>62</v>
      </c>
      <c r="E1561" s="134">
        <v>468</v>
      </c>
      <c r="F1561" s="134">
        <v>1378</v>
      </c>
      <c r="G1561" s="134">
        <v>93</v>
      </c>
      <c r="H1561" s="134">
        <v>0</v>
      </c>
      <c r="I1561" s="200">
        <v>0.16430093632199999</v>
      </c>
      <c r="J1561" s="134">
        <v>1378</v>
      </c>
      <c r="K1561" s="134">
        <v>8387.0489776199993</v>
      </c>
      <c r="L1561" s="42">
        <v>0.89606811920899998</v>
      </c>
      <c r="M1561" s="42">
        <v>0</v>
      </c>
      <c r="N1561" s="134">
        <v>0</v>
      </c>
      <c r="O1561" s="43" t="s">
        <v>666</v>
      </c>
      <c r="P1561" s="43">
        <f t="shared" si="341"/>
        <v>17.353648169048732</v>
      </c>
      <c r="Q1561" s="43">
        <f t="shared" si="342"/>
        <v>1.4019432E-2</v>
      </c>
      <c r="R1561" s="43">
        <f t="shared" si="343"/>
        <v>1.473497E-2</v>
      </c>
      <c r="S1561" s="43">
        <f t="shared" si="344"/>
        <v>0.89606811900000005</v>
      </c>
      <c r="T1561" s="43">
        <f t="shared" si="345"/>
        <v>3.0029478059999999</v>
      </c>
      <c r="U1561" s="43">
        <f t="shared" si="346"/>
        <v>10.640416030000001</v>
      </c>
      <c r="V1561" s="43">
        <f t="shared" si="347"/>
        <v>1.6363980000000001E-3</v>
      </c>
      <c r="W1561" s="230">
        <f t="shared" si="348"/>
        <v>6.3256163317863559E-2</v>
      </c>
      <c r="X1561" s="43">
        <f t="shared" si="349"/>
        <v>0.9044451</v>
      </c>
      <c r="Y1561" s="43">
        <v>112.17892999999999</v>
      </c>
      <c r="Z1561" s="43">
        <f t="shared" si="338"/>
        <v>0</v>
      </c>
      <c r="AA1561" s="43">
        <f t="shared" si="339"/>
        <v>58427</v>
      </c>
      <c r="AB1561" s="43">
        <f t="shared" si="340"/>
        <v>20964</v>
      </c>
      <c r="AC1561" s="43">
        <f t="shared" si="350"/>
        <v>2.1965121632062434E-2</v>
      </c>
      <c r="AD1561" s="43">
        <f t="shared" si="351"/>
        <v>0.90685301037719301</v>
      </c>
      <c r="AF1561" s="43">
        <v>17.353648169048732</v>
      </c>
      <c r="AG1561" s="43">
        <v>1.4019432E-2</v>
      </c>
      <c r="AH1561" s="43">
        <v>1.473497E-2</v>
      </c>
      <c r="AI1561" s="43">
        <v>0.89606811900000005</v>
      </c>
      <c r="AJ1561" s="43">
        <v>3.0029478059999999</v>
      </c>
      <c r="AK1561" s="43">
        <v>10.640416030000001</v>
      </c>
      <c r="AL1561" s="43">
        <v>1.6363980000000001E-3</v>
      </c>
      <c r="AM1561" s="230">
        <v>6.3256163317863559E-2</v>
      </c>
      <c r="AN1561" s="43">
        <v>0.9044451</v>
      </c>
    </row>
    <row r="1562" spans="1:40" x14ac:dyDescent="0.25">
      <c r="A1562" s="134">
        <v>1552</v>
      </c>
      <c r="B1562" s="134" t="s">
        <v>207</v>
      </c>
      <c r="C1562" s="134" t="s">
        <v>205</v>
      </c>
      <c r="D1562" s="134" t="s">
        <v>62</v>
      </c>
      <c r="E1562" s="134">
        <v>195</v>
      </c>
      <c r="F1562" s="134">
        <v>577</v>
      </c>
      <c r="G1562" s="134">
        <v>55</v>
      </c>
      <c r="H1562" s="134">
        <v>1</v>
      </c>
      <c r="I1562" s="200">
        <v>0.102791875923</v>
      </c>
      <c r="J1562" s="134">
        <v>578</v>
      </c>
      <c r="K1562" s="134">
        <v>5623.0124687300004</v>
      </c>
      <c r="L1562" s="42">
        <v>0.87864756554699996</v>
      </c>
      <c r="M1562" s="42">
        <v>5.1020408163299997E-3</v>
      </c>
      <c r="N1562" s="134">
        <v>0</v>
      </c>
      <c r="O1562" s="43" t="s">
        <v>666</v>
      </c>
      <c r="P1562" s="43">
        <f t="shared" si="341"/>
        <v>16.570404536241366</v>
      </c>
      <c r="Q1562" s="43">
        <f t="shared" si="342"/>
        <v>1.1528834E-2</v>
      </c>
      <c r="R1562" s="43">
        <f t="shared" si="343"/>
        <v>2.7535226999999999E-2</v>
      </c>
      <c r="S1562" s="43">
        <f t="shared" si="344"/>
        <v>0.87864756600000005</v>
      </c>
      <c r="T1562" s="43">
        <f t="shared" si="345"/>
        <v>2.948927039</v>
      </c>
      <c r="U1562" s="43">
        <f t="shared" si="346"/>
        <v>9.6147328569999999</v>
      </c>
      <c r="V1562" s="43">
        <f t="shared" si="347"/>
        <v>2.0287614424242431E-3</v>
      </c>
      <c r="W1562" s="230">
        <f t="shared" si="348"/>
        <v>5.2196550602017569E-2</v>
      </c>
      <c r="X1562" s="43">
        <f t="shared" si="349"/>
        <v>0.88786202400000003</v>
      </c>
      <c r="Y1562" s="43">
        <v>71.90354413</v>
      </c>
      <c r="Z1562" s="43">
        <f t="shared" si="338"/>
        <v>0</v>
      </c>
      <c r="AA1562" s="43">
        <f t="shared" si="339"/>
        <v>58427</v>
      </c>
      <c r="AB1562" s="43">
        <f t="shared" si="340"/>
        <v>20964</v>
      </c>
      <c r="AC1562" s="43">
        <f t="shared" si="350"/>
        <v>2.1965121632062434E-2</v>
      </c>
      <c r="AD1562" s="43">
        <f t="shared" si="351"/>
        <v>0.90685301037719301</v>
      </c>
      <c r="AF1562" s="43">
        <v>16.570404536241366</v>
      </c>
      <c r="AG1562" s="43">
        <v>1.1528834E-2</v>
      </c>
      <c r="AH1562" s="43">
        <v>2.7535226999999999E-2</v>
      </c>
      <c r="AI1562" s="43">
        <v>0.87864756600000005</v>
      </c>
      <c r="AJ1562" s="43">
        <v>2.948927039</v>
      </c>
      <c r="AK1562" s="43">
        <v>9.6147328569999999</v>
      </c>
      <c r="AL1562" s="43">
        <v>0</v>
      </c>
      <c r="AM1562" s="230">
        <v>5.2196550602017569E-2</v>
      </c>
      <c r="AN1562" s="43">
        <v>0.88786202400000003</v>
      </c>
    </row>
    <row r="1563" spans="1:40" x14ac:dyDescent="0.25">
      <c r="A1563" s="134">
        <v>1553</v>
      </c>
      <c r="B1563" s="134" t="s">
        <v>207</v>
      </c>
      <c r="C1563" s="134" t="s">
        <v>205</v>
      </c>
      <c r="D1563" s="134" t="s">
        <v>62</v>
      </c>
      <c r="E1563" s="134">
        <v>195</v>
      </c>
      <c r="F1563" s="134">
        <v>577</v>
      </c>
      <c r="G1563" s="134">
        <v>27</v>
      </c>
      <c r="H1563" s="134">
        <v>1</v>
      </c>
      <c r="I1563" s="200">
        <v>5.2249299131200001E-2</v>
      </c>
      <c r="J1563" s="134">
        <v>578</v>
      </c>
      <c r="K1563" s="134">
        <v>11062.349344599999</v>
      </c>
      <c r="L1563" s="42">
        <v>0.85222006809200002</v>
      </c>
      <c r="M1563" s="42">
        <v>5.1020408163299997E-3</v>
      </c>
      <c r="N1563" s="134">
        <v>0</v>
      </c>
      <c r="O1563" s="43" t="s">
        <v>666</v>
      </c>
      <c r="P1563" s="43">
        <f t="shared" si="341"/>
        <v>15.685847571946802</v>
      </c>
      <c r="Q1563" s="43">
        <f t="shared" si="342"/>
        <v>2.0675714000000001E-2</v>
      </c>
      <c r="R1563" s="43">
        <f t="shared" si="343"/>
        <v>2.7945905E-2</v>
      </c>
      <c r="S1563" s="43">
        <f t="shared" si="344"/>
        <v>0.85222006800000005</v>
      </c>
      <c r="T1563" s="43">
        <f t="shared" si="345"/>
        <v>2.7491496600000001</v>
      </c>
      <c r="U1563" s="43">
        <f t="shared" si="346"/>
        <v>8.6399166550000004</v>
      </c>
      <c r="V1563" s="43">
        <f t="shared" si="347"/>
        <v>6.4829800000000001E-5</v>
      </c>
      <c r="W1563" s="230">
        <f t="shared" si="348"/>
        <v>6.2495948136142628E-2</v>
      </c>
      <c r="X1563" s="43">
        <f t="shared" si="349"/>
        <v>0.86949756899999997</v>
      </c>
      <c r="Y1563" s="43">
        <v>71.445325870000005</v>
      </c>
      <c r="Z1563" s="43">
        <f t="shared" si="338"/>
        <v>0</v>
      </c>
      <c r="AA1563" s="43">
        <f t="shared" si="339"/>
        <v>58427</v>
      </c>
      <c r="AB1563" s="43">
        <f t="shared" si="340"/>
        <v>20964</v>
      </c>
      <c r="AC1563" s="43">
        <f t="shared" si="350"/>
        <v>2.1965121632062434E-2</v>
      </c>
      <c r="AD1563" s="43">
        <f t="shared" si="351"/>
        <v>0.90685301037719301</v>
      </c>
      <c r="AF1563" s="43">
        <v>15.685847571946802</v>
      </c>
      <c r="AG1563" s="43">
        <v>2.0675714000000001E-2</v>
      </c>
      <c r="AH1563" s="43">
        <v>2.7945905E-2</v>
      </c>
      <c r="AI1563" s="43">
        <v>0.85222006800000005</v>
      </c>
      <c r="AJ1563" s="43">
        <v>2.7491496600000001</v>
      </c>
      <c r="AK1563" s="43">
        <v>8.6399166550000004</v>
      </c>
      <c r="AL1563" s="201">
        <v>6.4829800000000001E-5</v>
      </c>
      <c r="AM1563" s="230">
        <v>6.2495948136142628E-2</v>
      </c>
      <c r="AN1563" s="43">
        <v>0.86949756899999997</v>
      </c>
    </row>
    <row r="1564" spans="1:40" x14ac:dyDescent="0.25">
      <c r="A1564" s="134">
        <v>1554</v>
      </c>
      <c r="B1564" s="134" t="s">
        <v>207</v>
      </c>
      <c r="C1564" s="134" t="s">
        <v>205</v>
      </c>
      <c r="D1564" s="134" t="s">
        <v>62</v>
      </c>
      <c r="E1564" s="134">
        <v>376</v>
      </c>
      <c r="F1564" s="134">
        <v>1113</v>
      </c>
      <c r="G1564" s="134">
        <v>51</v>
      </c>
      <c r="H1564" s="134">
        <v>0</v>
      </c>
      <c r="I1564" s="200">
        <v>9.5999678184199994E-2</v>
      </c>
      <c r="J1564" s="134">
        <v>1113</v>
      </c>
      <c r="K1564" s="134">
        <v>11593.788865300001</v>
      </c>
      <c r="L1564" s="42">
        <v>0.85422161160900001</v>
      </c>
      <c r="M1564" s="42">
        <v>0</v>
      </c>
      <c r="N1564" s="134">
        <v>0</v>
      </c>
      <c r="O1564" s="43" t="s">
        <v>666</v>
      </c>
      <c r="P1564" s="43">
        <f t="shared" si="341"/>
        <v>15.65523958189787</v>
      </c>
      <c r="Q1564" s="43">
        <f t="shared" si="342"/>
        <v>2.5024227E-2</v>
      </c>
      <c r="R1564" s="43">
        <f t="shared" si="343"/>
        <v>2.2245801999999999E-2</v>
      </c>
      <c r="S1564" s="43">
        <f t="shared" si="344"/>
        <v>0.85422161200000002</v>
      </c>
      <c r="T1564" s="43">
        <f t="shared" si="345"/>
        <v>2.785704467</v>
      </c>
      <c r="U1564" s="43">
        <f t="shared" si="346"/>
        <v>8.8308859430000002</v>
      </c>
      <c r="V1564" s="43">
        <f t="shared" si="347"/>
        <v>1.900269E-3</v>
      </c>
      <c r="W1564" s="230">
        <f t="shared" si="348"/>
        <v>6.7033615097306862E-2</v>
      </c>
      <c r="X1564" s="43">
        <f t="shared" si="349"/>
        <v>0.87975886199999997</v>
      </c>
      <c r="Y1564" s="43">
        <v>65.752764220000003</v>
      </c>
      <c r="Z1564" s="43">
        <f t="shared" si="338"/>
        <v>0</v>
      </c>
      <c r="AA1564" s="43">
        <f t="shared" si="339"/>
        <v>58427</v>
      </c>
      <c r="AB1564" s="43">
        <f t="shared" si="340"/>
        <v>20964</v>
      </c>
      <c r="AC1564" s="43">
        <f t="shared" si="350"/>
        <v>2.1965121632062434E-2</v>
      </c>
      <c r="AD1564" s="43">
        <f t="shared" si="351"/>
        <v>0.90685301037719301</v>
      </c>
      <c r="AF1564" s="43">
        <v>15.65523958189787</v>
      </c>
      <c r="AG1564" s="43">
        <v>2.5024227E-2</v>
      </c>
      <c r="AH1564" s="43">
        <v>2.2245801999999999E-2</v>
      </c>
      <c r="AI1564" s="43">
        <v>0.85422161200000002</v>
      </c>
      <c r="AJ1564" s="43">
        <v>2.785704467</v>
      </c>
      <c r="AK1564" s="43">
        <v>8.8308859430000002</v>
      </c>
      <c r="AL1564" s="43">
        <v>1.900269E-3</v>
      </c>
      <c r="AM1564" s="230">
        <v>6.7033615097306862E-2</v>
      </c>
      <c r="AN1564" s="43">
        <v>0.87975886199999997</v>
      </c>
    </row>
    <row r="1565" spans="1:40" x14ac:dyDescent="0.25">
      <c r="A1565" s="134">
        <v>1555</v>
      </c>
      <c r="B1565" s="134" t="s">
        <v>207</v>
      </c>
      <c r="C1565" s="134" t="s">
        <v>205</v>
      </c>
      <c r="D1565" s="134" t="s">
        <v>62</v>
      </c>
      <c r="E1565" s="134">
        <v>0</v>
      </c>
      <c r="F1565" s="134">
        <v>0</v>
      </c>
      <c r="G1565" s="134">
        <v>102</v>
      </c>
      <c r="H1565" s="134">
        <v>0</v>
      </c>
      <c r="I1565" s="200">
        <v>0.226508570912</v>
      </c>
      <c r="J1565" s="134">
        <v>0</v>
      </c>
      <c r="K1565" s="134">
        <v>0</v>
      </c>
      <c r="L1565" s="42">
        <v>0.98785714285699999</v>
      </c>
      <c r="M1565" s="42">
        <v>0</v>
      </c>
      <c r="N1565" s="134">
        <v>0</v>
      </c>
      <c r="O1565" s="43" t="s">
        <v>665</v>
      </c>
      <c r="P1565" s="43">
        <f t="shared" si="341"/>
        <v>16.949272386598746</v>
      </c>
      <c r="Q1565" s="43">
        <f t="shared" si="342"/>
        <v>2.2361770007874014E-2</v>
      </c>
      <c r="R1565" s="43">
        <f t="shared" si="343"/>
        <v>1.2755221068376069E-2</v>
      </c>
      <c r="S1565" s="43">
        <f t="shared" si="344"/>
        <v>0.98785714300000005</v>
      </c>
      <c r="T1565" s="43">
        <f t="shared" si="345"/>
        <v>3.8086837425284572</v>
      </c>
      <c r="U1565" s="43">
        <f t="shared" si="346"/>
        <v>32.762719699999998</v>
      </c>
      <c r="V1565" s="43">
        <f t="shared" si="347"/>
        <v>2.0287614424242431E-3</v>
      </c>
      <c r="W1565" s="230">
        <f t="shared" si="348"/>
        <v>4.8707337327105672E-2</v>
      </c>
      <c r="X1565" s="43">
        <f t="shared" si="349"/>
        <v>0.88538289384112134</v>
      </c>
      <c r="Y1565" s="43">
        <v>28.78890595</v>
      </c>
      <c r="Z1565" s="43">
        <f t="shared" si="338"/>
        <v>0</v>
      </c>
      <c r="AA1565" s="43">
        <f t="shared" si="339"/>
        <v>58427</v>
      </c>
      <c r="AB1565" s="43">
        <f t="shared" si="340"/>
        <v>20964</v>
      </c>
      <c r="AC1565" s="43">
        <f t="shared" si="350"/>
        <v>2.1965121632062434E-2</v>
      </c>
      <c r="AD1565" s="43">
        <f t="shared" si="351"/>
        <v>0.90685301037719301</v>
      </c>
      <c r="AF1565" s="43" t="e">
        <v>#DIV/0!</v>
      </c>
      <c r="AG1565" s="43">
        <v>0</v>
      </c>
      <c r="AH1565" s="43">
        <v>0</v>
      </c>
      <c r="AI1565" s="43">
        <v>0.98785714300000005</v>
      </c>
      <c r="AJ1565" s="43" t="e">
        <v>#DIV/0!</v>
      </c>
      <c r="AK1565" s="43">
        <v>32.762719699999998</v>
      </c>
      <c r="AL1565" s="43" t="e">
        <v>#DIV/0!</v>
      </c>
      <c r="AM1565" s="230" t="e">
        <v>#DIV/0!</v>
      </c>
      <c r="AN1565" s="43" t="e">
        <v>#DIV/0!</v>
      </c>
    </row>
    <row r="1566" spans="1:40" x14ac:dyDescent="0.25">
      <c r="A1566" s="134">
        <v>1556</v>
      </c>
      <c r="B1566" s="134" t="s">
        <v>207</v>
      </c>
      <c r="C1566" s="134" t="s">
        <v>205</v>
      </c>
      <c r="D1566" s="134" t="s">
        <v>62</v>
      </c>
      <c r="E1566" s="134">
        <v>0</v>
      </c>
      <c r="F1566" s="134">
        <v>0</v>
      </c>
      <c r="G1566" s="134">
        <v>233</v>
      </c>
      <c r="H1566" s="134">
        <v>0</v>
      </c>
      <c r="I1566" s="200">
        <v>0.51894311427600004</v>
      </c>
      <c r="J1566" s="134">
        <v>0</v>
      </c>
      <c r="K1566" s="134">
        <v>0</v>
      </c>
      <c r="L1566" s="42">
        <v>0.98930862437599998</v>
      </c>
      <c r="M1566" s="42">
        <v>0</v>
      </c>
      <c r="N1566" s="134">
        <v>0</v>
      </c>
      <c r="O1566" s="43" t="s">
        <v>665</v>
      </c>
      <c r="P1566" s="43">
        <f t="shared" si="341"/>
        <v>16.949272386598746</v>
      </c>
      <c r="Q1566" s="43">
        <f t="shared" si="342"/>
        <v>2.2361770007874014E-2</v>
      </c>
      <c r="R1566" s="43">
        <f t="shared" si="343"/>
        <v>1.2755221068376069E-2</v>
      </c>
      <c r="S1566" s="43">
        <f t="shared" si="344"/>
        <v>0.98930862399999997</v>
      </c>
      <c r="T1566" s="43">
        <f t="shared" si="345"/>
        <v>3.8086837425284572</v>
      </c>
      <c r="U1566" s="43">
        <f t="shared" si="346"/>
        <v>33.81377079</v>
      </c>
      <c r="V1566" s="43">
        <f t="shared" si="347"/>
        <v>2.0287614424242431E-3</v>
      </c>
      <c r="W1566" s="230">
        <f t="shared" si="348"/>
        <v>4.8707337327105672E-2</v>
      </c>
      <c r="X1566" s="43">
        <f t="shared" si="349"/>
        <v>0.88538289384112134</v>
      </c>
      <c r="Y1566" s="43">
        <v>28.366631089999998</v>
      </c>
      <c r="Z1566" s="43">
        <f t="shared" si="338"/>
        <v>0</v>
      </c>
      <c r="AA1566" s="43">
        <f t="shared" si="339"/>
        <v>58427</v>
      </c>
      <c r="AB1566" s="43">
        <f t="shared" si="340"/>
        <v>20964</v>
      </c>
      <c r="AC1566" s="43">
        <f t="shared" si="350"/>
        <v>2.1965121632062434E-2</v>
      </c>
      <c r="AD1566" s="43">
        <f t="shared" si="351"/>
        <v>0.90685301037719301</v>
      </c>
      <c r="AF1566" s="43" t="e">
        <v>#DIV/0!</v>
      </c>
      <c r="AG1566" s="43">
        <v>0</v>
      </c>
      <c r="AH1566" s="43">
        <v>0</v>
      </c>
      <c r="AI1566" s="43">
        <v>0.98930862399999997</v>
      </c>
      <c r="AJ1566" s="43" t="e">
        <v>#DIV/0!</v>
      </c>
      <c r="AK1566" s="43">
        <v>33.81377079</v>
      </c>
      <c r="AL1566" s="43" t="e">
        <v>#DIV/0!</v>
      </c>
      <c r="AM1566" s="230" t="e">
        <v>#DIV/0!</v>
      </c>
      <c r="AN1566" s="43" t="e">
        <v>#DIV/0!</v>
      </c>
    </row>
    <row r="1567" spans="1:40" x14ac:dyDescent="0.25">
      <c r="A1567" s="134">
        <v>1557</v>
      </c>
      <c r="B1567" s="134" t="s">
        <v>207</v>
      </c>
      <c r="C1567" s="134" t="s">
        <v>205</v>
      </c>
      <c r="D1567" s="134" t="s">
        <v>62</v>
      </c>
      <c r="E1567" s="134">
        <v>0</v>
      </c>
      <c r="F1567" s="134">
        <v>0</v>
      </c>
      <c r="G1567" s="134">
        <v>60</v>
      </c>
      <c r="H1567" s="134">
        <v>0</v>
      </c>
      <c r="I1567" s="200">
        <v>0.13317964058199999</v>
      </c>
      <c r="J1567" s="134">
        <v>0</v>
      </c>
      <c r="K1567" s="134">
        <v>0</v>
      </c>
      <c r="L1567" s="42">
        <v>0.98786581013600006</v>
      </c>
      <c r="M1567" s="42">
        <v>0</v>
      </c>
      <c r="N1567" s="134">
        <v>0</v>
      </c>
      <c r="O1567" s="43" t="s">
        <v>665</v>
      </c>
      <c r="P1567" s="43">
        <f t="shared" si="341"/>
        <v>16.949272386598746</v>
      </c>
      <c r="Q1567" s="43">
        <f t="shared" si="342"/>
        <v>2.2361770007874014E-2</v>
      </c>
      <c r="R1567" s="43">
        <f t="shared" si="343"/>
        <v>1.2755221068376069E-2</v>
      </c>
      <c r="S1567" s="43">
        <f t="shared" si="344"/>
        <v>0.98786580999999996</v>
      </c>
      <c r="T1567" s="43">
        <f t="shared" si="345"/>
        <v>3.8086837425284572</v>
      </c>
      <c r="U1567" s="43">
        <f t="shared" si="346"/>
        <v>32.709528210000002</v>
      </c>
      <c r="V1567" s="43">
        <f t="shared" si="347"/>
        <v>2.0287614424242431E-3</v>
      </c>
      <c r="W1567" s="230">
        <f t="shared" si="348"/>
        <v>4.8707337327105672E-2</v>
      </c>
      <c r="X1567" s="43">
        <f t="shared" si="349"/>
        <v>0.88538289384112134</v>
      </c>
      <c r="Y1567" s="43">
        <v>28.282695799999999</v>
      </c>
      <c r="Z1567" s="43">
        <f t="shared" si="338"/>
        <v>0</v>
      </c>
      <c r="AA1567" s="43">
        <f t="shared" si="339"/>
        <v>58427</v>
      </c>
      <c r="AB1567" s="43">
        <f t="shared" si="340"/>
        <v>20964</v>
      </c>
      <c r="AC1567" s="43">
        <f t="shared" si="350"/>
        <v>2.1965121632062434E-2</v>
      </c>
      <c r="AD1567" s="43">
        <f t="shared" si="351"/>
        <v>0.90685301037719301</v>
      </c>
      <c r="AF1567" s="43" t="e">
        <v>#DIV/0!</v>
      </c>
      <c r="AG1567" s="43">
        <v>0</v>
      </c>
      <c r="AH1567" s="43">
        <v>0</v>
      </c>
      <c r="AI1567" s="43">
        <v>0.98786580999999996</v>
      </c>
      <c r="AJ1567" s="43" t="e">
        <v>#DIV/0!</v>
      </c>
      <c r="AK1567" s="43">
        <v>32.709528210000002</v>
      </c>
      <c r="AL1567" s="43" t="e">
        <v>#DIV/0!</v>
      </c>
      <c r="AM1567" s="230" t="e">
        <v>#DIV/0!</v>
      </c>
      <c r="AN1567" s="43" t="e">
        <v>#DIV/0!</v>
      </c>
    </row>
    <row r="1568" spans="1:40" x14ac:dyDescent="0.25">
      <c r="A1568" s="134">
        <v>1558</v>
      </c>
      <c r="B1568" s="134" t="s">
        <v>207</v>
      </c>
      <c r="C1568" s="134" t="s">
        <v>205</v>
      </c>
      <c r="D1568" s="134" t="s">
        <v>62</v>
      </c>
      <c r="E1568" s="134">
        <v>0</v>
      </c>
      <c r="F1568" s="134">
        <v>0</v>
      </c>
      <c r="G1568" s="134">
        <v>39</v>
      </c>
      <c r="H1568" s="134">
        <v>0</v>
      </c>
      <c r="I1568" s="200">
        <v>8.7861448542499998E-2</v>
      </c>
      <c r="J1568" s="134">
        <v>0</v>
      </c>
      <c r="K1568" s="134">
        <v>0</v>
      </c>
      <c r="L1568" s="42">
        <v>0.94654312188199996</v>
      </c>
      <c r="M1568" s="42">
        <v>0</v>
      </c>
      <c r="N1568" s="134">
        <v>0</v>
      </c>
      <c r="O1568" s="43" t="s">
        <v>666</v>
      </c>
      <c r="P1568" s="43">
        <f t="shared" si="341"/>
        <v>16.949272386598746</v>
      </c>
      <c r="Q1568" s="43">
        <f t="shared" si="342"/>
        <v>4.2052744000000003E-2</v>
      </c>
      <c r="R1568" s="43">
        <f t="shared" si="343"/>
        <v>1.2755221068376069E-2</v>
      </c>
      <c r="S1568" s="43">
        <f t="shared" si="344"/>
        <v>0.94654312200000001</v>
      </c>
      <c r="T1568" s="43">
        <f t="shared" si="345"/>
        <v>4</v>
      </c>
      <c r="U1568" s="43">
        <f t="shared" si="346"/>
        <v>31.846005770000001</v>
      </c>
      <c r="V1568" s="43">
        <f t="shared" si="347"/>
        <v>2.0287614424242431E-3</v>
      </c>
      <c r="W1568" s="230">
        <f t="shared" si="348"/>
        <v>4.8707337327105672E-2</v>
      </c>
      <c r="X1568" s="43">
        <f t="shared" si="349"/>
        <v>0.88538289384112134</v>
      </c>
      <c r="Y1568" s="43">
        <v>28.289999640000001</v>
      </c>
      <c r="Z1568" s="43">
        <f t="shared" si="338"/>
        <v>0</v>
      </c>
      <c r="AA1568" s="43">
        <f t="shared" si="339"/>
        <v>58427</v>
      </c>
      <c r="AB1568" s="43">
        <f t="shared" si="340"/>
        <v>20964</v>
      </c>
      <c r="AC1568" s="43">
        <f t="shared" si="350"/>
        <v>2.1965121632062434E-2</v>
      </c>
      <c r="AD1568" s="43">
        <f t="shared" si="351"/>
        <v>0.90685301037719301</v>
      </c>
      <c r="AF1568" s="43" t="e">
        <v>#DIV/0!</v>
      </c>
      <c r="AG1568" s="43">
        <v>4.2052744000000003E-2</v>
      </c>
      <c r="AH1568" s="43">
        <v>0</v>
      </c>
      <c r="AI1568" s="43">
        <v>0.94654312200000001</v>
      </c>
      <c r="AJ1568" s="43">
        <v>4</v>
      </c>
      <c r="AK1568" s="43">
        <v>31.846005770000001</v>
      </c>
      <c r="AL1568" s="43" t="e">
        <v>#DIV/0!</v>
      </c>
      <c r="AM1568" s="230" t="e">
        <v>#DIV/0!</v>
      </c>
      <c r="AN1568" s="43" t="e">
        <v>#DIV/0!</v>
      </c>
    </row>
    <row r="1569" spans="1:40" x14ac:dyDescent="0.25">
      <c r="A1569" s="134">
        <v>1559</v>
      </c>
      <c r="B1569" s="134" t="s">
        <v>207</v>
      </c>
      <c r="C1569" s="134" t="s">
        <v>205</v>
      </c>
      <c r="D1569" s="134" t="s">
        <v>62</v>
      </c>
      <c r="E1569" s="134">
        <v>200</v>
      </c>
      <c r="F1569" s="134">
        <v>571</v>
      </c>
      <c r="G1569" s="134">
        <v>77</v>
      </c>
      <c r="H1569" s="134">
        <v>0</v>
      </c>
      <c r="I1569" s="200">
        <v>0.171363604901</v>
      </c>
      <c r="J1569" s="134">
        <v>571</v>
      </c>
      <c r="K1569" s="134">
        <v>3332.0961024899998</v>
      </c>
      <c r="L1569" s="42">
        <v>0.89210539288199997</v>
      </c>
      <c r="M1569" s="42">
        <v>0</v>
      </c>
      <c r="N1569" s="134">
        <v>1</v>
      </c>
      <c r="O1569" s="43" t="s">
        <v>666</v>
      </c>
      <c r="P1569" s="43">
        <f t="shared" si="341"/>
        <v>16.2189853744724</v>
      </c>
      <c r="Q1569" s="43">
        <f t="shared" si="342"/>
        <v>2.4684510999999999E-2</v>
      </c>
      <c r="R1569" s="43">
        <f t="shared" si="343"/>
        <v>8.2938969999999997E-3</v>
      </c>
      <c r="S1569" s="43">
        <f t="shared" si="344"/>
        <v>0.89210539300000002</v>
      </c>
      <c r="T1569" s="43">
        <f t="shared" si="345"/>
        <v>3.2808320950000001</v>
      </c>
      <c r="U1569" s="43">
        <f t="shared" si="346"/>
        <v>9.3116974389999996</v>
      </c>
      <c r="V1569" s="43">
        <f t="shared" si="347"/>
        <v>1.0512480000000001E-3</v>
      </c>
      <c r="W1569" s="230">
        <f t="shared" si="348"/>
        <v>8.4296977660972397E-2</v>
      </c>
      <c r="X1569" s="43">
        <f t="shared" si="349"/>
        <v>0.835151117</v>
      </c>
      <c r="Y1569" s="43">
        <v>28.417603580000002</v>
      </c>
      <c r="Z1569" s="43">
        <f t="shared" si="338"/>
        <v>0</v>
      </c>
      <c r="AA1569" s="43">
        <f t="shared" si="339"/>
        <v>58427</v>
      </c>
      <c r="AB1569" s="43">
        <f t="shared" si="340"/>
        <v>20964</v>
      </c>
      <c r="AC1569" s="43">
        <f t="shared" si="350"/>
        <v>2.1965121632062434E-2</v>
      </c>
      <c r="AD1569" s="43">
        <f t="shared" si="351"/>
        <v>0.90685301037719301</v>
      </c>
      <c r="AF1569" s="43">
        <v>16.2189853744724</v>
      </c>
      <c r="AG1569" s="43">
        <v>2.4684510999999999E-2</v>
      </c>
      <c r="AH1569" s="43">
        <v>8.2938969999999997E-3</v>
      </c>
      <c r="AI1569" s="43">
        <v>0.89210539300000002</v>
      </c>
      <c r="AJ1569" s="43">
        <v>3.2808320950000001</v>
      </c>
      <c r="AK1569" s="43">
        <v>9.3116974389999996</v>
      </c>
      <c r="AL1569" s="43">
        <v>1.0512480000000001E-3</v>
      </c>
      <c r="AM1569" s="230">
        <v>8.4296977660972397E-2</v>
      </c>
      <c r="AN1569" s="43">
        <v>0.835151117</v>
      </c>
    </row>
    <row r="1570" spans="1:40" x14ac:dyDescent="0.25">
      <c r="A1570" s="134">
        <v>1560</v>
      </c>
      <c r="B1570" s="134" t="s">
        <v>207</v>
      </c>
      <c r="C1570" s="134" t="s">
        <v>205</v>
      </c>
      <c r="D1570" s="134" t="s">
        <v>62</v>
      </c>
      <c r="E1570" s="134">
        <v>0</v>
      </c>
      <c r="F1570" s="134">
        <v>0</v>
      </c>
      <c r="G1570" s="134">
        <v>188</v>
      </c>
      <c r="H1570" s="134">
        <v>0</v>
      </c>
      <c r="I1570" s="200">
        <v>0.418421620667</v>
      </c>
      <c r="J1570" s="134">
        <v>0</v>
      </c>
      <c r="K1570" s="134">
        <v>0</v>
      </c>
      <c r="L1570" s="42">
        <v>0.98801916932900002</v>
      </c>
      <c r="M1570" s="42">
        <v>0</v>
      </c>
      <c r="N1570" s="134">
        <v>0</v>
      </c>
      <c r="O1570" s="43" t="s">
        <v>665</v>
      </c>
      <c r="P1570" s="43">
        <f t="shared" si="341"/>
        <v>16.949272386598746</v>
      </c>
      <c r="Q1570" s="43">
        <f t="shared" si="342"/>
        <v>2.2361770007874014E-2</v>
      </c>
      <c r="R1570" s="43">
        <f t="shared" si="343"/>
        <v>1.2755221068376069E-2</v>
      </c>
      <c r="S1570" s="43">
        <f t="shared" si="344"/>
        <v>0.98801916899999997</v>
      </c>
      <c r="T1570" s="43">
        <f t="shared" si="345"/>
        <v>3.8086837425284572</v>
      </c>
      <c r="U1570" s="43">
        <f t="shared" si="346"/>
        <v>36.36494845</v>
      </c>
      <c r="V1570" s="43">
        <f t="shared" si="347"/>
        <v>2.0287614424242431E-3</v>
      </c>
      <c r="W1570" s="230">
        <f t="shared" si="348"/>
        <v>4.8707337327105672E-2</v>
      </c>
      <c r="X1570" s="43">
        <f t="shared" si="349"/>
        <v>0.88538289384112134</v>
      </c>
      <c r="Y1570" s="43">
        <v>28.26385295</v>
      </c>
      <c r="Z1570" s="43">
        <f t="shared" si="338"/>
        <v>0</v>
      </c>
      <c r="AA1570" s="43">
        <f t="shared" si="339"/>
        <v>58427</v>
      </c>
      <c r="AB1570" s="43">
        <f t="shared" si="340"/>
        <v>20964</v>
      </c>
      <c r="AC1570" s="43">
        <f t="shared" si="350"/>
        <v>2.1965121632062434E-2</v>
      </c>
      <c r="AD1570" s="43">
        <f t="shared" si="351"/>
        <v>0.90685301037719301</v>
      </c>
      <c r="AF1570" s="43" t="e">
        <v>#DIV/0!</v>
      </c>
      <c r="AG1570" s="43">
        <v>0</v>
      </c>
      <c r="AH1570" s="43">
        <v>0</v>
      </c>
      <c r="AI1570" s="43">
        <v>0.98801916899999997</v>
      </c>
      <c r="AJ1570" s="43" t="e">
        <v>#DIV/0!</v>
      </c>
      <c r="AK1570" s="43">
        <v>36.36494845</v>
      </c>
      <c r="AL1570" s="43" t="e">
        <v>#DIV/0!</v>
      </c>
      <c r="AM1570" s="230" t="e">
        <v>#DIV/0!</v>
      </c>
      <c r="AN1570" s="43" t="e">
        <v>#DIV/0!</v>
      </c>
    </row>
    <row r="1571" spans="1:40" x14ac:dyDescent="0.25">
      <c r="A1571" s="134">
        <v>1561</v>
      </c>
      <c r="B1571" s="134" t="s">
        <v>207</v>
      </c>
      <c r="C1571" s="134" t="s">
        <v>205</v>
      </c>
      <c r="D1571" s="134" t="s">
        <v>62</v>
      </c>
      <c r="E1571" s="134">
        <v>0</v>
      </c>
      <c r="F1571" s="134">
        <v>0</v>
      </c>
      <c r="G1571" s="134">
        <v>126</v>
      </c>
      <c r="H1571" s="134">
        <v>0</v>
      </c>
      <c r="I1571" s="200">
        <v>0.28077388913000001</v>
      </c>
      <c r="J1571" s="134">
        <v>0</v>
      </c>
      <c r="K1571" s="134">
        <v>0</v>
      </c>
      <c r="L1571" s="42">
        <v>0.95367412140600005</v>
      </c>
      <c r="M1571" s="42">
        <v>0</v>
      </c>
      <c r="N1571" s="134">
        <v>0</v>
      </c>
      <c r="O1571" s="43" t="s">
        <v>665</v>
      </c>
      <c r="P1571" s="43">
        <f t="shared" si="341"/>
        <v>16.949272386598746</v>
      </c>
      <c r="Q1571" s="43">
        <f t="shared" si="342"/>
        <v>3.5143769999999998E-2</v>
      </c>
      <c r="R1571" s="43">
        <f t="shared" si="343"/>
        <v>1.2755221068376069E-2</v>
      </c>
      <c r="S1571" s="43">
        <f t="shared" si="344"/>
        <v>0.95367412100000004</v>
      </c>
      <c r="T1571" s="43">
        <f t="shared" si="345"/>
        <v>3.8086837425284572</v>
      </c>
      <c r="U1571" s="43">
        <f t="shared" si="346"/>
        <v>32.821390370000003</v>
      </c>
      <c r="V1571" s="43">
        <f t="shared" si="347"/>
        <v>2.0287614424242431E-3</v>
      </c>
      <c r="W1571" s="230">
        <f t="shared" si="348"/>
        <v>4.8707337327105672E-2</v>
      </c>
      <c r="X1571" s="43">
        <f t="shared" si="349"/>
        <v>0.88538289384112134</v>
      </c>
      <c r="Y1571" s="43">
        <v>28.0399736</v>
      </c>
      <c r="Z1571" s="43">
        <f t="shared" si="338"/>
        <v>0</v>
      </c>
      <c r="AA1571" s="43">
        <f t="shared" si="339"/>
        <v>58427</v>
      </c>
      <c r="AB1571" s="43">
        <f t="shared" si="340"/>
        <v>20964</v>
      </c>
      <c r="AC1571" s="43">
        <f t="shared" si="350"/>
        <v>2.1965121632062434E-2</v>
      </c>
      <c r="AD1571" s="43">
        <f t="shared" si="351"/>
        <v>0.90685301037719301</v>
      </c>
      <c r="AF1571" s="43" t="e">
        <v>#DIV/0!</v>
      </c>
      <c r="AG1571" s="43">
        <v>3.5143769999999998E-2</v>
      </c>
      <c r="AH1571" s="43">
        <v>0</v>
      </c>
      <c r="AI1571" s="43">
        <v>0.95367412100000004</v>
      </c>
      <c r="AJ1571" s="43" t="e">
        <v>#DIV/0!</v>
      </c>
      <c r="AK1571" s="43">
        <v>32.821390370000003</v>
      </c>
      <c r="AL1571" s="43" t="e">
        <v>#DIV/0!</v>
      </c>
      <c r="AM1571" s="230" t="e">
        <v>#DIV/0!</v>
      </c>
      <c r="AN1571" s="43" t="e">
        <v>#DIV/0!</v>
      </c>
    </row>
    <row r="1572" spans="1:40" x14ac:dyDescent="0.25">
      <c r="A1572" s="134">
        <v>1562</v>
      </c>
      <c r="B1572" s="134" t="s">
        <v>207</v>
      </c>
      <c r="C1572" s="134" t="s">
        <v>205</v>
      </c>
      <c r="D1572" s="134" t="s">
        <v>62</v>
      </c>
      <c r="E1572" s="134">
        <v>105</v>
      </c>
      <c r="F1572" s="134">
        <v>300</v>
      </c>
      <c r="G1572" s="134">
        <v>12</v>
      </c>
      <c r="H1572" s="134">
        <v>626</v>
      </c>
      <c r="I1572" s="200">
        <v>2.58034985005E-2</v>
      </c>
      <c r="J1572" s="134">
        <v>926</v>
      </c>
      <c r="K1572" s="134">
        <v>35886.606615800003</v>
      </c>
      <c r="L1572" s="42">
        <v>0.872078940691</v>
      </c>
      <c r="M1572" s="42">
        <v>0.85636114911100003</v>
      </c>
      <c r="N1572" s="134">
        <v>1</v>
      </c>
      <c r="O1572" s="43" t="s">
        <v>664</v>
      </c>
      <c r="P1572" s="43">
        <f t="shared" si="341"/>
        <v>14.214231633320951</v>
      </c>
      <c r="Q1572" s="43">
        <f t="shared" si="342"/>
        <v>2.5957923000000001E-2</v>
      </c>
      <c r="R1572" s="43">
        <f t="shared" si="343"/>
        <v>8.817966E-3</v>
      </c>
      <c r="S1572" s="43">
        <f t="shared" si="344"/>
        <v>0.87207894100000005</v>
      </c>
      <c r="T1572" s="43">
        <f t="shared" si="345"/>
        <v>2.7463958060000002</v>
      </c>
      <c r="U1572" s="43">
        <f t="shared" si="346"/>
        <v>8.3071524419999996</v>
      </c>
      <c r="V1572" s="43">
        <f t="shared" si="347"/>
        <v>5.925535E-3</v>
      </c>
      <c r="W1572" s="230">
        <f t="shared" si="348"/>
        <v>5.2394204011131373E-2</v>
      </c>
      <c r="X1572" s="43">
        <f t="shared" si="349"/>
        <v>0.87273294300000004</v>
      </c>
      <c r="Y1572" s="43">
        <v>32.817881460000002</v>
      </c>
      <c r="Z1572" s="43">
        <f t="shared" si="338"/>
        <v>0</v>
      </c>
      <c r="AA1572" s="43">
        <f t="shared" si="339"/>
        <v>58427</v>
      </c>
      <c r="AB1572" s="43">
        <f t="shared" si="340"/>
        <v>20964</v>
      </c>
      <c r="AC1572" s="43">
        <f t="shared" si="350"/>
        <v>2.1965121632062434E-2</v>
      </c>
      <c r="AD1572" s="43">
        <f t="shared" si="351"/>
        <v>0.90685301037719301</v>
      </c>
      <c r="AF1572" s="43">
        <v>14.214231633320951</v>
      </c>
      <c r="AG1572" s="43">
        <v>2.5957923000000001E-2</v>
      </c>
      <c r="AH1572" s="43">
        <v>8.817966E-3</v>
      </c>
      <c r="AI1572" s="43">
        <v>0.87207894100000005</v>
      </c>
      <c r="AJ1572" s="43">
        <v>2.7463958060000002</v>
      </c>
      <c r="AK1572" s="43">
        <v>8.3071524419999996</v>
      </c>
      <c r="AL1572" s="43">
        <v>5.925535E-3</v>
      </c>
      <c r="AM1572" s="230">
        <v>5.2394204011131373E-2</v>
      </c>
      <c r="AN1572" s="43">
        <v>0.87273294300000004</v>
      </c>
    </row>
    <row r="1573" spans="1:40" x14ac:dyDescent="0.25">
      <c r="A1573" s="134">
        <v>1563</v>
      </c>
      <c r="B1573" s="134" t="s">
        <v>207</v>
      </c>
      <c r="C1573" s="134" t="s">
        <v>205</v>
      </c>
      <c r="D1573" s="134" t="s">
        <v>62</v>
      </c>
      <c r="E1573" s="134">
        <v>56</v>
      </c>
      <c r="F1573" s="134">
        <v>160</v>
      </c>
      <c r="G1573" s="134">
        <v>21</v>
      </c>
      <c r="H1573" s="134">
        <v>0</v>
      </c>
      <c r="I1573" s="200">
        <v>4.4183959237399997E-2</v>
      </c>
      <c r="J1573" s="134">
        <v>160</v>
      </c>
      <c r="K1573" s="134">
        <v>3621.2236920700002</v>
      </c>
      <c r="L1573" s="42">
        <v>0.90684379369900003</v>
      </c>
      <c r="M1573" s="42">
        <v>0</v>
      </c>
      <c r="N1573" s="134">
        <v>0</v>
      </c>
      <c r="O1573" s="43" t="s">
        <v>665</v>
      </c>
      <c r="P1573" s="43">
        <f t="shared" si="341"/>
        <v>19.058272054932132</v>
      </c>
      <c r="Q1573" s="43">
        <f t="shared" si="342"/>
        <v>1.6451427000000001E-2</v>
      </c>
      <c r="R1573" s="43">
        <f t="shared" si="343"/>
        <v>8.5958709999999997E-3</v>
      </c>
      <c r="S1573" s="43">
        <f t="shared" si="344"/>
        <v>0.90684379400000004</v>
      </c>
      <c r="T1573" s="43">
        <f t="shared" si="345"/>
        <v>5.0461165049999996</v>
      </c>
      <c r="U1573" s="43">
        <f t="shared" si="346"/>
        <v>12.70778164</v>
      </c>
      <c r="V1573" s="43">
        <f t="shared" si="347"/>
        <v>1.6586500000000001E-4</v>
      </c>
      <c r="W1573" s="230">
        <f t="shared" si="348"/>
        <v>4.9261900812738436E-2</v>
      </c>
      <c r="X1573" s="43">
        <f t="shared" si="349"/>
        <v>0.85370708200000001</v>
      </c>
      <c r="Y1573" s="43">
        <v>12.96625716</v>
      </c>
      <c r="Z1573" s="43">
        <f t="shared" si="338"/>
        <v>0</v>
      </c>
      <c r="AA1573" s="43">
        <f t="shared" si="339"/>
        <v>58427</v>
      </c>
      <c r="AB1573" s="43">
        <f t="shared" si="340"/>
        <v>20964</v>
      </c>
      <c r="AC1573" s="43">
        <f t="shared" si="350"/>
        <v>2.1965121632062434E-2</v>
      </c>
      <c r="AD1573" s="43">
        <f t="shared" si="351"/>
        <v>0.90685301037719301</v>
      </c>
      <c r="AF1573" s="43">
        <v>19.058272054932132</v>
      </c>
      <c r="AG1573" s="43">
        <v>1.6451427000000001E-2</v>
      </c>
      <c r="AH1573" s="43">
        <v>8.5958709999999997E-3</v>
      </c>
      <c r="AI1573" s="43">
        <v>0.90684379400000004</v>
      </c>
      <c r="AJ1573" s="43">
        <v>5.0461165049999996</v>
      </c>
      <c r="AK1573" s="43">
        <v>12.70778164</v>
      </c>
      <c r="AL1573" s="43">
        <v>1.6586500000000001E-4</v>
      </c>
      <c r="AM1573" s="230">
        <v>4.9261900812738436E-2</v>
      </c>
      <c r="AN1573" s="43">
        <v>0.85370708200000001</v>
      </c>
    </row>
    <row r="1574" spans="1:40" x14ac:dyDescent="0.25">
      <c r="A1574" s="134">
        <v>1564</v>
      </c>
      <c r="B1574" s="134" t="s">
        <v>207</v>
      </c>
      <c r="C1574" s="134" t="s">
        <v>205</v>
      </c>
      <c r="D1574" s="134" t="s">
        <v>62</v>
      </c>
      <c r="E1574" s="134">
        <v>232</v>
      </c>
      <c r="F1574" s="134">
        <v>663</v>
      </c>
      <c r="G1574" s="134">
        <v>80</v>
      </c>
      <c r="H1574" s="134">
        <v>0</v>
      </c>
      <c r="I1574" s="200">
        <v>0.166495621826</v>
      </c>
      <c r="J1574" s="134">
        <v>663</v>
      </c>
      <c r="K1574" s="134">
        <v>3982.08669229</v>
      </c>
      <c r="L1574" s="42">
        <v>0.93467934631399996</v>
      </c>
      <c r="M1574" s="42">
        <v>0</v>
      </c>
      <c r="N1574" s="134">
        <v>0</v>
      </c>
      <c r="O1574" s="43" t="s">
        <v>665</v>
      </c>
      <c r="P1574" s="43">
        <f t="shared" si="341"/>
        <v>20.297707853036897</v>
      </c>
      <c r="Q1574" s="43">
        <f t="shared" si="342"/>
        <v>1.6150237000000001E-2</v>
      </c>
      <c r="R1574" s="43">
        <f t="shared" si="343"/>
        <v>9.0683150000000004E-3</v>
      </c>
      <c r="S1574" s="43">
        <f t="shared" si="344"/>
        <v>0.93467934600000002</v>
      </c>
      <c r="T1574" s="43">
        <f t="shared" si="345"/>
        <v>5.3439490449999996</v>
      </c>
      <c r="U1574" s="43">
        <f t="shared" si="346"/>
        <v>15.544192839999999</v>
      </c>
      <c r="V1574" s="43">
        <f t="shared" si="347"/>
        <v>8.01588E-4</v>
      </c>
      <c r="W1574" s="230">
        <f t="shared" si="348"/>
        <v>4.1300862661271844E-2</v>
      </c>
      <c r="X1574" s="43">
        <f t="shared" si="349"/>
        <v>0.91884876699999996</v>
      </c>
      <c r="Y1574" s="43">
        <v>26.249084409999998</v>
      </c>
      <c r="Z1574" s="43">
        <f t="shared" si="338"/>
        <v>0</v>
      </c>
      <c r="AA1574" s="43">
        <f t="shared" si="339"/>
        <v>58427</v>
      </c>
      <c r="AB1574" s="43">
        <f t="shared" si="340"/>
        <v>20964</v>
      </c>
      <c r="AC1574" s="43">
        <f t="shared" si="350"/>
        <v>2.1965121632062434E-2</v>
      </c>
      <c r="AD1574" s="43">
        <f t="shared" si="351"/>
        <v>0.90685301037719301</v>
      </c>
      <c r="AF1574" s="43">
        <v>20.297707853036897</v>
      </c>
      <c r="AG1574" s="43">
        <v>1.6150237000000001E-2</v>
      </c>
      <c r="AH1574" s="43">
        <v>9.0683150000000004E-3</v>
      </c>
      <c r="AI1574" s="43">
        <v>0.93467934600000002</v>
      </c>
      <c r="AJ1574" s="43">
        <v>5.3439490449999996</v>
      </c>
      <c r="AK1574" s="43">
        <v>15.544192839999999</v>
      </c>
      <c r="AL1574" s="43">
        <v>8.01588E-4</v>
      </c>
      <c r="AM1574" s="230">
        <v>4.1300862661271844E-2</v>
      </c>
      <c r="AN1574" s="43">
        <v>0.91884876699999996</v>
      </c>
    </row>
    <row r="1575" spans="1:40" x14ac:dyDescent="0.25">
      <c r="A1575" s="134">
        <v>1565</v>
      </c>
      <c r="B1575" s="134" t="s">
        <v>207</v>
      </c>
      <c r="C1575" s="134" t="s">
        <v>205</v>
      </c>
      <c r="D1575" s="134" t="s">
        <v>62</v>
      </c>
      <c r="E1575" s="134">
        <v>123</v>
      </c>
      <c r="F1575" s="134">
        <v>351</v>
      </c>
      <c r="G1575" s="134">
        <v>14</v>
      </c>
      <c r="H1575" s="134">
        <v>0</v>
      </c>
      <c r="I1575" s="200">
        <v>2.9382062018400001E-2</v>
      </c>
      <c r="J1575" s="134">
        <v>351</v>
      </c>
      <c r="K1575" s="134">
        <v>11946.0642272</v>
      </c>
      <c r="L1575" s="42">
        <v>0.90002445769799999</v>
      </c>
      <c r="M1575" s="42">
        <v>0</v>
      </c>
      <c r="N1575" s="134">
        <v>0</v>
      </c>
      <c r="O1575" s="43" t="s">
        <v>666</v>
      </c>
      <c r="P1575" s="43">
        <f t="shared" si="341"/>
        <v>18.565259683703875</v>
      </c>
      <c r="Q1575" s="43">
        <f t="shared" si="342"/>
        <v>2.7693638999999999E-2</v>
      </c>
      <c r="R1575" s="43">
        <f t="shared" si="343"/>
        <v>9.9147739999999995E-3</v>
      </c>
      <c r="S1575" s="43">
        <f t="shared" si="344"/>
        <v>0.90002445799999997</v>
      </c>
      <c r="T1575" s="43">
        <f t="shared" si="345"/>
        <v>4.3247619049999999</v>
      </c>
      <c r="U1575" s="43">
        <f t="shared" si="346"/>
        <v>11.99849545</v>
      </c>
      <c r="V1575" s="43">
        <f t="shared" si="347"/>
        <v>6.0249999999999995E-4</v>
      </c>
      <c r="W1575" s="230">
        <f t="shared" si="348"/>
        <v>7.8550986594366615E-2</v>
      </c>
      <c r="X1575" s="43">
        <f t="shared" si="349"/>
        <v>0.85698147300000005</v>
      </c>
      <c r="Y1575" s="43">
        <v>29.109256290000001</v>
      </c>
      <c r="Z1575" s="43">
        <f t="shared" si="338"/>
        <v>0</v>
      </c>
      <c r="AA1575" s="43">
        <f t="shared" si="339"/>
        <v>58427</v>
      </c>
      <c r="AB1575" s="43">
        <f t="shared" si="340"/>
        <v>20964</v>
      </c>
      <c r="AC1575" s="43">
        <f t="shared" si="350"/>
        <v>2.1965121632062434E-2</v>
      </c>
      <c r="AD1575" s="43">
        <f t="shared" si="351"/>
        <v>0.90685301037719301</v>
      </c>
      <c r="AF1575" s="43">
        <v>18.565259683703875</v>
      </c>
      <c r="AG1575" s="43">
        <v>2.7693638999999999E-2</v>
      </c>
      <c r="AH1575" s="43">
        <v>9.9147739999999995E-3</v>
      </c>
      <c r="AI1575" s="43">
        <v>0.90002445799999997</v>
      </c>
      <c r="AJ1575" s="43">
        <v>4.3247619049999999</v>
      </c>
      <c r="AK1575" s="43">
        <v>11.99849545</v>
      </c>
      <c r="AL1575" s="43">
        <v>6.0249999999999995E-4</v>
      </c>
      <c r="AM1575" s="230">
        <v>7.8550986594366615E-2</v>
      </c>
      <c r="AN1575" s="43">
        <v>0.85698147300000005</v>
      </c>
    </row>
    <row r="1576" spans="1:40" x14ac:dyDescent="0.25">
      <c r="A1576" s="134">
        <v>1566</v>
      </c>
      <c r="B1576" s="134" t="s">
        <v>207</v>
      </c>
      <c r="C1576" s="134" t="s">
        <v>205</v>
      </c>
      <c r="D1576" s="134" t="s">
        <v>62</v>
      </c>
      <c r="E1576" s="134">
        <v>0</v>
      </c>
      <c r="F1576" s="134">
        <v>0</v>
      </c>
      <c r="G1576" s="134">
        <v>114</v>
      </c>
      <c r="H1576" s="134">
        <v>0</v>
      </c>
      <c r="I1576" s="200">
        <v>0.23849377837899999</v>
      </c>
      <c r="J1576" s="134">
        <v>0</v>
      </c>
      <c r="K1576" s="134">
        <v>0</v>
      </c>
      <c r="L1576" s="42">
        <v>0.94343065693399997</v>
      </c>
      <c r="M1576" s="42">
        <v>0</v>
      </c>
      <c r="N1576" s="134">
        <v>0</v>
      </c>
      <c r="O1576" s="43" t="s">
        <v>665</v>
      </c>
      <c r="P1576" s="43">
        <f t="shared" si="341"/>
        <v>16.949272386598746</v>
      </c>
      <c r="Q1576" s="43">
        <f t="shared" si="342"/>
        <v>3.2846714999999999E-2</v>
      </c>
      <c r="R1576" s="43">
        <f t="shared" si="343"/>
        <v>1.2755221068376069E-2</v>
      </c>
      <c r="S1576" s="43">
        <f t="shared" si="344"/>
        <v>0.94343065699999995</v>
      </c>
      <c r="T1576" s="43">
        <f t="shared" si="345"/>
        <v>3.8086837425284572</v>
      </c>
      <c r="U1576" s="43">
        <f t="shared" si="346"/>
        <v>28.68069307</v>
      </c>
      <c r="V1576" s="43">
        <f t="shared" si="347"/>
        <v>2.0287614424242431E-3</v>
      </c>
      <c r="W1576" s="230">
        <f t="shared" si="348"/>
        <v>4.8707337327105672E-2</v>
      </c>
      <c r="X1576" s="43">
        <f t="shared" si="349"/>
        <v>0.88538289384112134</v>
      </c>
      <c r="Y1576" s="43">
        <v>26.14698108</v>
      </c>
      <c r="Z1576" s="43">
        <f t="shared" si="338"/>
        <v>0</v>
      </c>
      <c r="AA1576" s="43">
        <f t="shared" si="339"/>
        <v>58427</v>
      </c>
      <c r="AB1576" s="43">
        <f t="shared" si="340"/>
        <v>20964</v>
      </c>
      <c r="AC1576" s="43">
        <f t="shared" si="350"/>
        <v>2.1965121632062434E-2</v>
      </c>
      <c r="AD1576" s="43">
        <f t="shared" si="351"/>
        <v>0.90685301037719301</v>
      </c>
      <c r="AF1576" s="43" t="e">
        <v>#DIV/0!</v>
      </c>
      <c r="AG1576" s="43">
        <v>3.2846714999999999E-2</v>
      </c>
      <c r="AH1576" s="43">
        <v>0</v>
      </c>
      <c r="AI1576" s="43">
        <v>0.94343065699999995</v>
      </c>
      <c r="AJ1576" s="43" t="e">
        <v>#DIV/0!</v>
      </c>
      <c r="AK1576" s="43">
        <v>28.68069307</v>
      </c>
      <c r="AL1576" s="43" t="e">
        <v>#DIV/0!</v>
      </c>
      <c r="AM1576" s="230" t="e">
        <v>#DIV/0!</v>
      </c>
      <c r="AN1576" s="43" t="e">
        <v>#DIV/0!</v>
      </c>
    </row>
    <row r="1577" spans="1:40" x14ac:dyDescent="0.25">
      <c r="A1577" s="134">
        <v>1567</v>
      </c>
      <c r="B1577" s="134" t="s">
        <v>207</v>
      </c>
      <c r="C1577" s="134" t="s">
        <v>205</v>
      </c>
      <c r="D1577" s="134" t="s">
        <v>62</v>
      </c>
      <c r="E1577" s="134">
        <v>0</v>
      </c>
      <c r="F1577" s="134">
        <v>0</v>
      </c>
      <c r="G1577" s="134">
        <v>333</v>
      </c>
      <c r="H1577" s="134">
        <v>0</v>
      </c>
      <c r="I1577" s="200">
        <v>0.69674007806000005</v>
      </c>
      <c r="J1577" s="134">
        <v>0</v>
      </c>
      <c r="K1577" s="134">
        <v>0</v>
      </c>
      <c r="L1577" s="42">
        <v>0.98717948717899995</v>
      </c>
      <c r="M1577" s="42">
        <v>0</v>
      </c>
      <c r="N1577" s="134">
        <v>0</v>
      </c>
      <c r="O1577" s="43" t="s">
        <v>665</v>
      </c>
      <c r="P1577" s="43">
        <f t="shared" si="341"/>
        <v>16.949272386598746</v>
      </c>
      <c r="Q1577" s="43">
        <f t="shared" si="342"/>
        <v>2.2361770007874014E-2</v>
      </c>
      <c r="R1577" s="43">
        <f t="shared" si="343"/>
        <v>1.2755221068376069E-2</v>
      </c>
      <c r="S1577" s="43">
        <f t="shared" si="344"/>
        <v>0.98717948700000002</v>
      </c>
      <c r="T1577" s="43">
        <f t="shared" si="345"/>
        <v>3.8086837425284572</v>
      </c>
      <c r="U1577" s="43">
        <f t="shared" si="346"/>
        <v>22.54728132</v>
      </c>
      <c r="V1577" s="43">
        <f t="shared" si="347"/>
        <v>2.0287614424242431E-3</v>
      </c>
      <c r="W1577" s="230">
        <f t="shared" si="348"/>
        <v>4.8707337327105672E-2</v>
      </c>
      <c r="X1577" s="43">
        <f t="shared" si="349"/>
        <v>0.88538289384112134</v>
      </c>
      <c r="Y1577" s="43">
        <v>12.965230310000001</v>
      </c>
      <c r="Z1577" s="43">
        <f t="shared" si="338"/>
        <v>0</v>
      </c>
      <c r="AA1577" s="43">
        <f t="shared" si="339"/>
        <v>58427</v>
      </c>
      <c r="AB1577" s="43">
        <f t="shared" si="340"/>
        <v>20964</v>
      </c>
      <c r="AC1577" s="43">
        <f t="shared" si="350"/>
        <v>2.1965121632062434E-2</v>
      </c>
      <c r="AD1577" s="43">
        <f t="shared" si="351"/>
        <v>0.90685301037719301</v>
      </c>
      <c r="AF1577" s="43" t="e">
        <v>#DIV/0!</v>
      </c>
      <c r="AG1577" s="43">
        <v>0</v>
      </c>
      <c r="AH1577" s="43">
        <v>0</v>
      </c>
      <c r="AI1577" s="43">
        <v>0.98717948700000002</v>
      </c>
      <c r="AJ1577" s="43" t="e">
        <v>#DIV/0!</v>
      </c>
      <c r="AK1577" s="43">
        <v>22.54728132</v>
      </c>
      <c r="AL1577" s="43" t="e">
        <v>#DIV/0!</v>
      </c>
      <c r="AM1577" s="230" t="e">
        <v>#DIV/0!</v>
      </c>
      <c r="AN1577" s="43" t="e">
        <v>#DIV/0!</v>
      </c>
    </row>
    <row r="1578" spans="1:40" x14ac:dyDescent="0.25">
      <c r="A1578" s="134">
        <v>1568</v>
      </c>
      <c r="B1578" s="134" t="s">
        <v>207</v>
      </c>
      <c r="C1578" s="134" t="s">
        <v>205</v>
      </c>
      <c r="D1578" s="134" t="s">
        <v>62</v>
      </c>
      <c r="E1578" s="134">
        <v>0</v>
      </c>
      <c r="F1578" s="134">
        <v>0</v>
      </c>
      <c r="G1578" s="134">
        <v>1241</v>
      </c>
      <c r="H1578" s="134">
        <v>0</v>
      </c>
      <c r="I1578" s="200">
        <v>2.5971829350400002</v>
      </c>
      <c r="J1578" s="134">
        <v>0</v>
      </c>
      <c r="K1578" s="134">
        <v>0</v>
      </c>
      <c r="L1578" s="42">
        <v>0.98899082568800001</v>
      </c>
      <c r="M1578" s="42">
        <v>0</v>
      </c>
      <c r="N1578" s="134">
        <v>0</v>
      </c>
      <c r="O1578" s="43" t="s">
        <v>665</v>
      </c>
      <c r="P1578" s="43">
        <f t="shared" si="341"/>
        <v>16.949272386598746</v>
      </c>
      <c r="Q1578" s="43">
        <f t="shared" si="342"/>
        <v>2.2361770007874014E-2</v>
      </c>
      <c r="R1578" s="43">
        <f t="shared" si="343"/>
        <v>1.2755221068376069E-2</v>
      </c>
      <c r="S1578" s="43">
        <f t="shared" si="344"/>
        <v>0.98899082599999999</v>
      </c>
      <c r="T1578" s="43">
        <f t="shared" si="345"/>
        <v>4</v>
      </c>
      <c r="U1578" s="43">
        <f t="shared" si="346"/>
        <v>17.42738095</v>
      </c>
      <c r="V1578" s="43">
        <f t="shared" si="347"/>
        <v>2.0287614424242431E-3</v>
      </c>
      <c r="W1578" s="230">
        <f t="shared" si="348"/>
        <v>4.8707337327105672E-2</v>
      </c>
      <c r="X1578" s="43">
        <f t="shared" si="349"/>
        <v>0.88538289384112134</v>
      </c>
      <c r="Y1578" s="43">
        <v>12.94756576</v>
      </c>
      <c r="Z1578" s="43">
        <f t="shared" si="338"/>
        <v>0</v>
      </c>
      <c r="AA1578" s="43">
        <f t="shared" si="339"/>
        <v>58427</v>
      </c>
      <c r="AB1578" s="43">
        <f t="shared" si="340"/>
        <v>20964</v>
      </c>
      <c r="AC1578" s="43">
        <f t="shared" si="350"/>
        <v>2.1965121632062434E-2</v>
      </c>
      <c r="AD1578" s="43">
        <f t="shared" si="351"/>
        <v>0.90685301037719301</v>
      </c>
      <c r="AF1578" s="43" t="e">
        <v>#DIV/0!</v>
      </c>
      <c r="AG1578" s="43">
        <v>0</v>
      </c>
      <c r="AH1578" s="43">
        <v>0</v>
      </c>
      <c r="AI1578" s="43">
        <v>0.98899082599999999</v>
      </c>
      <c r="AJ1578" s="43">
        <v>4</v>
      </c>
      <c r="AK1578" s="43">
        <v>17.42738095</v>
      </c>
      <c r="AL1578" s="43" t="e">
        <v>#DIV/0!</v>
      </c>
      <c r="AM1578" s="230" t="e">
        <v>#DIV/0!</v>
      </c>
      <c r="AN1578" s="43" t="e">
        <v>#DIV/0!</v>
      </c>
    </row>
    <row r="1579" spans="1:40" x14ac:dyDescent="0.25">
      <c r="A1579" s="134">
        <v>1569</v>
      </c>
      <c r="B1579" s="134" t="s">
        <v>207</v>
      </c>
      <c r="C1579" s="134" t="s">
        <v>205</v>
      </c>
      <c r="D1579" s="134" t="s">
        <v>62</v>
      </c>
      <c r="E1579" s="134">
        <v>0</v>
      </c>
      <c r="F1579" s="134">
        <v>0</v>
      </c>
      <c r="G1579" s="134">
        <v>37</v>
      </c>
      <c r="H1579" s="134">
        <v>0</v>
      </c>
      <c r="I1579" s="200">
        <v>7.6749602337600004E-2</v>
      </c>
      <c r="J1579" s="134">
        <v>0</v>
      </c>
      <c r="K1579" s="134">
        <v>0</v>
      </c>
      <c r="L1579" s="42">
        <v>0.85923217550300002</v>
      </c>
      <c r="M1579" s="42">
        <v>0</v>
      </c>
      <c r="N1579" s="134">
        <v>0</v>
      </c>
      <c r="O1579" s="43" t="s">
        <v>666</v>
      </c>
      <c r="P1579" s="43">
        <f t="shared" si="341"/>
        <v>16.949272386598746</v>
      </c>
      <c r="Q1579" s="43">
        <f t="shared" si="342"/>
        <v>2.559415E-2</v>
      </c>
      <c r="R1579" s="43">
        <f t="shared" si="343"/>
        <v>3.6563070000000001E-3</v>
      </c>
      <c r="S1579" s="43">
        <f t="shared" si="344"/>
        <v>0.85923217600000001</v>
      </c>
      <c r="T1579" s="43">
        <f t="shared" si="345"/>
        <v>2</v>
      </c>
      <c r="U1579" s="43">
        <f t="shared" si="346"/>
        <v>6.4769021740000001</v>
      </c>
      <c r="V1579" s="43">
        <f t="shared" si="347"/>
        <v>2.0287614424242431E-3</v>
      </c>
      <c r="W1579" s="230">
        <f t="shared" si="348"/>
        <v>4.8707337327105672E-2</v>
      </c>
      <c r="X1579" s="43">
        <f t="shared" si="349"/>
        <v>0.88538289384112134</v>
      </c>
      <c r="Y1579" s="43">
        <v>25.351071439999998</v>
      </c>
      <c r="Z1579" s="43">
        <f t="shared" si="338"/>
        <v>0</v>
      </c>
      <c r="AA1579" s="43">
        <f t="shared" si="339"/>
        <v>58427</v>
      </c>
      <c r="AB1579" s="43">
        <f t="shared" si="340"/>
        <v>20964</v>
      </c>
      <c r="AC1579" s="43">
        <f t="shared" si="350"/>
        <v>2.1965121632062434E-2</v>
      </c>
      <c r="AD1579" s="43">
        <f t="shared" si="351"/>
        <v>0.90685301037719301</v>
      </c>
      <c r="AF1579" s="43" t="e">
        <v>#DIV/0!</v>
      </c>
      <c r="AG1579" s="43">
        <v>2.559415E-2</v>
      </c>
      <c r="AH1579" s="43">
        <v>3.6563070000000001E-3</v>
      </c>
      <c r="AI1579" s="43">
        <v>0.85923217600000001</v>
      </c>
      <c r="AJ1579" s="43">
        <v>2</v>
      </c>
      <c r="AK1579" s="43">
        <v>6.4769021740000001</v>
      </c>
      <c r="AL1579" s="43" t="e">
        <v>#DIV/0!</v>
      </c>
      <c r="AM1579" s="230" t="e">
        <v>#DIV/0!</v>
      </c>
      <c r="AN1579" s="43" t="e">
        <v>#DIV/0!</v>
      </c>
    </row>
    <row r="1580" spans="1:40" x14ac:dyDescent="0.25">
      <c r="A1580" s="134">
        <v>1570</v>
      </c>
      <c r="B1580" s="134" t="s">
        <v>206</v>
      </c>
      <c r="C1580" s="134" t="s">
        <v>205</v>
      </c>
      <c r="D1580" s="134" t="s">
        <v>62</v>
      </c>
      <c r="E1580" s="134">
        <v>0</v>
      </c>
      <c r="F1580" s="134">
        <v>0</v>
      </c>
      <c r="G1580" s="134">
        <v>33</v>
      </c>
      <c r="H1580" s="134">
        <v>986</v>
      </c>
      <c r="I1580" s="200">
        <v>5.3143907275100002E-2</v>
      </c>
      <c r="J1580" s="134">
        <v>986</v>
      </c>
      <c r="K1580" s="134">
        <v>18553.3968155</v>
      </c>
      <c r="L1580" s="42">
        <v>0.88380104965100004</v>
      </c>
      <c r="M1580" s="42">
        <v>1</v>
      </c>
      <c r="N1580" s="134">
        <v>1</v>
      </c>
      <c r="O1580" s="43" t="s">
        <v>664</v>
      </c>
      <c r="P1580" s="43">
        <f t="shared" si="341"/>
        <v>16.295759269191862</v>
      </c>
      <c r="Q1580" s="43">
        <f t="shared" si="342"/>
        <v>3.3143934E-2</v>
      </c>
      <c r="R1580" s="43">
        <f t="shared" si="343"/>
        <v>6.8964660000000004E-3</v>
      </c>
      <c r="S1580" s="43">
        <f t="shared" si="344"/>
        <v>0.88380104999999998</v>
      </c>
      <c r="T1580" s="43">
        <f t="shared" si="345"/>
        <v>3.505150022</v>
      </c>
      <c r="U1580" s="43">
        <f t="shared" si="346"/>
        <v>9.5235799599999993</v>
      </c>
      <c r="V1580" s="43">
        <f t="shared" si="347"/>
        <v>3.7821479999999999E-3</v>
      </c>
      <c r="W1580" s="230">
        <f t="shared" si="348"/>
        <v>5.8830706163681613E-2</v>
      </c>
      <c r="X1580" s="43">
        <f t="shared" si="349"/>
        <v>0.90300619800000004</v>
      </c>
      <c r="Y1580" s="43">
        <v>25.498430299999999</v>
      </c>
      <c r="Z1580" s="43">
        <f t="shared" si="338"/>
        <v>0</v>
      </c>
      <c r="AA1580" s="43">
        <f t="shared" si="339"/>
        <v>81011</v>
      </c>
      <c r="AB1580" s="43">
        <f t="shared" si="340"/>
        <v>29053</v>
      </c>
      <c r="AC1580" s="43">
        <f t="shared" si="350"/>
        <v>2.1404971853430661E-2</v>
      </c>
      <c r="AD1580" s="43">
        <f t="shared" si="351"/>
        <v>0.87688609315999988</v>
      </c>
      <c r="AF1580" s="43">
        <v>16.295759269191862</v>
      </c>
      <c r="AG1580" s="43">
        <v>3.3143934E-2</v>
      </c>
      <c r="AH1580" s="43">
        <v>6.8964660000000004E-3</v>
      </c>
      <c r="AI1580" s="43">
        <v>0.88380104999999998</v>
      </c>
      <c r="AJ1580" s="43">
        <v>3.505150022</v>
      </c>
      <c r="AK1580" s="43">
        <v>9.5235799599999993</v>
      </c>
      <c r="AL1580" s="43">
        <v>3.7821479999999999E-3</v>
      </c>
      <c r="AM1580" s="230">
        <v>5.8830706163681613E-2</v>
      </c>
      <c r="AN1580" s="43">
        <v>0.90300619800000004</v>
      </c>
    </row>
    <row r="1581" spans="1:40" x14ac:dyDescent="0.25">
      <c r="A1581" s="134">
        <v>1571</v>
      </c>
      <c r="B1581" s="134" t="s">
        <v>206</v>
      </c>
      <c r="C1581" s="134" t="s">
        <v>205</v>
      </c>
      <c r="D1581" s="134" t="s">
        <v>62</v>
      </c>
      <c r="E1581" s="134">
        <v>1</v>
      </c>
      <c r="F1581" s="134">
        <v>3</v>
      </c>
      <c r="G1581" s="134">
        <v>129</v>
      </c>
      <c r="H1581" s="134">
        <v>941</v>
      </c>
      <c r="I1581" s="200">
        <v>0.23231377244199999</v>
      </c>
      <c r="J1581" s="134">
        <v>944</v>
      </c>
      <c r="K1581" s="134">
        <v>4063.4698067099998</v>
      </c>
      <c r="L1581" s="42">
        <v>0.94540818781000002</v>
      </c>
      <c r="M1581" s="42">
        <v>0.99893842887499995</v>
      </c>
      <c r="N1581" s="134">
        <v>0</v>
      </c>
      <c r="O1581" s="43" t="s">
        <v>666</v>
      </c>
      <c r="P1581" s="43">
        <f t="shared" si="341"/>
        <v>15.132207466974638</v>
      </c>
      <c r="Q1581" s="43">
        <f t="shared" si="342"/>
        <v>4.2622789999999999E-3</v>
      </c>
      <c r="R1581" s="43">
        <f t="shared" si="343"/>
        <v>7.1775629999999997E-3</v>
      </c>
      <c r="S1581" s="43">
        <f t="shared" si="344"/>
        <v>0.94540818800000004</v>
      </c>
      <c r="T1581" s="43">
        <f t="shared" si="345"/>
        <v>3.6162711860000001</v>
      </c>
      <c r="U1581" s="43">
        <f t="shared" si="346"/>
        <v>9.3626364780000007</v>
      </c>
      <c r="V1581" s="43">
        <f t="shared" si="347"/>
        <v>4.5565830000000003E-3</v>
      </c>
      <c r="W1581" s="230">
        <f t="shared" si="348"/>
        <v>4.6019223793978955E-3</v>
      </c>
      <c r="X1581" s="43">
        <f t="shared" si="349"/>
        <v>0.96490750800000002</v>
      </c>
      <c r="Y1581" s="43">
        <v>48.138736700000003</v>
      </c>
      <c r="Z1581" s="43">
        <f t="shared" si="338"/>
        <v>0</v>
      </c>
      <c r="AA1581" s="43">
        <f t="shared" si="339"/>
        <v>81011</v>
      </c>
      <c r="AB1581" s="43">
        <f t="shared" si="340"/>
        <v>29053</v>
      </c>
      <c r="AC1581" s="43">
        <f t="shared" si="350"/>
        <v>2.1404971853430661E-2</v>
      </c>
      <c r="AD1581" s="43">
        <f t="shared" si="351"/>
        <v>0.87688609315999988</v>
      </c>
      <c r="AF1581" s="43">
        <v>15.132207466974638</v>
      </c>
      <c r="AG1581" s="43">
        <v>4.2622789999999999E-3</v>
      </c>
      <c r="AH1581" s="43">
        <v>7.1775629999999997E-3</v>
      </c>
      <c r="AI1581" s="43">
        <v>0.94540818800000004</v>
      </c>
      <c r="AJ1581" s="43">
        <v>3.6162711860000001</v>
      </c>
      <c r="AK1581" s="43">
        <v>9.3626364780000007</v>
      </c>
      <c r="AL1581" s="43">
        <v>4.5565830000000003E-3</v>
      </c>
      <c r="AM1581" s="230">
        <v>4.6019223793978955E-3</v>
      </c>
      <c r="AN1581" s="43">
        <v>0.96490750800000002</v>
      </c>
    </row>
    <row r="1582" spans="1:40" x14ac:dyDescent="0.25">
      <c r="A1582" s="134">
        <v>1572</v>
      </c>
      <c r="B1582" s="134" t="s">
        <v>206</v>
      </c>
      <c r="C1582" s="134" t="s">
        <v>205</v>
      </c>
      <c r="D1582" s="134" t="s">
        <v>62</v>
      </c>
      <c r="E1582" s="134">
        <v>0</v>
      </c>
      <c r="F1582" s="134">
        <v>0</v>
      </c>
      <c r="G1582" s="134">
        <v>8</v>
      </c>
      <c r="H1582" s="134">
        <v>179</v>
      </c>
      <c r="I1582" s="200">
        <v>1.29369422857E-2</v>
      </c>
      <c r="J1582" s="134">
        <v>179</v>
      </c>
      <c r="K1582" s="134">
        <v>13836.3452543</v>
      </c>
      <c r="L1582" s="42">
        <v>0.85444491705699999</v>
      </c>
      <c r="M1582" s="42">
        <v>1</v>
      </c>
      <c r="N1582" s="134">
        <v>1</v>
      </c>
      <c r="O1582" s="43" t="s">
        <v>664</v>
      </c>
      <c r="P1582" s="43">
        <f t="shared" si="341"/>
        <v>12.739890671784501</v>
      </c>
      <c r="Q1582" s="43">
        <f t="shared" si="342"/>
        <v>2.0842195000000001E-2</v>
      </c>
      <c r="R1582" s="43">
        <f t="shared" si="343"/>
        <v>7.0608249999999997E-3</v>
      </c>
      <c r="S1582" s="43">
        <f t="shared" si="344"/>
        <v>0.85444491700000003</v>
      </c>
      <c r="T1582" s="43">
        <f t="shared" si="345"/>
        <v>2.7410714289999998</v>
      </c>
      <c r="U1582" s="43">
        <f t="shared" si="346"/>
        <v>7.1475193389999996</v>
      </c>
      <c r="V1582" s="43">
        <f t="shared" si="347"/>
        <v>4.8699040000000004E-3</v>
      </c>
      <c r="W1582" s="230">
        <f t="shared" si="348"/>
        <v>2.7688882704883816E-2</v>
      </c>
      <c r="X1582" s="43">
        <f t="shared" si="349"/>
        <v>0.83553638500000005</v>
      </c>
      <c r="Y1582" s="43">
        <v>37.5005302</v>
      </c>
      <c r="Z1582" s="43">
        <f t="shared" si="338"/>
        <v>0</v>
      </c>
      <c r="AA1582" s="43">
        <f t="shared" si="339"/>
        <v>81011</v>
      </c>
      <c r="AB1582" s="43">
        <f t="shared" si="340"/>
        <v>29053</v>
      </c>
      <c r="AC1582" s="43">
        <f t="shared" si="350"/>
        <v>2.1404971853430661E-2</v>
      </c>
      <c r="AD1582" s="43">
        <f t="shared" si="351"/>
        <v>0.87688609315999988</v>
      </c>
      <c r="AF1582" s="43">
        <v>12.739890671784501</v>
      </c>
      <c r="AG1582" s="43">
        <v>2.0842195000000001E-2</v>
      </c>
      <c r="AH1582" s="43">
        <v>7.0608249999999997E-3</v>
      </c>
      <c r="AI1582" s="43">
        <v>0.85444491700000003</v>
      </c>
      <c r="AJ1582" s="43">
        <v>2.7410714289999998</v>
      </c>
      <c r="AK1582" s="43">
        <v>7.1475193389999996</v>
      </c>
      <c r="AL1582" s="43">
        <v>4.8699040000000004E-3</v>
      </c>
      <c r="AM1582" s="230">
        <v>2.7688882704883816E-2</v>
      </c>
      <c r="AN1582" s="43">
        <v>0.83553638500000005</v>
      </c>
    </row>
    <row r="1583" spans="1:40" x14ac:dyDescent="0.25">
      <c r="A1583" s="134">
        <v>1573</v>
      </c>
      <c r="B1583" s="134" t="s">
        <v>206</v>
      </c>
      <c r="C1583" s="134" t="s">
        <v>205</v>
      </c>
      <c r="D1583" s="134" t="s">
        <v>62</v>
      </c>
      <c r="E1583" s="134">
        <v>255</v>
      </c>
      <c r="F1583" s="134">
        <v>708</v>
      </c>
      <c r="G1583" s="134">
        <v>11</v>
      </c>
      <c r="H1583" s="134">
        <v>333</v>
      </c>
      <c r="I1583" s="200">
        <v>1.7616794288899999E-2</v>
      </c>
      <c r="J1583" s="134">
        <v>1041</v>
      </c>
      <c r="K1583" s="134">
        <v>59091.341076500001</v>
      </c>
      <c r="L1583" s="42">
        <v>0.79814538219200004</v>
      </c>
      <c r="M1583" s="42">
        <v>0.566326530612</v>
      </c>
      <c r="N1583" s="134">
        <v>1</v>
      </c>
      <c r="O1583" s="43" t="s">
        <v>627</v>
      </c>
      <c r="P1583" s="43">
        <f t="shared" si="341"/>
        <v>14.80793483016768</v>
      </c>
      <c r="Q1583" s="43">
        <f t="shared" si="342"/>
        <v>5.6261314E-2</v>
      </c>
      <c r="R1583" s="43">
        <f t="shared" si="343"/>
        <v>1.6609227000000001E-2</v>
      </c>
      <c r="S1583" s="43">
        <f t="shared" si="344"/>
        <v>0.79814538199999996</v>
      </c>
      <c r="T1583" s="43">
        <f t="shared" si="345"/>
        <v>2.8076311610000002</v>
      </c>
      <c r="U1583" s="43">
        <f t="shared" si="346"/>
        <v>8.4028816089999996</v>
      </c>
      <c r="V1583" s="43">
        <f t="shared" si="347"/>
        <v>1.6638209000000001E-2</v>
      </c>
      <c r="W1583" s="230">
        <f t="shared" si="348"/>
        <v>0.11902864731549991</v>
      </c>
      <c r="X1583" s="43">
        <f t="shared" si="349"/>
        <v>0.75657370499999999</v>
      </c>
      <c r="Y1583" s="43">
        <v>37.5005302</v>
      </c>
      <c r="Z1583" s="43">
        <f t="shared" si="338"/>
        <v>0</v>
      </c>
      <c r="AA1583" s="43">
        <f t="shared" si="339"/>
        <v>81011</v>
      </c>
      <c r="AB1583" s="43">
        <f t="shared" si="340"/>
        <v>29053</v>
      </c>
      <c r="AC1583" s="43">
        <f t="shared" si="350"/>
        <v>2.1404971853430661E-2</v>
      </c>
      <c r="AD1583" s="43">
        <f t="shared" si="351"/>
        <v>0.87688609315999988</v>
      </c>
      <c r="AF1583" s="43">
        <v>14.80793483016768</v>
      </c>
      <c r="AG1583" s="43">
        <v>5.6261314E-2</v>
      </c>
      <c r="AH1583" s="43">
        <v>1.6609227000000001E-2</v>
      </c>
      <c r="AI1583" s="43">
        <v>0.79814538199999996</v>
      </c>
      <c r="AJ1583" s="43">
        <v>2.8076311610000002</v>
      </c>
      <c r="AK1583" s="43">
        <v>8.4028816089999996</v>
      </c>
      <c r="AL1583" s="43">
        <v>1.6638209000000001E-2</v>
      </c>
      <c r="AM1583" s="230">
        <v>0.11902864731549991</v>
      </c>
      <c r="AN1583" s="43">
        <v>0.75657370499999999</v>
      </c>
    </row>
    <row r="1584" spans="1:40" x14ac:dyDescent="0.25">
      <c r="A1584" s="134">
        <v>1574</v>
      </c>
      <c r="B1584" s="134" t="s">
        <v>206</v>
      </c>
      <c r="C1584" s="134" t="s">
        <v>205</v>
      </c>
      <c r="D1584" s="134" t="s">
        <v>62</v>
      </c>
      <c r="E1584" s="134">
        <v>0</v>
      </c>
      <c r="F1584" s="134">
        <v>0</v>
      </c>
      <c r="G1584" s="134">
        <v>21</v>
      </c>
      <c r="H1584" s="134">
        <v>285</v>
      </c>
      <c r="I1584" s="200">
        <v>3.5155583275900001E-2</v>
      </c>
      <c r="J1584" s="134">
        <v>285</v>
      </c>
      <c r="K1584" s="134">
        <v>8106.82040925</v>
      </c>
      <c r="L1584" s="42">
        <v>0.88041432858099999</v>
      </c>
      <c r="M1584" s="42">
        <v>1</v>
      </c>
      <c r="N1584" s="134">
        <v>0</v>
      </c>
      <c r="O1584" s="43" t="s">
        <v>666</v>
      </c>
      <c r="P1584" s="43">
        <f t="shared" si="341"/>
        <v>13.449350590786418</v>
      </c>
      <c r="Q1584" s="43">
        <f t="shared" si="342"/>
        <v>1.3850509E-2</v>
      </c>
      <c r="R1584" s="43">
        <f t="shared" si="343"/>
        <v>8.3916800000000003E-3</v>
      </c>
      <c r="S1584" s="43">
        <f t="shared" si="344"/>
        <v>0.88041432900000005</v>
      </c>
      <c r="T1584" s="43">
        <f t="shared" si="345"/>
        <v>2.6034836069999998</v>
      </c>
      <c r="U1584" s="43">
        <f t="shared" si="346"/>
        <v>7.4613352089999996</v>
      </c>
      <c r="V1584" s="43">
        <f t="shared" si="347"/>
        <v>5.6128769999999996E-3</v>
      </c>
      <c r="W1584" s="230">
        <f t="shared" si="348"/>
        <v>1.8654560462236895E-2</v>
      </c>
      <c r="X1584" s="43">
        <f t="shared" si="349"/>
        <v>0.88724721399999995</v>
      </c>
      <c r="Y1584" s="43">
        <v>37.5005302</v>
      </c>
      <c r="Z1584" s="43">
        <f t="shared" si="338"/>
        <v>0</v>
      </c>
      <c r="AA1584" s="43">
        <f t="shared" si="339"/>
        <v>81011</v>
      </c>
      <c r="AB1584" s="43">
        <f t="shared" si="340"/>
        <v>29053</v>
      </c>
      <c r="AC1584" s="43">
        <f t="shared" si="350"/>
        <v>2.1404971853430661E-2</v>
      </c>
      <c r="AD1584" s="43">
        <f t="shared" si="351"/>
        <v>0.87688609315999988</v>
      </c>
      <c r="AF1584" s="43">
        <v>13.449350590786418</v>
      </c>
      <c r="AG1584" s="43">
        <v>1.3850509E-2</v>
      </c>
      <c r="AH1584" s="43">
        <v>8.3916800000000003E-3</v>
      </c>
      <c r="AI1584" s="43">
        <v>0.88041432900000005</v>
      </c>
      <c r="AJ1584" s="43">
        <v>2.6034836069999998</v>
      </c>
      <c r="AK1584" s="43">
        <v>7.4613352089999996</v>
      </c>
      <c r="AL1584" s="43">
        <v>5.6128769999999996E-3</v>
      </c>
      <c r="AM1584" s="230">
        <v>1.8654560462236895E-2</v>
      </c>
      <c r="AN1584" s="43">
        <v>0.88724721399999995</v>
      </c>
    </row>
    <row r="1585" spans="1:40" x14ac:dyDescent="0.25">
      <c r="A1585" s="134">
        <v>1575</v>
      </c>
      <c r="B1585" s="134" t="s">
        <v>204</v>
      </c>
      <c r="C1585" s="134" t="s">
        <v>205</v>
      </c>
      <c r="D1585" s="134" t="s">
        <v>62</v>
      </c>
      <c r="E1585" s="134">
        <v>82</v>
      </c>
      <c r="F1585" s="134">
        <v>237</v>
      </c>
      <c r="G1585" s="134">
        <v>37</v>
      </c>
      <c r="H1585" s="134">
        <v>0</v>
      </c>
      <c r="I1585" s="200">
        <v>6.1168918321500003E-2</v>
      </c>
      <c r="J1585" s="134">
        <v>237</v>
      </c>
      <c r="K1585" s="134">
        <v>3874.5167726300001</v>
      </c>
      <c r="L1585" s="42">
        <v>0.89892532378099999</v>
      </c>
      <c r="M1585" s="42">
        <v>0</v>
      </c>
      <c r="N1585" s="134">
        <v>0</v>
      </c>
      <c r="O1585" s="43" t="s">
        <v>665</v>
      </c>
      <c r="P1585" s="43">
        <f t="shared" si="341"/>
        <v>20.136327130397095</v>
      </c>
      <c r="Q1585" s="43">
        <f t="shared" si="342"/>
        <v>1.7112151999999999E-2</v>
      </c>
      <c r="R1585" s="43">
        <f t="shared" si="343"/>
        <v>1.2234775E-2</v>
      </c>
      <c r="S1585" s="43">
        <f t="shared" si="344"/>
        <v>0.89892532400000003</v>
      </c>
      <c r="T1585" s="43">
        <f t="shared" si="345"/>
        <v>3.611790879</v>
      </c>
      <c r="U1585" s="43">
        <f t="shared" si="346"/>
        <v>15.126328579999999</v>
      </c>
      <c r="V1585" s="43">
        <f t="shared" si="347"/>
        <v>2.2504799999999999E-4</v>
      </c>
      <c r="W1585" s="230">
        <f t="shared" si="348"/>
        <v>6.5939012040058517E-2</v>
      </c>
      <c r="X1585" s="43">
        <f t="shared" si="349"/>
        <v>0.86204568500000001</v>
      </c>
      <c r="Y1585" s="43">
        <v>82.074947530000003</v>
      </c>
      <c r="Z1585" s="43">
        <f t="shared" si="338"/>
        <v>0</v>
      </c>
      <c r="AA1585" s="43">
        <f t="shared" si="339"/>
        <v>85233</v>
      </c>
      <c r="AB1585" s="43">
        <f t="shared" si="340"/>
        <v>30359</v>
      </c>
      <c r="AC1585" s="43">
        <f t="shared" si="350"/>
        <v>1.7062811181712705E-2</v>
      </c>
      <c r="AD1585" s="43">
        <f t="shared" si="351"/>
        <v>0.87966620448387123</v>
      </c>
      <c r="AF1585" s="43">
        <v>20.136327130397095</v>
      </c>
      <c r="AG1585" s="43">
        <v>1.7112151999999999E-2</v>
      </c>
      <c r="AH1585" s="43">
        <v>1.2234775E-2</v>
      </c>
      <c r="AI1585" s="43">
        <v>0.89892532400000003</v>
      </c>
      <c r="AJ1585" s="43">
        <v>3.611790879</v>
      </c>
      <c r="AK1585" s="43">
        <v>15.126328579999999</v>
      </c>
      <c r="AL1585" s="43">
        <v>2.2504799999999999E-4</v>
      </c>
      <c r="AM1585" s="230">
        <v>6.5939012040058517E-2</v>
      </c>
      <c r="AN1585" s="43">
        <v>0.86204568500000001</v>
      </c>
    </row>
    <row r="1586" spans="1:40" x14ac:dyDescent="0.25">
      <c r="A1586" s="134">
        <v>1576</v>
      </c>
      <c r="B1586" s="134" t="s">
        <v>204</v>
      </c>
      <c r="C1586" s="134" t="s">
        <v>205</v>
      </c>
      <c r="D1586" s="134" t="s">
        <v>62</v>
      </c>
      <c r="E1586" s="134">
        <v>125</v>
      </c>
      <c r="F1586" s="134">
        <v>395</v>
      </c>
      <c r="G1586" s="134">
        <v>28</v>
      </c>
      <c r="H1586" s="134">
        <v>0</v>
      </c>
      <c r="I1586" s="200">
        <v>4.5448927442999998E-2</v>
      </c>
      <c r="J1586" s="134">
        <v>395</v>
      </c>
      <c r="K1586" s="134">
        <v>8691.0741842099997</v>
      </c>
      <c r="L1586" s="42">
        <v>0.82705763543199995</v>
      </c>
      <c r="M1586" s="42">
        <v>0</v>
      </c>
      <c r="N1586" s="134">
        <v>0</v>
      </c>
      <c r="O1586" s="43" t="s">
        <v>666</v>
      </c>
      <c r="P1586" s="43">
        <f t="shared" si="341"/>
        <v>17.264929278231332</v>
      </c>
      <c r="Q1586" s="43">
        <f t="shared" si="342"/>
        <v>2.8980018999999999E-2</v>
      </c>
      <c r="R1586" s="43">
        <f t="shared" si="343"/>
        <v>1.4643295000000001E-2</v>
      </c>
      <c r="S1586" s="43">
        <f t="shared" si="344"/>
        <v>0.82705763499999996</v>
      </c>
      <c r="T1586" s="43">
        <f t="shared" si="345"/>
        <v>2.2987730059999998</v>
      </c>
      <c r="U1586" s="43">
        <f t="shared" si="346"/>
        <v>9.8881169670000002</v>
      </c>
      <c r="V1586" s="43">
        <f t="shared" si="347"/>
        <v>2.5668129999999998E-3</v>
      </c>
      <c r="W1586" s="230">
        <f t="shared" si="348"/>
        <v>6.1829986410992001E-2</v>
      </c>
      <c r="X1586" s="43">
        <f t="shared" si="349"/>
        <v>0.84070662799999996</v>
      </c>
      <c r="Y1586" s="43">
        <v>165.3081565</v>
      </c>
      <c r="Z1586" s="43">
        <f t="shared" si="338"/>
        <v>0</v>
      </c>
      <c r="AA1586" s="43">
        <f t="shared" si="339"/>
        <v>85233</v>
      </c>
      <c r="AB1586" s="43">
        <f t="shared" si="340"/>
        <v>30359</v>
      </c>
      <c r="AC1586" s="43">
        <f t="shared" si="350"/>
        <v>1.7062811181712705E-2</v>
      </c>
      <c r="AD1586" s="43">
        <f t="shared" si="351"/>
        <v>0.87966620448387123</v>
      </c>
      <c r="AF1586" s="43">
        <v>17.264929278231332</v>
      </c>
      <c r="AG1586" s="43">
        <v>2.8980018999999999E-2</v>
      </c>
      <c r="AH1586" s="43">
        <v>1.4643295000000001E-2</v>
      </c>
      <c r="AI1586" s="43">
        <v>0.82705763499999996</v>
      </c>
      <c r="AJ1586" s="43">
        <v>2.2987730059999998</v>
      </c>
      <c r="AK1586" s="43">
        <v>9.8881169670000002</v>
      </c>
      <c r="AL1586" s="43">
        <v>2.5668129999999998E-3</v>
      </c>
      <c r="AM1586" s="230">
        <v>6.1829986410992001E-2</v>
      </c>
      <c r="AN1586" s="43">
        <v>0.84070662799999996</v>
      </c>
    </row>
    <row r="1587" spans="1:40" x14ac:dyDescent="0.25">
      <c r="A1587" s="134">
        <v>1577</v>
      </c>
      <c r="B1587" s="134" t="s">
        <v>204</v>
      </c>
      <c r="C1587" s="134" t="s">
        <v>205</v>
      </c>
      <c r="D1587" s="134" t="s">
        <v>62</v>
      </c>
      <c r="E1587" s="134">
        <v>60</v>
      </c>
      <c r="F1587" s="134">
        <v>157</v>
      </c>
      <c r="G1587" s="134">
        <v>19</v>
      </c>
      <c r="H1587" s="134">
        <v>0</v>
      </c>
      <c r="I1587" s="200">
        <v>2.9531355901299999E-2</v>
      </c>
      <c r="J1587" s="134">
        <v>157</v>
      </c>
      <c r="K1587" s="134">
        <v>5316.3830514499996</v>
      </c>
      <c r="L1587" s="42">
        <v>0.85714285714299998</v>
      </c>
      <c r="M1587" s="42">
        <v>0</v>
      </c>
      <c r="N1587" s="134">
        <v>0</v>
      </c>
      <c r="O1587" s="43" t="s">
        <v>666</v>
      </c>
      <c r="P1587" s="43">
        <f t="shared" si="341"/>
        <v>17.682662175220585</v>
      </c>
      <c r="Q1587" s="43">
        <f t="shared" si="342"/>
        <v>2.4778135999999999E-2</v>
      </c>
      <c r="R1587" s="43">
        <f t="shared" si="343"/>
        <v>1.1976753E-2</v>
      </c>
      <c r="S1587" s="43">
        <f t="shared" si="344"/>
        <v>0.85714285700000004</v>
      </c>
      <c r="T1587" s="43">
        <f t="shared" si="345"/>
        <v>2.5616883119999998</v>
      </c>
      <c r="U1587" s="43">
        <f t="shared" si="346"/>
        <v>10.508093580000001</v>
      </c>
      <c r="V1587" s="43">
        <f t="shared" si="347"/>
        <v>4.5427E-4</v>
      </c>
      <c r="W1587" s="230">
        <f t="shared" si="348"/>
        <v>5.4663840096910957E-2</v>
      </c>
      <c r="X1587" s="43">
        <f t="shared" si="349"/>
        <v>0.85463355500000004</v>
      </c>
      <c r="Y1587" s="43">
        <v>80.258899529999994</v>
      </c>
      <c r="Z1587" s="43">
        <f t="shared" si="338"/>
        <v>0</v>
      </c>
      <c r="AA1587" s="43">
        <f t="shared" si="339"/>
        <v>85233</v>
      </c>
      <c r="AB1587" s="43">
        <f t="shared" si="340"/>
        <v>30359</v>
      </c>
      <c r="AC1587" s="43">
        <f t="shared" si="350"/>
        <v>1.7062811181712705E-2</v>
      </c>
      <c r="AD1587" s="43">
        <f t="shared" si="351"/>
        <v>0.87966620448387123</v>
      </c>
      <c r="AF1587" s="43">
        <v>17.682662175220585</v>
      </c>
      <c r="AG1587" s="43">
        <v>2.4778135999999999E-2</v>
      </c>
      <c r="AH1587" s="43">
        <v>1.1976753E-2</v>
      </c>
      <c r="AI1587" s="43">
        <v>0.85714285700000004</v>
      </c>
      <c r="AJ1587" s="43">
        <v>2.5616883119999998</v>
      </c>
      <c r="AK1587" s="43">
        <v>10.508093580000001</v>
      </c>
      <c r="AL1587" s="43">
        <v>4.5427E-4</v>
      </c>
      <c r="AM1587" s="230">
        <v>5.4663840096910957E-2</v>
      </c>
      <c r="AN1587" s="43">
        <v>0.85463355500000004</v>
      </c>
    </row>
    <row r="1588" spans="1:40" x14ac:dyDescent="0.25">
      <c r="A1588" s="134">
        <v>1578</v>
      </c>
      <c r="B1588" s="134" t="s">
        <v>204</v>
      </c>
      <c r="C1588" s="134" t="s">
        <v>205</v>
      </c>
      <c r="D1588" s="134" t="s">
        <v>62</v>
      </c>
      <c r="E1588" s="134">
        <v>0</v>
      </c>
      <c r="F1588" s="134">
        <v>0</v>
      </c>
      <c r="G1588" s="134">
        <v>74</v>
      </c>
      <c r="H1588" s="134">
        <v>114</v>
      </c>
      <c r="I1588" s="200">
        <v>0.115046912633</v>
      </c>
      <c r="J1588" s="134">
        <v>114</v>
      </c>
      <c r="K1588" s="134">
        <v>990.900124054</v>
      </c>
      <c r="L1588" s="42">
        <v>0.93666445434699996</v>
      </c>
      <c r="M1588" s="42">
        <v>1</v>
      </c>
      <c r="N1588" s="134">
        <v>0</v>
      </c>
      <c r="O1588" s="43" t="s">
        <v>666</v>
      </c>
      <c r="P1588" s="43">
        <f t="shared" si="341"/>
        <v>18.490611394820256</v>
      </c>
      <c r="Q1588" s="43">
        <f t="shared" si="342"/>
        <v>7.5851E-4</v>
      </c>
      <c r="R1588" s="43">
        <f t="shared" si="343"/>
        <v>3.5081069999999999E-3</v>
      </c>
      <c r="S1588" s="43">
        <f t="shared" si="344"/>
        <v>0.93666445399999998</v>
      </c>
      <c r="T1588" s="43">
        <f t="shared" si="345"/>
        <v>4.3250000000000002</v>
      </c>
      <c r="U1588" s="43">
        <f t="shared" si="346"/>
        <v>9.8385866649999993</v>
      </c>
      <c r="V1588" s="43">
        <f t="shared" si="347"/>
        <v>5.2677799999999999E-4</v>
      </c>
      <c r="W1588" s="230">
        <f t="shared" si="348"/>
        <v>1.7559262510974537E-4</v>
      </c>
      <c r="X1588" s="43">
        <f t="shared" si="349"/>
        <v>0.94767339799999994</v>
      </c>
      <c r="Y1588" s="43">
        <v>4.6067885999999998</v>
      </c>
      <c r="Z1588" s="43">
        <f t="shared" si="338"/>
        <v>0</v>
      </c>
      <c r="AA1588" s="43">
        <f t="shared" si="339"/>
        <v>85233</v>
      </c>
      <c r="AB1588" s="43">
        <f t="shared" si="340"/>
        <v>30359</v>
      </c>
      <c r="AC1588" s="43">
        <f t="shared" si="350"/>
        <v>1.7062811181712705E-2</v>
      </c>
      <c r="AD1588" s="43">
        <f t="shared" si="351"/>
        <v>0.87966620448387123</v>
      </c>
      <c r="AF1588" s="43">
        <v>18.490611394820256</v>
      </c>
      <c r="AG1588" s="43">
        <v>7.5851E-4</v>
      </c>
      <c r="AH1588" s="43">
        <v>3.5081069999999999E-3</v>
      </c>
      <c r="AI1588" s="43">
        <v>0.93666445399999998</v>
      </c>
      <c r="AJ1588" s="43">
        <v>4.3250000000000002</v>
      </c>
      <c r="AK1588" s="43">
        <v>9.8385866649999993</v>
      </c>
      <c r="AL1588" s="43">
        <v>5.2677799999999999E-4</v>
      </c>
      <c r="AM1588" s="230">
        <v>1.7559262510974537E-4</v>
      </c>
      <c r="AN1588" s="43">
        <v>0.94767339799999994</v>
      </c>
    </row>
    <row r="1589" spans="1:40" x14ac:dyDescent="0.25">
      <c r="A1589" s="134">
        <v>1579</v>
      </c>
      <c r="B1589" s="134" t="s">
        <v>199</v>
      </c>
      <c r="C1589" s="134" t="s">
        <v>205</v>
      </c>
      <c r="D1589" s="134" t="s">
        <v>62</v>
      </c>
      <c r="E1589" s="134">
        <v>7</v>
      </c>
      <c r="F1589" s="134">
        <v>23</v>
      </c>
      <c r="G1589" s="134">
        <v>3422</v>
      </c>
      <c r="H1589" s="134">
        <v>66</v>
      </c>
      <c r="I1589" s="200">
        <v>5.6854018343300003</v>
      </c>
      <c r="J1589" s="134">
        <v>89</v>
      </c>
      <c r="K1589" s="134">
        <v>15.6541265848</v>
      </c>
      <c r="L1589" s="42">
        <v>0.96397618509299998</v>
      </c>
      <c r="M1589" s="42">
        <v>0.90410958904100003</v>
      </c>
      <c r="N1589" s="134">
        <v>0</v>
      </c>
      <c r="O1589" s="43" t="s">
        <v>665</v>
      </c>
      <c r="P1589" s="43">
        <f t="shared" si="341"/>
        <v>17.798193802055447</v>
      </c>
      <c r="Q1589" s="43">
        <f t="shared" si="342"/>
        <v>1.0052801043478259E-2</v>
      </c>
      <c r="R1589" s="43">
        <f t="shared" si="343"/>
        <v>5.1821899599999999E-3</v>
      </c>
      <c r="S1589" s="43">
        <f t="shared" si="344"/>
        <v>0.96397618500000004</v>
      </c>
      <c r="T1589" s="43">
        <f t="shared" si="345"/>
        <v>8.222399964440001</v>
      </c>
      <c r="U1589" s="43">
        <f t="shared" si="346"/>
        <v>15.460217119999999</v>
      </c>
      <c r="V1589" s="43">
        <f t="shared" si="347"/>
        <v>8.6155195454545451E-4</v>
      </c>
      <c r="W1589" s="230">
        <f t="shared" si="348"/>
        <v>2.9007141065415357E-2</v>
      </c>
      <c r="X1589" s="43">
        <f t="shared" si="349"/>
        <v>0.90481786099999995</v>
      </c>
      <c r="Y1589" s="43">
        <v>0.93480333599999998</v>
      </c>
      <c r="Z1589" s="43">
        <f t="shared" si="338"/>
        <v>0</v>
      </c>
      <c r="AA1589" s="43">
        <f t="shared" si="339"/>
        <v>13472</v>
      </c>
      <c r="AB1589" s="43">
        <f t="shared" si="340"/>
        <v>4542</v>
      </c>
      <c r="AC1589" s="43">
        <f t="shared" si="350"/>
        <v>1.0052801043478261E-2</v>
      </c>
      <c r="AD1589" s="43">
        <f t="shared" si="351"/>
        <v>0.93066974565384641</v>
      </c>
      <c r="AF1589" s="43">
        <v>17.798193802055447</v>
      </c>
      <c r="AG1589" s="43">
        <v>0</v>
      </c>
      <c r="AH1589" s="43">
        <v>0</v>
      </c>
      <c r="AI1589" s="43">
        <v>0.96397618500000004</v>
      </c>
      <c r="AJ1589" s="43" t="e">
        <v>#DIV/0!</v>
      </c>
      <c r="AK1589" s="43">
        <v>15.460217119999999</v>
      </c>
      <c r="AL1589" s="43">
        <v>0</v>
      </c>
      <c r="AM1589" s="230">
        <v>0</v>
      </c>
      <c r="AN1589" s="43">
        <v>0.90481786099999995</v>
      </c>
    </row>
    <row r="1590" spans="1:40" x14ac:dyDescent="0.25">
      <c r="A1590" s="134">
        <v>1580</v>
      </c>
      <c r="B1590" s="134" t="s">
        <v>199</v>
      </c>
      <c r="C1590" s="134" t="s">
        <v>205</v>
      </c>
      <c r="D1590" s="134" t="s">
        <v>62</v>
      </c>
      <c r="E1590" s="134">
        <v>2</v>
      </c>
      <c r="F1590" s="134">
        <v>7</v>
      </c>
      <c r="G1590" s="134">
        <v>498</v>
      </c>
      <c r="H1590" s="134">
        <v>11</v>
      </c>
      <c r="I1590" s="200">
        <v>0.82778909233499998</v>
      </c>
      <c r="J1590" s="134">
        <v>18</v>
      </c>
      <c r="K1590" s="134">
        <v>21.744669223900001</v>
      </c>
      <c r="L1590" s="42">
        <v>0.91013215858999996</v>
      </c>
      <c r="M1590" s="42">
        <v>0.84615384615400002</v>
      </c>
      <c r="N1590" s="134">
        <v>0</v>
      </c>
      <c r="O1590" s="43" t="s">
        <v>665</v>
      </c>
      <c r="P1590" s="43">
        <f t="shared" si="341"/>
        <v>20.369709592157651</v>
      </c>
      <c r="Q1590" s="43">
        <f t="shared" si="342"/>
        <v>1.0052801043478259E-2</v>
      </c>
      <c r="R1590" s="43">
        <f t="shared" si="343"/>
        <v>8.8105699999999998E-4</v>
      </c>
      <c r="S1590" s="43">
        <f t="shared" si="344"/>
        <v>0.910132159</v>
      </c>
      <c r="T1590" s="43">
        <f t="shared" si="345"/>
        <v>3.75</v>
      </c>
      <c r="U1590" s="43">
        <f t="shared" si="346"/>
        <v>15.25780906</v>
      </c>
      <c r="V1590" s="43">
        <f t="shared" si="347"/>
        <v>8.6155195454545451E-4</v>
      </c>
      <c r="W1590" s="230">
        <f t="shared" si="348"/>
        <v>2.9007141065415357E-2</v>
      </c>
      <c r="X1590" s="43">
        <f t="shared" si="349"/>
        <v>0.79293740000000001</v>
      </c>
      <c r="Y1590" s="43">
        <v>0.73375423500000003</v>
      </c>
      <c r="Z1590" s="43">
        <f t="shared" si="338"/>
        <v>0</v>
      </c>
      <c r="AA1590" s="43">
        <f t="shared" si="339"/>
        <v>13472</v>
      </c>
      <c r="AB1590" s="43">
        <f t="shared" si="340"/>
        <v>4542</v>
      </c>
      <c r="AC1590" s="43">
        <f t="shared" si="350"/>
        <v>1.0052801043478261E-2</v>
      </c>
      <c r="AD1590" s="43">
        <f t="shared" si="351"/>
        <v>0.93066974565384641</v>
      </c>
      <c r="AF1590" s="43">
        <v>20.369709592157651</v>
      </c>
      <c r="AG1590" s="43">
        <v>0</v>
      </c>
      <c r="AH1590" s="43">
        <v>8.8105699999999998E-4</v>
      </c>
      <c r="AI1590" s="43">
        <v>0.910132159</v>
      </c>
      <c r="AJ1590" s="43">
        <v>3.75</v>
      </c>
      <c r="AK1590" s="43">
        <v>15.25780906</v>
      </c>
      <c r="AL1590" s="43">
        <v>0</v>
      </c>
      <c r="AM1590" s="230">
        <v>0</v>
      </c>
      <c r="AN1590" s="43">
        <v>0.79293740000000001</v>
      </c>
    </row>
    <row r="1591" spans="1:40" x14ac:dyDescent="0.25">
      <c r="I1591" s="200"/>
      <c r="J1591" s="134"/>
      <c r="K1591" s="134"/>
      <c r="L1591" s="42"/>
      <c r="M1591" s="42"/>
      <c r="N1591" s="42"/>
    </row>
  </sheetData>
  <autoFilter ref="A10:AN1590" xr:uid="{020F6B6F-D466-4DD5-90C9-1C9119F10E98}"/>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4512-E250-4428-A3FD-6B8197C4669D}">
  <sheetPr codeName="Sheet40">
    <tabColor rgb="FFFFFF00"/>
  </sheetPr>
  <dimension ref="A1:F651"/>
  <sheetViews>
    <sheetView topLeftCell="A9" zoomScale="145" zoomScaleNormal="145" workbookViewId="0">
      <selection activeCell="E37" sqref="E37"/>
    </sheetView>
  </sheetViews>
  <sheetFormatPr defaultRowHeight="15" outlineLevelRow="1" x14ac:dyDescent="0.25"/>
  <cols>
    <col min="1" max="1" width="17.85546875" style="214" customWidth="1"/>
    <col min="2" max="2" width="80.5703125" customWidth="1"/>
    <col min="4" max="4" width="16.5703125" bestFit="1" customWidth="1"/>
    <col min="5" max="5" width="13.140625" customWidth="1"/>
  </cols>
  <sheetData>
    <row r="1" spans="1:6" hidden="1" outlineLevel="1" x14ac:dyDescent="0.25"/>
    <row r="2" spans="1:6" hidden="1" outlineLevel="1" x14ac:dyDescent="0.25"/>
    <row r="3" spans="1:6" hidden="1" outlineLevel="1" x14ac:dyDescent="0.25"/>
    <row r="4" spans="1:6" hidden="1" outlineLevel="1" x14ac:dyDescent="0.25"/>
    <row r="5" spans="1:6" hidden="1" outlineLevel="1" x14ac:dyDescent="0.25"/>
    <row r="6" spans="1:6" hidden="1" outlineLevel="1" x14ac:dyDescent="0.25"/>
    <row r="7" spans="1:6" hidden="1" outlineLevel="1" x14ac:dyDescent="0.25"/>
    <row r="8" spans="1:6" hidden="1" outlineLevel="1" x14ac:dyDescent="0.25"/>
    <row r="9" spans="1:6" collapsed="1" x14ac:dyDescent="0.25"/>
    <row r="10" spans="1:6" x14ac:dyDescent="0.25">
      <c r="A10" s="215" t="s">
        <v>584</v>
      </c>
      <c r="B10" s="172" t="s">
        <v>583</v>
      </c>
      <c r="C10" t="s">
        <v>588</v>
      </c>
      <c r="D10" t="s">
        <v>590</v>
      </c>
      <c r="E10" t="s">
        <v>591</v>
      </c>
      <c r="F10" t="s">
        <v>248</v>
      </c>
    </row>
    <row r="11" spans="1:6" x14ac:dyDescent="0.25">
      <c r="A11" s="216">
        <v>44275.417361111111</v>
      </c>
      <c r="B11" s="168" t="s">
        <v>828</v>
      </c>
      <c r="C11" s="169" t="s">
        <v>589</v>
      </c>
      <c r="D11" s="169"/>
      <c r="E11" s="169" t="s">
        <v>602</v>
      </c>
      <c r="F11" t="s">
        <v>808</v>
      </c>
    </row>
    <row r="12" spans="1:6" x14ac:dyDescent="0.25">
      <c r="A12" s="216">
        <v>44275.418055555558</v>
      </c>
      <c r="B12" s="168" t="s">
        <v>585</v>
      </c>
      <c r="C12" s="169" t="s">
        <v>589</v>
      </c>
      <c r="D12" s="169"/>
      <c r="E12" s="169" t="s">
        <v>744</v>
      </c>
    </row>
    <row r="13" spans="1:6" x14ac:dyDescent="0.25">
      <c r="A13" s="216">
        <v>44275.42291666667</v>
      </c>
      <c r="B13" s="168" t="s">
        <v>586</v>
      </c>
      <c r="C13" s="169" t="s">
        <v>589</v>
      </c>
      <c r="D13" s="169" t="s">
        <v>589</v>
      </c>
      <c r="E13" s="169" t="s">
        <v>602</v>
      </c>
      <c r="F13" t="s">
        <v>827</v>
      </c>
    </row>
    <row r="14" spans="1:6" x14ac:dyDescent="0.25">
      <c r="A14" s="216">
        <v>44275.426388888889</v>
      </c>
      <c r="B14" s="168" t="s">
        <v>817</v>
      </c>
      <c r="C14" s="169" t="s">
        <v>589</v>
      </c>
      <c r="D14" s="169" t="s">
        <v>742</v>
      </c>
      <c r="E14" s="169" t="s">
        <v>744</v>
      </c>
    </row>
    <row r="15" spans="1:6" x14ac:dyDescent="0.25">
      <c r="A15" s="216">
        <v>44275.427083333336</v>
      </c>
      <c r="B15" s="168" t="s">
        <v>587</v>
      </c>
      <c r="C15" s="169" t="s">
        <v>589</v>
      </c>
      <c r="D15" s="169" t="s">
        <v>596</v>
      </c>
      <c r="E15" s="169" t="s">
        <v>744</v>
      </c>
    </row>
    <row r="16" spans="1:6" ht="30" x14ac:dyDescent="0.25">
      <c r="A16" s="216">
        <v>44275.429166666669</v>
      </c>
      <c r="B16" s="168" t="s">
        <v>594</v>
      </c>
      <c r="C16" s="169" t="s">
        <v>589</v>
      </c>
      <c r="D16" s="169" t="s">
        <v>595</v>
      </c>
      <c r="E16" s="169" t="s">
        <v>593</v>
      </c>
      <c r="F16" t="s">
        <v>801</v>
      </c>
    </row>
    <row r="17" spans="1:6" x14ac:dyDescent="0.25">
      <c r="A17" s="216">
        <v>44275.431944444441</v>
      </c>
      <c r="B17" s="168" t="s">
        <v>743</v>
      </c>
      <c r="C17" s="169" t="s">
        <v>589</v>
      </c>
      <c r="D17" s="169"/>
      <c r="E17" s="169" t="s">
        <v>744</v>
      </c>
    </row>
    <row r="18" spans="1:6" x14ac:dyDescent="0.25">
      <c r="A18" s="216">
        <v>44281.642361111109</v>
      </c>
      <c r="B18" s="168" t="s">
        <v>601</v>
      </c>
      <c r="C18" s="169" t="s">
        <v>589</v>
      </c>
      <c r="D18" s="169" t="s">
        <v>589</v>
      </c>
      <c r="E18" s="169" t="s">
        <v>744</v>
      </c>
    </row>
    <row r="19" spans="1:6" x14ac:dyDescent="0.25">
      <c r="A19" s="216">
        <v>44281.45208333333</v>
      </c>
      <c r="B19" s="168" t="s">
        <v>687</v>
      </c>
      <c r="C19" s="169" t="s">
        <v>686</v>
      </c>
      <c r="D19" s="169"/>
      <c r="E19" s="169" t="s">
        <v>744</v>
      </c>
    </row>
    <row r="20" spans="1:6" x14ac:dyDescent="0.25">
      <c r="A20" s="216">
        <v>44284.660416666666</v>
      </c>
      <c r="B20" s="168" t="s">
        <v>749</v>
      </c>
      <c r="C20" s="169" t="s">
        <v>686</v>
      </c>
      <c r="D20" s="169"/>
      <c r="E20" s="169" t="s">
        <v>744</v>
      </c>
    </row>
    <row r="21" spans="1:6" x14ac:dyDescent="0.25">
      <c r="A21" s="216">
        <v>44284.667361111111</v>
      </c>
      <c r="B21" s="168" t="s">
        <v>750</v>
      </c>
      <c r="C21" s="169" t="s">
        <v>686</v>
      </c>
      <c r="D21" s="169"/>
      <c r="E21" s="169" t="s">
        <v>744</v>
      </c>
    </row>
    <row r="22" spans="1:6" x14ac:dyDescent="0.25">
      <c r="A22" s="216">
        <v>44284.431944444441</v>
      </c>
      <c r="B22" s="211" t="s">
        <v>751</v>
      </c>
      <c r="C22" s="212" t="s">
        <v>589</v>
      </c>
      <c r="D22" s="212" t="s">
        <v>752</v>
      </c>
      <c r="E22" s="212" t="s">
        <v>744</v>
      </c>
      <c r="F22" t="s">
        <v>829</v>
      </c>
    </row>
    <row r="23" spans="1:6" x14ac:dyDescent="0.25">
      <c r="A23" s="216">
        <v>44285.566666666666</v>
      </c>
      <c r="B23" s="168" t="s">
        <v>758</v>
      </c>
      <c r="C23" s="169" t="s">
        <v>589</v>
      </c>
      <c r="D23" s="169"/>
      <c r="E23" s="169" t="s">
        <v>592</v>
      </c>
      <c r="F23" t="s">
        <v>826</v>
      </c>
    </row>
    <row r="24" spans="1:6" ht="30" x14ac:dyDescent="0.25">
      <c r="A24" s="216">
        <v>44285.566666666666</v>
      </c>
      <c r="B24" s="168" t="s">
        <v>759</v>
      </c>
      <c r="C24" s="169" t="s">
        <v>589</v>
      </c>
      <c r="D24" s="169"/>
      <c r="E24" s="169" t="s">
        <v>592</v>
      </c>
    </row>
    <row r="25" spans="1:6" x14ac:dyDescent="0.25">
      <c r="A25" s="216">
        <v>44285.62777777778</v>
      </c>
      <c r="B25" s="168" t="s">
        <v>764</v>
      </c>
      <c r="C25" s="169" t="s">
        <v>589</v>
      </c>
      <c r="D25" s="169"/>
      <c r="E25" s="169" t="s">
        <v>592</v>
      </c>
    </row>
    <row r="26" spans="1:6" ht="30" x14ac:dyDescent="0.25">
      <c r="A26" s="216">
        <v>44294.863194444442</v>
      </c>
      <c r="B26" s="168" t="s">
        <v>770</v>
      </c>
      <c r="C26" s="169" t="s">
        <v>771</v>
      </c>
      <c r="D26" s="169" t="s">
        <v>686</v>
      </c>
      <c r="E26" s="169" t="s">
        <v>593</v>
      </c>
      <c r="F26" t="s">
        <v>799</v>
      </c>
    </row>
    <row r="27" spans="1:6" x14ac:dyDescent="0.25">
      <c r="A27" s="216">
        <v>44294.863194444442</v>
      </c>
      <c r="B27" s="220" t="s">
        <v>772</v>
      </c>
      <c r="C27" s="221" t="s">
        <v>771</v>
      </c>
      <c r="D27" s="169"/>
      <c r="E27" s="169" t="s">
        <v>744</v>
      </c>
    </row>
    <row r="28" spans="1:6" ht="30" x14ac:dyDescent="0.25">
      <c r="A28" s="216">
        <v>44294.863194444442</v>
      </c>
      <c r="B28" s="168" t="s">
        <v>773</v>
      </c>
      <c r="C28" s="169" t="s">
        <v>771</v>
      </c>
      <c r="D28" s="169"/>
      <c r="E28" s="169" t="s">
        <v>744</v>
      </c>
    </row>
    <row r="29" spans="1:6" ht="45" x14ac:dyDescent="0.25">
      <c r="A29" s="216">
        <v>44294.863194444442</v>
      </c>
      <c r="B29" s="168" t="s">
        <v>774</v>
      </c>
      <c r="C29" s="169" t="s">
        <v>771</v>
      </c>
      <c r="D29" s="169"/>
      <c r="E29" s="169" t="s">
        <v>744</v>
      </c>
    </row>
    <row r="30" spans="1:6" x14ac:dyDescent="0.25">
      <c r="A30" s="216">
        <v>44302.670138888891</v>
      </c>
      <c r="B30" s="168" t="s">
        <v>785</v>
      </c>
      <c r="C30" s="169" t="s">
        <v>686</v>
      </c>
      <c r="D30" s="169" t="s">
        <v>686</v>
      </c>
      <c r="E30" s="169" t="s">
        <v>602</v>
      </c>
      <c r="F30" t="s">
        <v>830</v>
      </c>
    </row>
    <row r="31" spans="1:6" x14ac:dyDescent="0.25">
      <c r="A31" s="216">
        <v>44302.688888888886</v>
      </c>
      <c r="B31" s="168" t="s">
        <v>804</v>
      </c>
      <c r="C31" s="169" t="s">
        <v>686</v>
      </c>
      <c r="D31" s="169" t="s">
        <v>802</v>
      </c>
      <c r="E31" s="169" t="s">
        <v>593</v>
      </c>
      <c r="F31" t="s">
        <v>803</v>
      </c>
    </row>
    <row r="32" spans="1:6" x14ac:dyDescent="0.25">
      <c r="A32" s="216">
        <v>44302.688888888886</v>
      </c>
      <c r="B32" s="168" t="s">
        <v>805</v>
      </c>
      <c r="C32" s="169" t="s">
        <v>686</v>
      </c>
      <c r="D32" s="169" t="s">
        <v>686</v>
      </c>
      <c r="E32" s="169" t="s">
        <v>744</v>
      </c>
    </row>
    <row r="33" spans="1:6" x14ac:dyDescent="0.25">
      <c r="A33" s="224">
        <v>44305</v>
      </c>
      <c r="B33" s="168" t="s">
        <v>806</v>
      </c>
      <c r="C33" s="169" t="s">
        <v>686</v>
      </c>
      <c r="D33" s="169" t="s">
        <v>807</v>
      </c>
      <c r="E33" s="169" t="s">
        <v>592</v>
      </c>
      <c r="F33" t="s">
        <v>825</v>
      </c>
    </row>
    <row r="34" spans="1:6" x14ac:dyDescent="0.25">
      <c r="A34" s="224">
        <v>44307</v>
      </c>
      <c r="B34" s="168" t="s">
        <v>831</v>
      </c>
      <c r="C34" s="169" t="s">
        <v>686</v>
      </c>
      <c r="D34" s="169" t="s">
        <v>832</v>
      </c>
      <c r="E34" s="169" t="s">
        <v>592</v>
      </c>
    </row>
    <row r="35" spans="1:6" x14ac:dyDescent="0.25">
      <c r="A35" s="224">
        <v>44307</v>
      </c>
      <c r="B35" s="168" t="s">
        <v>837</v>
      </c>
      <c r="C35" s="169" t="s">
        <v>686</v>
      </c>
      <c r="D35" s="169"/>
      <c r="E35" s="169" t="s">
        <v>592</v>
      </c>
      <c r="F35" t="s">
        <v>838</v>
      </c>
    </row>
    <row r="36" spans="1:6" x14ac:dyDescent="0.25">
      <c r="A36" s="224">
        <v>44307</v>
      </c>
      <c r="B36" s="168" t="s">
        <v>839</v>
      </c>
      <c r="C36" s="169" t="s">
        <v>686</v>
      </c>
      <c r="D36" s="169"/>
      <c r="E36" s="169" t="s">
        <v>744</v>
      </c>
    </row>
    <row r="37" spans="1:6" x14ac:dyDescent="0.25">
      <c r="A37" s="224">
        <v>44307</v>
      </c>
      <c r="B37" s="168" t="s">
        <v>848</v>
      </c>
      <c r="C37" s="169" t="s">
        <v>686</v>
      </c>
      <c r="D37" s="169"/>
      <c r="E37" s="169" t="s">
        <v>602</v>
      </c>
    </row>
    <row r="38" spans="1:6" x14ac:dyDescent="0.25">
      <c r="A38" s="67"/>
      <c r="B38" s="168"/>
      <c r="C38" s="169"/>
      <c r="D38" s="169"/>
      <c r="E38" s="169"/>
    </row>
    <row r="39" spans="1:6" x14ac:dyDescent="0.25">
      <c r="A39" s="67"/>
      <c r="B39" s="168"/>
      <c r="C39" s="169"/>
      <c r="D39" s="169"/>
      <c r="E39" s="169"/>
    </row>
    <row r="40" spans="1:6" x14ac:dyDescent="0.25">
      <c r="A40" s="67"/>
      <c r="B40" s="168"/>
      <c r="C40" s="169"/>
      <c r="D40" s="169"/>
      <c r="E40" s="169"/>
    </row>
    <row r="41" spans="1:6" x14ac:dyDescent="0.25">
      <c r="A41" s="67"/>
      <c r="B41" s="168"/>
      <c r="C41" s="169"/>
      <c r="D41" s="169"/>
      <c r="E41" s="169"/>
    </row>
    <row r="42" spans="1:6" x14ac:dyDescent="0.25">
      <c r="A42" s="67"/>
      <c r="B42" s="168"/>
      <c r="C42" s="169"/>
      <c r="D42" s="169"/>
      <c r="E42" s="169"/>
    </row>
    <row r="43" spans="1:6" x14ac:dyDescent="0.25">
      <c r="A43" s="67"/>
      <c r="B43" s="168"/>
      <c r="C43" s="169"/>
      <c r="D43" s="169"/>
      <c r="E43" s="169"/>
    </row>
    <row r="44" spans="1:6" x14ac:dyDescent="0.25">
      <c r="A44" s="67"/>
      <c r="B44" s="168"/>
      <c r="C44" s="169"/>
      <c r="D44" s="169"/>
      <c r="E44" s="169"/>
    </row>
    <row r="45" spans="1:6" x14ac:dyDescent="0.25">
      <c r="A45" s="67"/>
      <c r="B45" s="168"/>
      <c r="C45" s="169"/>
      <c r="D45" s="169"/>
      <c r="E45" s="169"/>
    </row>
    <row r="46" spans="1:6" x14ac:dyDescent="0.25">
      <c r="A46" s="67"/>
      <c r="B46" s="168"/>
      <c r="C46" s="169"/>
      <c r="D46" s="169"/>
      <c r="E46" s="169"/>
    </row>
    <row r="47" spans="1:6" x14ac:dyDescent="0.25">
      <c r="A47" s="67"/>
      <c r="B47" s="168"/>
      <c r="C47" s="169"/>
      <c r="D47" s="169"/>
      <c r="E47" s="169"/>
    </row>
    <row r="48" spans="1:6" x14ac:dyDescent="0.25">
      <c r="A48" s="67"/>
      <c r="B48" s="168"/>
      <c r="C48" s="169"/>
      <c r="D48" s="169"/>
      <c r="E48" s="169"/>
    </row>
    <row r="49" spans="1:5" x14ac:dyDescent="0.25">
      <c r="A49" s="67"/>
      <c r="B49" s="168"/>
      <c r="C49" s="169"/>
      <c r="D49" s="169"/>
      <c r="E49" s="169"/>
    </row>
    <row r="50" spans="1:5" x14ac:dyDescent="0.25">
      <c r="A50" s="67"/>
      <c r="B50" s="168"/>
      <c r="C50" s="169"/>
      <c r="D50" s="169"/>
      <c r="E50" s="169"/>
    </row>
    <row r="51" spans="1:5" x14ac:dyDescent="0.25">
      <c r="A51" s="67"/>
      <c r="B51" s="168"/>
      <c r="C51" s="169"/>
      <c r="D51" s="169"/>
      <c r="E51" s="169"/>
    </row>
    <row r="52" spans="1:5" x14ac:dyDescent="0.25">
      <c r="A52" s="67"/>
      <c r="B52" s="168"/>
      <c r="C52" s="169"/>
      <c r="D52" s="169"/>
      <c r="E52" s="169"/>
    </row>
    <row r="53" spans="1:5" x14ac:dyDescent="0.25">
      <c r="A53" s="67"/>
      <c r="B53" s="168"/>
      <c r="C53" s="169"/>
      <c r="D53" s="169"/>
      <c r="E53" s="169"/>
    </row>
    <row r="54" spans="1:5" x14ac:dyDescent="0.25">
      <c r="A54" s="67"/>
      <c r="B54" s="168"/>
      <c r="C54" s="169"/>
      <c r="D54" s="169"/>
      <c r="E54" s="169"/>
    </row>
    <row r="55" spans="1:5" x14ac:dyDescent="0.25">
      <c r="A55" s="67"/>
      <c r="B55" s="168"/>
      <c r="C55" s="169"/>
      <c r="D55" s="169"/>
      <c r="E55" s="169"/>
    </row>
    <row r="56" spans="1:5" x14ac:dyDescent="0.25">
      <c r="A56" s="67"/>
      <c r="B56" s="168"/>
      <c r="C56" s="169"/>
      <c r="D56" s="169"/>
      <c r="E56" s="169"/>
    </row>
    <row r="57" spans="1:5" x14ac:dyDescent="0.25">
      <c r="A57" s="67"/>
      <c r="B57" s="168"/>
      <c r="C57" s="169"/>
      <c r="D57" s="169"/>
      <c r="E57" s="169"/>
    </row>
    <row r="58" spans="1:5" x14ac:dyDescent="0.25">
      <c r="A58" s="67"/>
      <c r="B58" s="168"/>
      <c r="C58" s="169"/>
      <c r="D58" s="169"/>
      <c r="E58" s="169"/>
    </row>
    <row r="59" spans="1:5" x14ac:dyDescent="0.25">
      <c r="A59" s="67"/>
      <c r="B59" s="168"/>
      <c r="C59" s="169"/>
      <c r="D59" s="169"/>
      <c r="E59" s="169"/>
    </row>
    <row r="60" spans="1:5" x14ac:dyDescent="0.25">
      <c r="A60" s="67"/>
      <c r="B60" s="168"/>
      <c r="C60" s="169"/>
      <c r="D60" s="169"/>
      <c r="E60" s="169"/>
    </row>
    <row r="61" spans="1:5" x14ac:dyDescent="0.25">
      <c r="A61" s="67"/>
      <c r="B61" s="168"/>
      <c r="C61" s="169"/>
      <c r="D61" s="169"/>
      <c r="E61" s="169"/>
    </row>
    <row r="62" spans="1:5" x14ac:dyDescent="0.25">
      <c r="A62" s="67"/>
      <c r="B62" s="168"/>
      <c r="C62" s="169"/>
      <c r="D62" s="169"/>
      <c r="E62" s="169"/>
    </row>
    <row r="63" spans="1:5" x14ac:dyDescent="0.25">
      <c r="A63" s="67"/>
      <c r="B63" s="168"/>
      <c r="C63" s="169"/>
      <c r="D63" s="169"/>
      <c r="E63" s="169"/>
    </row>
    <row r="64" spans="1:5" x14ac:dyDescent="0.25">
      <c r="A64" s="67"/>
      <c r="B64" s="168"/>
      <c r="C64" s="169"/>
      <c r="D64" s="169"/>
      <c r="E64" s="169"/>
    </row>
    <row r="65" spans="1:5" x14ac:dyDescent="0.25">
      <c r="A65" s="67"/>
      <c r="B65" s="168"/>
      <c r="C65" s="169"/>
      <c r="D65" s="169"/>
      <c r="E65" s="169"/>
    </row>
    <row r="66" spans="1:5" x14ac:dyDescent="0.25">
      <c r="A66" s="67"/>
      <c r="B66" s="168"/>
      <c r="C66" s="169"/>
      <c r="D66" s="169"/>
      <c r="E66" s="169"/>
    </row>
    <row r="67" spans="1:5" x14ac:dyDescent="0.25">
      <c r="A67" s="67"/>
      <c r="B67" s="168"/>
      <c r="C67" s="169"/>
      <c r="D67" s="169"/>
      <c r="E67" s="169"/>
    </row>
    <row r="68" spans="1:5" x14ac:dyDescent="0.25">
      <c r="A68" s="67"/>
      <c r="B68" s="168"/>
      <c r="C68" s="169"/>
      <c r="D68" s="169"/>
      <c r="E68" s="169"/>
    </row>
    <row r="69" spans="1:5" x14ac:dyDescent="0.25">
      <c r="A69" s="67"/>
      <c r="B69" s="168"/>
      <c r="C69" s="169"/>
      <c r="D69" s="169"/>
      <c r="E69" s="169"/>
    </row>
    <row r="70" spans="1:5" x14ac:dyDescent="0.25">
      <c r="A70" s="67"/>
      <c r="B70" s="168"/>
      <c r="C70" s="169"/>
      <c r="D70" s="169"/>
      <c r="E70" s="169"/>
    </row>
    <row r="71" spans="1:5" x14ac:dyDescent="0.25">
      <c r="A71" s="67"/>
      <c r="B71" s="168"/>
      <c r="C71" s="169"/>
      <c r="D71" s="169"/>
      <c r="E71" s="169"/>
    </row>
    <row r="72" spans="1:5" x14ac:dyDescent="0.25">
      <c r="A72" s="67"/>
      <c r="B72" s="168"/>
      <c r="C72" s="169"/>
      <c r="D72" s="169"/>
      <c r="E72" s="169"/>
    </row>
    <row r="73" spans="1:5" x14ac:dyDescent="0.25">
      <c r="A73" s="67"/>
      <c r="B73" s="168"/>
      <c r="C73" s="169"/>
      <c r="D73" s="169"/>
      <c r="E73" s="169"/>
    </row>
    <row r="74" spans="1:5" x14ac:dyDescent="0.25">
      <c r="A74" s="67"/>
      <c r="B74" s="168"/>
      <c r="C74" s="169"/>
      <c r="D74" s="169"/>
      <c r="E74" s="169"/>
    </row>
    <row r="75" spans="1:5" x14ac:dyDescent="0.25">
      <c r="A75" s="67"/>
      <c r="B75" s="168"/>
      <c r="C75" s="169"/>
      <c r="D75" s="169"/>
      <c r="E75" s="169"/>
    </row>
    <row r="76" spans="1:5" x14ac:dyDescent="0.25">
      <c r="A76" s="67"/>
      <c r="B76" s="168"/>
      <c r="C76" s="169"/>
      <c r="D76" s="169"/>
      <c r="E76" s="169"/>
    </row>
    <row r="77" spans="1:5" x14ac:dyDescent="0.25">
      <c r="A77" s="67"/>
      <c r="B77" s="168"/>
      <c r="C77" s="169"/>
      <c r="D77" s="169"/>
      <c r="E77" s="169"/>
    </row>
    <row r="78" spans="1:5" x14ac:dyDescent="0.25">
      <c r="A78" s="67"/>
      <c r="B78" s="168"/>
      <c r="C78" s="169"/>
      <c r="D78" s="169"/>
      <c r="E78" s="169"/>
    </row>
    <row r="79" spans="1:5" x14ac:dyDescent="0.25">
      <c r="A79" s="67"/>
      <c r="B79" s="168"/>
      <c r="C79" s="169"/>
      <c r="D79" s="169"/>
      <c r="E79" s="169"/>
    </row>
    <row r="80" spans="1:5" x14ac:dyDescent="0.25">
      <c r="A80" s="67"/>
      <c r="B80" s="168"/>
      <c r="C80" s="169"/>
      <c r="D80" s="169"/>
      <c r="E80" s="169"/>
    </row>
    <row r="81" spans="1:5" x14ac:dyDescent="0.25">
      <c r="A81" s="67"/>
      <c r="B81" s="168"/>
      <c r="C81" s="169"/>
      <c r="D81" s="169"/>
      <c r="E81" s="169"/>
    </row>
    <row r="82" spans="1:5" x14ac:dyDescent="0.25">
      <c r="A82" s="67"/>
      <c r="B82" s="168"/>
      <c r="C82" s="169"/>
      <c r="D82" s="169"/>
      <c r="E82" s="169"/>
    </row>
    <row r="83" spans="1:5" x14ac:dyDescent="0.25">
      <c r="A83" s="67"/>
      <c r="B83" s="168"/>
      <c r="C83" s="169"/>
      <c r="D83" s="169"/>
      <c r="E83" s="169"/>
    </row>
    <row r="84" spans="1:5" x14ac:dyDescent="0.25">
      <c r="A84" s="67"/>
      <c r="B84" s="168"/>
      <c r="C84" s="169"/>
      <c r="D84" s="169"/>
      <c r="E84" s="169"/>
    </row>
    <row r="85" spans="1:5" x14ac:dyDescent="0.25">
      <c r="A85" s="67"/>
      <c r="B85" s="168"/>
      <c r="C85" s="169"/>
      <c r="D85" s="169"/>
      <c r="E85" s="169"/>
    </row>
    <row r="86" spans="1:5" x14ac:dyDescent="0.25">
      <c r="A86" s="67"/>
      <c r="B86" s="168"/>
      <c r="C86" s="169"/>
      <c r="D86" s="169"/>
      <c r="E86" s="169"/>
    </row>
    <row r="87" spans="1:5" x14ac:dyDescent="0.25">
      <c r="A87" s="67"/>
      <c r="B87" s="168"/>
      <c r="C87" s="169"/>
      <c r="D87" s="169"/>
      <c r="E87" s="169"/>
    </row>
    <row r="88" spans="1:5" x14ac:dyDescent="0.25">
      <c r="A88" s="67"/>
      <c r="B88" s="168"/>
      <c r="C88" s="169"/>
      <c r="D88" s="169"/>
      <c r="E88" s="169"/>
    </row>
    <row r="89" spans="1:5" x14ac:dyDescent="0.25">
      <c r="A89" s="67"/>
      <c r="B89" s="168"/>
      <c r="C89" s="169"/>
      <c r="D89" s="169"/>
      <c r="E89" s="169"/>
    </row>
    <row r="90" spans="1:5" x14ac:dyDescent="0.25">
      <c r="A90" s="67"/>
      <c r="B90" s="168"/>
      <c r="C90" s="169"/>
      <c r="D90" s="169"/>
      <c r="E90" s="169"/>
    </row>
    <row r="91" spans="1:5" x14ac:dyDescent="0.25">
      <c r="A91" s="67"/>
      <c r="B91" s="168"/>
      <c r="C91" s="169"/>
      <c r="D91" s="169"/>
      <c r="E91" s="169"/>
    </row>
    <row r="92" spans="1:5" x14ac:dyDescent="0.25">
      <c r="A92" s="67"/>
      <c r="B92" s="168"/>
      <c r="C92" s="169"/>
      <c r="D92" s="169"/>
      <c r="E92" s="169"/>
    </row>
    <row r="93" spans="1:5" x14ac:dyDescent="0.25">
      <c r="A93" s="67"/>
      <c r="B93" s="168"/>
      <c r="C93" s="169"/>
      <c r="D93" s="169"/>
      <c r="E93" s="169"/>
    </row>
    <row r="94" spans="1:5" x14ac:dyDescent="0.25">
      <c r="A94" s="67"/>
      <c r="B94" s="168"/>
      <c r="C94" s="169"/>
      <c r="D94" s="169"/>
      <c r="E94" s="169"/>
    </row>
    <row r="95" spans="1:5" x14ac:dyDescent="0.25">
      <c r="A95" s="67"/>
      <c r="B95" s="168"/>
      <c r="C95" s="169"/>
      <c r="D95" s="169"/>
      <c r="E95" s="169"/>
    </row>
    <row r="96" spans="1:5" x14ac:dyDescent="0.25">
      <c r="A96" s="67"/>
      <c r="B96" s="168"/>
      <c r="C96" s="169"/>
      <c r="D96" s="169"/>
      <c r="E96" s="169"/>
    </row>
    <row r="97" spans="1:5" x14ac:dyDescent="0.25">
      <c r="A97" s="67"/>
      <c r="B97" s="168"/>
      <c r="C97" s="169"/>
      <c r="D97" s="169"/>
      <c r="E97" s="169"/>
    </row>
    <row r="98" spans="1:5" x14ac:dyDescent="0.25">
      <c r="A98" s="67"/>
      <c r="B98" s="168"/>
      <c r="C98" s="169"/>
      <c r="D98" s="169"/>
      <c r="E98" s="169"/>
    </row>
    <row r="99" spans="1:5" x14ac:dyDescent="0.25">
      <c r="A99" s="67"/>
      <c r="B99" s="168"/>
      <c r="C99" s="169"/>
      <c r="D99" s="169"/>
      <c r="E99" s="169"/>
    </row>
    <row r="100" spans="1:5" x14ac:dyDescent="0.25">
      <c r="A100" s="67"/>
      <c r="B100" s="168"/>
      <c r="C100" s="169"/>
      <c r="D100" s="169"/>
      <c r="E100" s="169"/>
    </row>
    <row r="101" spans="1:5" x14ac:dyDescent="0.25">
      <c r="A101" s="67"/>
      <c r="B101" s="168"/>
      <c r="C101" s="169"/>
      <c r="D101" s="169"/>
      <c r="E101" s="169"/>
    </row>
    <row r="102" spans="1:5" x14ac:dyDescent="0.25">
      <c r="A102" s="67"/>
      <c r="B102" s="168"/>
      <c r="C102" s="169"/>
      <c r="D102" s="169"/>
      <c r="E102" s="169"/>
    </row>
    <row r="103" spans="1:5" x14ac:dyDescent="0.25">
      <c r="A103" s="67"/>
      <c r="B103" s="168"/>
      <c r="C103" s="169"/>
      <c r="D103" s="169"/>
      <c r="E103" s="169"/>
    </row>
    <row r="104" spans="1:5" x14ac:dyDescent="0.25">
      <c r="A104" s="67"/>
      <c r="B104" s="168"/>
      <c r="C104" s="169"/>
      <c r="D104" s="169"/>
      <c r="E104" s="169"/>
    </row>
    <row r="105" spans="1:5" x14ac:dyDescent="0.25">
      <c r="A105" s="67"/>
      <c r="B105" s="168"/>
      <c r="C105" s="169"/>
      <c r="D105" s="169"/>
      <c r="E105" s="169"/>
    </row>
    <row r="106" spans="1:5" x14ac:dyDescent="0.25">
      <c r="A106" s="67"/>
      <c r="B106" s="168"/>
      <c r="C106" s="169"/>
      <c r="D106" s="169"/>
      <c r="E106" s="169"/>
    </row>
    <row r="107" spans="1:5" x14ac:dyDescent="0.25">
      <c r="A107" s="67"/>
      <c r="B107" s="168"/>
      <c r="C107" s="169"/>
      <c r="D107" s="169"/>
      <c r="E107" s="169"/>
    </row>
    <row r="108" spans="1:5" x14ac:dyDescent="0.25">
      <c r="A108" s="67"/>
      <c r="B108" s="168"/>
      <c r="C108" s="169"/>
      <c r="D108" s="169"/>
      <c r="E108" s="169"/>
    </row>
    <row r="109" spans="1:5" x14ac:dyDescent="0.25">
      <c r="A109" s="67"/>
      <c r="B109" s="168"/>
      <c r="C109" s="169"/>
      <c r="D109" s="169"/>
      <c r="E109" s="169"/>
    </row>
    <row r="110" spans="1:5" x14ac:dyDescent="0.25">
      <c r="A110" s="67"/>
      <c r="B110" s="168"/>
      <c r="C110" s="169"/>
      <c r="D110" s="169"/>
      <c r="E110" s="169"/>
    </row>
    <row r="111" spans="1:5" x14ac:dyDescent="0.25">
      <c r="A111" s="67"/>
      <c r="B111" s="168"/>
      <c r="C111" s="169"/>
      <c r="D111" s="169"/>
      <c r="E111" s="169"/>
    </row>
    <row r="112" spans="1:5" x14ac:dyDescent="0.25">
      <c r="A112" s="67"/>
      <c r="B112" s="168"/>
      <c r="C112" s="169"/>
      <c r="D112" s="169"/>
      <c r="E112" s="169"/>
    </row>
    <row r="113" spans="1:5" x14ac:dyDescent="0.25">
      <c r="A113" s="67"/>
      <c r="B113" s="168"/>
      <c r="C113" s="169"/>
      <c r="D113" s="169"/>
      <c r="E113" s="169"/>
    </row>
    <row r="114" spans="1:5" x14ac:dyDescent="0.25">
      <c r="A114" s="67"/>
      <c r="B114" s="168"/>
      <c r="C114" s="169"/>
      <c r="D114" s="169"/>
      <c r="E114" s="169"/>
    </row>
    <row r="115" spans="1:5" x14ac:dyDescent="0.25">
      <c r="A115" s="67"/>
      <c r="B115" s="168"/>
      <c r="C115" s="169"/>
      <c r="D115" s="169"/>
      <c r="E115" s="169"/>
    </row>
    <row r="116" spans="1:5" x14ac:dyDescent="0.25">
      <c r="A116" s="67"/>
      <c r="B116" s="168"/>
      <c r="C116" s="169"/>
      <c r="D116" s="169"/>
      <c r="E116" s="169"/>
    </row>
    <row r="117" spans="1:5" x14ac:dyDescent="0.25">
      <c r="A117" s="67"/>
      <c r="B117" s="168"/>
      <c r="C117" s="169"/>
      <c r="D117" s="169"/>
      <c r="E117" s="169"/>
    </row>
    <row r="118" spans="1:5" x14ac:dyDescent="0.25">
      <c r="A118" s="67"/>
      <c r="B118" s="168"/>
      <c r="C118" s="169"/>
      <c r="D118" s="169"/>
      <c r="E118" s="169"/>
    </row>
    <row r="119" spans="1:5" x14ac:dyDescent="0.25">
      <c r="A119" s="67"/>
      <c r="B119" s="168"/>
      <c r="C119" s="169"/>
      <c r="D119" s="169"/>
      <c r="E119" s="169"/>
    </row>
    <row r="120" spans="1:5" x14ac:dyDescent="0.25">
      <c r="A120" s="67"/>
      <c r="B120" s="168"/>
      <c r="C120" s="169"/>
      <c r="D120" s="169"/>
      <c r="E120" s="169"/>
    </row>
    <row r="121" spans="1:5" x14ac:dyDescent="0.25">
      <c r="A121" s="67"/>
      <c r="B121" s="168"/>
      <c r="C121" s="169"/>
      <c r="D121" s="169"/>
      <c r="E121" s="169"/>
    </row>
    <row r="122" spans="1:5" x14ac:dyDescent="0.25">
      <c r="A122" s="67"/>
      <c r="B122" s="168"/>
      <c r="C122" s="169"/>
      <c r="D122" s="169"/>
      <c r="E122" s="169"/>
    </row>
    <row r="123" spans="1:5" x14ac:dyDescent="0.25">
      <c r="A123" s="67"/>
      <c r="B123" s="168"/>
      <c r="C123" s="169"/>
      <c r="D123" s="169"/>
      <c r="E123" s="169"/>
    </row>
    <row r="124" spans="1:5" x14ac:dyDescent="0.25">
      <c r="A124" s="67"/>
      <c r="B124" s="168"/>
      <c r="C124" s="169"/>
      <c r="D124" s="169"/>
      <c r="E124" s="169"/>
    </row>
    <row r="125" spans="1:5" x14ac:dyDescent="0.25">
      <c r="A125" s="67"/>
      <c r="B125" s="168"/>
      <c r="C125" s="169"/>
      <c r="D125" s="169"/>
      <c r="E125" s="169"/>
    </row>
    <row r="126" spans="1:5" x14ac:dyDescent="0.25">
      <c r="A126" s="67"/>
      <c r="B126" s="168"/>
      <c r="C126" s="169"/>
      <c r="D126" s="169"/>
      <c r="E126" s="169"/>
    </row>
    <row r="127" spans="1:5" x14ac:dyDescent="0.25">
      <c r="A127" s="67"/>
      <c r="B127" s="168"/>
      <c r="C127" s="169"/>
      <c r="D127" s="169"/>
      <c r="E127" s="169"/>
    </row>
    <row r="128" spans="1:5" x14ac:dyDescent="0.25">
      <c r="A128" s="67"/>
      <c r="B128" s="168"/>
      <c r="C128" s="169"/>
      <c r="D128" s="169"/>
      <c r="E128" s="169"/>
    </row>
    <row r="129" spans="1:5" x14ac:dyDescent="0.25">
      <c r="A129" s="67"/>
      <c r="B129" s="168"/>
      <c r="C129" s="169"/>
      <c r="D129" s="169"/>
      <c r="E129" s="169"/>
    </row>
    <row r="130" spans="1:5" x14ac:dyDescent="0.25">
      <c r="A130" s="67"/>
      <c r="B130" s="168"/>
      <c r="C130" s="169"/>
      <c r="D130" s="169"/>
      <c r="E130" s="169"/>
    </row>
    <row r="131" spans="1:5" x14ac:dyDescent="0.25">
      <c r="A131" s="67"/>
      <c r="B131" s="168"/>
      <c r="C131" s="169"/>
      <c r="D131" s="169"/>
      <c r="E131" s="169"/>
    </row>
    <row r="132" spans="1:5" x14ac:dyDescent="0.25">
      <c r="A132" s="67"/>
      <c r="B132" s="168"/>
      <c r="C132" s="169"/>
      <c r="D132" s="169"/>
      <c r="E132" s="169"/>
    </row>
    <row r="133" spans="1:5" x14ac:dyDescent="0.25">
      <c r="A133" s="67"/>
      <c r="B133" s="168"/>
      <c r="C133" s="169"/>
      <c r="D133" s="169"/>
      <c r="E133" s="169"/>
    </row>
    <row r="134" spans="1:5" x14ac:dyDescent="0.25">
      <c r="A134" s="67"/>
      <c r="B134" s="168"/>
      <c r="C134" s="169"/>
      <c r="D134" s="169"/>
      <c r="E134" s="169"/>
    </row>
    <row r="135" spans="1:5" x14ac:dyDescent="0.25">
      <c r="A135" s="67"/>
      <c r="B135" s="168"/>
      <c r="C135" s="169"/>
      <c r="D135" s="169"/>
      <c r="E135" s="169"/>
    </row>
    <row r="136" spans="1:5" x14ac:dyDescent="0.25">
      <c r="A136" s="67"/>
      <c r="B136" s="168"/>
      <c r="C136" s="169"/>
      <c r="D136" s="169"/>
      <c r="E136" s="169"/>
    </row>
    <row r="137" spans="1:5" x14ac:dyDescent="0.25">
      <c r="A137" s="67"/>
      <c r="B137" s="168"/>
      <c r="C137" s="169"/>
      <c r="D137" s="169"/>
      <c r="E137" s="169"/>
    </row>
    <row r="138" spans="1:5" x14ac:dyDescent="0.25">
      <c r="A138" s="67"/>
      <c r="B138" s="168"/>
      <c r="C138" s="169"/>
      <c r="D138" s="169"/>
      <c r="E138" s="169"/>
    </row>
    <row r="139" spans="1:5" x14ac:dyDescent="0.25">
      <c r="A139" s="67"/>
      <c r="B139" s="168"/>
      <c r="C139" s="169"/>
      <c r="D139" s="169"/>
      <c r="E139" s="169"/>
    </row>
    <row r="140" spans="1:5" x14ac:dyDescent="0.25">
      <c r="A140" s="67"/>
      <c r="B140" s="168"/>
      <c r="C140" s="169"/>
      <c r="D140" s="169"/>
      <c r="E140" s="169"/>
    </row>
    <row r="141" spans="1:5" x14ac:dyDescent="0.25">
      <c r="A141" s="67"/>
      <c r="B141" s="168"/>
      <c r="C141" s="169"/>
      <c r="D141" s="169"/>
      <c r="E141" s="169"/>
    </row>
    <row r="142" spans="1:5" x14ac:dyDescent="0.25">
      <c r="A142" s="67"/>
      <c r="B142" s="168"/>
      <c r="C142" s="169"/>
      <c r="D142" s="169"/>
      <c r="E142" s="169"/>
    </row>
    <row r="143" spans="1:5" x14ac:dyDescent="0.25">
      <c r="A143" s="67"/>
      <c r="B143" s="168"/>
      <c r="C143" s="169"/>
      <c r="D143" s="169"/>
      <c r="E143" s="169"/>
    </row>
    <row r="144" spans="1:5" x14ac:dyDescent="0.25">
      <c r="A144" s="67"/>
      <c r="B144" s="168"/>
      <c r="C144" s="169"/>
      <c r="D144" s="169"/>
      <c r="E144" s="169"/>
    </row>
    <row r="145" spans="1:5" x14ac:dyDescent="0.25">
      <c r="A145" s="67"/>
      <c r="B145" s="168"/>
      <c r="C145" s="169"/>
      <c r="D145" s="169"/>
      <c r="E145" s="169"/>
    </row>
    <row r="146" spans="1:5" x14ac:dyDescent="0.25">
      <c r="A146" s="67"/>
      <c r="B146" s="168"/>
      <c r="C146" s="169"/>
      <c r="D146" s="169"/>
      <c r="E146" s="169"/>
    </row>
    <row r="147" spans="1:5" x14ac:dyDescent="0.25">
      <c r="A147" s="67"/>
      <c r="B147" s="168"/>
      <c r="C147" s="169"/>
      <c r="D147" s="169"/>
      <c r="E147" s="169"/>
    </row>
    <row r="148" spans="1:5" x14ac:dyDescent="0.25">
      <c r="A148" s="67"/>
      <c r="B148" s="168"/>
      <c r="C148" s="169"/>
      <c r="D148" s="169"/>
      <c r="E148" s="169"/>
    </row>
    <row r="149" spans="1:5" x14ac:dyDescent="0.25">
      <c r="A149" s="67"/>
      <c r="B149" s="168"/>
      <c r="C149" s="169"/>
      <c r="D149" s="169"/>
      <c r="E149" s="169"/>
    </row>
    <row r="150" spans="1:5" x14ac:dyDescent="0.25">
      <c r="A150" s="67"/>
      <c r="B150" s="168"/>
      <c r="C150" s="169"/>
      <c r="D150" s="169"/>
      <c r="E150" s="169"/>
    </row>
    <row r="151" spans="1:5" x14ac:dyDescent="0.25">
      <c r="A151" s="67"/>
      <c r="B151" s="168"/>
      <c r="C151" s="169"/>
      <c r="D151" s="169"/>
      <c r="E151" s="169"/>
    </row>
    <row r="152" spans="1:5" x14ac:dyDescent="0.25">
      <c r="A152" s="67"/>
      <c r="B152" s="168"/>
      <c r="C152" s="169"/>
      <c r="D152" s="169"/>
      <c r="E152" s="169"/>
    </row>
    <row r="153" spans="1:5" x14ac:dyDescent="0.25">
      <c r="A153" s="67"/>
      <c r="B153" s="168"/>
      <c r="C153" s="169"/>
      <c r="D153" s="169"/>
      <c r="E153" s="169"/>
    </row>
    <row r="154" spans="1:5" x14ac:dyDescent="0.25">
      <c r="A154" s="67"/>
      <c r="B154" s="168"/>
      <c r="C154" s="169"/>
      <c r="D154" s="169"/>
      <c r="E154" s="169"/>
    </row>
    <row r="155" spans="1:5" x14ac:dyDescent="0.25">
      <c r="A155" s="67"/>
      <c r="B155" s="168"/>
      <c r="C155" s="169"/>
      <c r="D155" s="169"/>
      <c r="E155" s="169"/>
    </row>
    <row r="156" spans="1:5" x14ac:dyDescent="0.25">
      <c r="A156" s="67"/>
      <c r="B156" s="168"/>
      <c r="C156" s="169"/>
      <c r="D156" s="169"/>
      <c r="E156" s="169"/>
    </row>
    <row r="157" spans="1:5" x14ac:dyDescent="0.25">
      <c r="A157" s="67"/>
      <c r="B157" s="168"/>
      <c r="C157" s="169"/>
      <c r="D157" s="169"/>
      <c r="E157" s="169"/>
    </row>
    <row r="158" spans="1:5" x14ac:dyDescent="0.25">
      <c r="A158" s="67"/>
      <c r="B158" s="168"/>
      <c r="C158" s="169"/>
      <c r="D158" s="169"/>
      <c r="E158" s="169"/>
    </row>
    <row r="159" spans="1:5" x14ac:dyDescent="0.25">
      <c r="A159" s="67"/>
      <c r="B159" s="168"/>
      <c r="C159" s="169"/>
      <c r="D159" s="169"/>
      <c r="E159" s="169"/>
    </row>
    <row r="160" spans="1:5" x14ac:dyDescent="0.25">
      <c r="A160" s="67"/>
      <c r="B160" s="168"/>
      <c r="C160" s="169"/>
      <c r="D160" s="169"/>
      <c r="E160" s="169"/>
    </row>
    <row r="161" spans="1:5" x14ac:dyDescent="0.25">
      <c r="A161" s="67"/>
      <c r="B161" s="168"/>
      <c r="C161" s="169"/>
      <c r="D161" s="169"/>
      <c r="E161" s="169"/>
    </row>
    <row r="162" spans="1:5" x14ac:dyDescent="0.25">
      <c r="A162" s="67"/>
      <c r="B162" s="168"/>
      <c r="C162" s="169"/>
      <c r="D162" s="169"/>
      <c r="E162" s="169"/>
    </row>
    <row r="163" spans="1:5" x14ac:dyDescent="0.25">
      <c r="A163" s="67"/>
      <c r="B163" s="168"/>
      <c r="C163" s="169"/>
      <c r="D163" s="169"/>
      <c r="E163" s="169"/>
    </row>
    <row r="164" spans="1:5" x14ac:dyDescent="0.25">
      <c r="A164" s="67"/>
      <c r="B164" s="168"/>
      <c r="C164" s="169"/>
      <c r="D164" s="169"/>
      <c r="E164" s="169"/>
    </row>
    <row r="165" spans="1:5" x14ac:dyDescent="0.25">
      <c r="A165" s="67"/>
      <c r="B165" s="168"/>
      <c r="C165" s="169"/>
      <c r="D165" s="169"/>
      <c r="E165" s="169"/>
    </row>
    <row r="166" spans="1:5" x14ac:dyDescent="0.25">
      <c r="A166" s="67"/>
      <c r="B166" s="168"/>
      <c r="C166" s="169"/>
      <c r="D166" s="169"/>
      <c r="E166" s="169"/>
    </row>
    <row r="167" spans="1:5" x14ac:dyDescent="0.25">
      <c r="A167" s="67"/>
      <c r="B167" s="168"/>
      <c r="C167" s="169"/>
      <c r="D167" s="169"/>
      <c r="E167" s="169"/>
    </row>
    <row r="168" spans="1:5" x14ac:dyDescent="0.25">
      <c r="A168" s="67"/>
      <c r="B168" s="168"/>
      <c r="C168" s="169"/>
      <c r="D168" s="169"/>
      <c r="E168" s="169"/>
    </row>
    <row r="169" spans="1:5" x14ac:dyDescent="0.25">
      <c r="A169" s="67"/>
      <c r="B169" s="168"/>
      <c r="C169" s="169"/>
      <c r="D169" s="169"/>
      <c r="E169" s="169"/>
    </row>
    <row r="170" spans="1:5" x14ac:dyDescent="0.25">
      <c r="A170" s="67"/>
      <c r="B170" s="168"/>
      <c r="C170" s="169"/>
      <c r="D170" s="169"/>
      <c r="E170" s="169"/>
    </row>
    <row r="171" spans="1:5" x14ac:dyDescent="0.25">
      <c r="A171" s="67"/>
      <c r="B171" s="168"/>
      <c r="C171" s="169"/>
      <c r="D171" s="169"/>
      <c r="E171" s="169"/>
    </row>
    <row r="172" spans="1:5" x14ac:dyDescent="0.25">
      <c r="A172" s="67"/>
      <c r="B172" s="168"/>
      <c r="C172" s="169"/>
      <c r="D172" s="169"/>
      <c r="E172" s="169"/>
    </row>
    <row r="173" spans="1:5" x14ac:dyDescent="0.25">
      <c r="A173" s="67"/>
      <c r="B173" s="168"/>
      <c r="C173" s="169"/>
      <c r="D173" s="169"/>
      <c r="E173" s="169"/>
    </row>
    <row r="174" spans="1:5" x14ac:dyDescent="0.25">
      <c r="A174" s="67"/>
      <c r="B174" s="168"/>
      <c r="C174" s="169"/>
      <c r="D174" s="169"/>
      <c r="E174" s="169"/>
    </row>
    <row r="175" spans="1:5" x14ac:dyDescent="0.25">
      <c r="A175" s="67"/>
      <c r="B175" s="168"/>
      <c r="C175" s="169"/>
      <c r="D175" s="169"/>
      <c r="E175" s="169"/>
    </row>
    <row r="176" spans="1:5" x14ac:dyDescent="0.25">
      <c r="A176" s="67"/>
      <c r="B176" s="168"/>
      <c r="C176" s="169"/>
      <c r="D176" s="169"/>
      <c r="E176" s="169"/>
    </row>
    <row r="177" spans="1:5" x14ac:dyDescent="0.25">
      <c r="A177" s="67"/>
      <c r="B177" s="168"/>
      <c r="C177" s="169"/>
      <c r="D177" s="169"/>
      <c r="E177" s="169"/>
    </row>
    <row r="178" spans="1:5" x14ac:dyDescent="0.25">
      <c r="A178" s="67"/>
      <c r="B178" s="168"/>
      <c r="C178" s="169"/>
      <c r="D178" s="169"/>
      <c r="E178" s="169"/>
    </row>
    <row r="179" spans="1:5" x14ac:dyDescent="0.25">
      <c r="A179" s="67"/>
      <c r="B179" s="168"/>
      <c r="C179" s="169"/>
      <c r="D179" s="169"/>
      <c r="E179" s="169"/>
    </row>
    <row r="180" spans="1:5" x14ac:dyDescent="0.25">
      <c r="A180" s="67"/>
      <c r="B180" s="168"/>
      <c r="C180" s="169"/>
      <c r="D180" s="169"/>
      <c r="E180" s="169"/>
    </row>
    <row r="181" spans="1:5" x14ac:dyDescent="0.25">
      <c r="A181" s="67"/>
      <c r="B181" s="168"/>
      <c r="C181" s="169"/>
      <c r="D181" s="169"/>
      <c r="E181" s="169"/>
    </row>
    <row r="182" spans="1:5" x14ac:dyDescent="0.25">
      <c r="A182" s="67"/>
      <c r="B182" s="168"/>
      <c r="C182" s="169"/>
      <c r="D182" s="169"/>
      <c r="E182" s="169"/>
    </row>
    <row r="183" spans="1:5" x14ac:dyDescent="0.25">
      <c r="A183" s="67"/>
      <c r="B183" s="168"/>
      <c r="C183" s="169"/>
      <c r="D183" s="169"/>
      <c r="E183" s="169"/>
    </row>
    <row r="184" spans="1:5" x14ac:dyDescent="0.25">
      <c r="A184" s="67"/>
      <c r="B184" s="168"/>
      <c r="C184" s="169"/>
      <c r="D184" s="169"/>
      <c r="E184" s="169"/>
    </row>
    <row r="185" spans="1:5" x14ac:dyDescent="0.25">
      <c r="A185" s="67"/>
      <c r="B185" s="168"/>
      <c r="C185" s="169"/>
      <c r="D185" s="169"/>
      <c r="E185" s="169"/>
    </row>
    <row r="186" spans="1:5" x14ac:dyDescent="0.25">
      <c r="A186" s="67"/>
      <c r="B186" s="168"/>
      <c r="C186" s="169"/>
      <c r="D186" s="169"/>
      <c r="E186" s="169"/>
    </row>
    <row r="187" spans="1:5" x14ac:dyDescent="0.25">
      <c r="A187" s="67"/>
      <c r="B187" s="168"/>
      <c r="C187" s="169"/>
      <c r="D187" s="169"/>
      <c r="E187" s="169"/>
    </row>
    <row r="188" spans="1:5" x14ac:dyDescent="0.25">
      <c r="A188" s="67"/>
      <c r="B188" s="168"/>
      <c r="C188" s="169"/>
      <c r="D188" s="169"/>
      <c r="E188" s="169"/>
    </row>
    <row r="189" spans="1:5" x14ac:dyDescent="0.25">
      <c r="A189" s="67"/>
      <c r="B189" s="168"/>
      <c r="C189" s="169"/>
      <c r="D189" s="169"/>
      <c r="E189" s="169"/>
    </row>
    <row r="190" spans="1:5" x14ac:dyDescent="0.25">
      <c r="A190" s="67"/>
      <c r="B190" s="168"/>
      <c r="C190" s="169"/>
      <c r="D190" s="169"/>
      <c r="E190" s="169"/>
    </row>
    <row r="191" spans="1:5" x14ac:dyDescent="0.25">
      <c r="A191" s="67"/>
      <c r="B191" s="168"/>
      <c r="C191" s="169"/>
      <c r="D191" s="169"/>
      <c r="E191" s="169"/>
    </row>
    <row r="192" spans="1:5" x14ac:dyDescent="0.25">
      <c r="A192" s="67"/>
      <c r="B192" s="168"/>
      <c r="C192" s="169"/>
      <c r="D192" s="169"/>
      <c r="E192" s="169"/>
    </row>
    <row r="193" spans="1:5" x14ac:dyDescent="0.25">
      <c r="A193" s="67"/>
      <c r="B193" s="168"/>
      <c r="C193" s="169"/>
      <c r="D193" s="169"/>
      <c r="E193" s="169"/>
    </row>
    <row r="194" spans="1:5" x14ac:dyDescent="0.25">
      <c r="A194" s="67"/>
      <c r="B194" s="168"/>
      <c r="C194" s="169"/>
      <c r="D194" s="169"/>
      <c r="E194" s="169"/>
    </row>
    <row r="195" spans="1:5" x14ac:dyDescent="0.25">
      <c r="A195" s="67"/>
      <c r="B195" s="168"/>
      <c r="C195" s="169"/>
      <c r="D195" s="169"/>
      <c r="E195" s="169"/>
    </row>
    <row r="196" spans="1:5" x14ac:dyDescent="0.25">
      <c r="A196" s="67"/>
      <c r="B196" s="168"/>
      <c r="C196" s="169"/>
      <c r="D196" s="169"/>
      <c r="E196" s="169"/>
    </row>
    <row r="197" spans="1:5" x14ac:dyDescent="0.25">
      <c r="A197" s="67"/>
      <c r="B197" s="168"/>
      <c r="C197" s="169"/>
      <c r="D197" s="169"/>
      <c r="E197" s="169"/>
    </row>
    <row r="198" spans="1:5" x14ac:dyDescent="0.25">
      <c r="A198" s="67"/>
      <c r="B198" s="168"/>
      <c r="C198" s="169"/>
      <c r="D198" s="169"/>
      <c r="E198" s="169"/>
    </row>
    <row r="199" spans="1:5" x14ac:dyDescent="0.25">
      <c r="A199" s="67"/>
      <c r="B199" s="168"/>
      <c r="C199" s="169"/>
      <c r="D199" s="169"/>
      <c r="E199" s="169"/>
    </row>
    <row r="200" spans="1:5" x14ac:dyDescent="0.25">
      <c r="A200" s="67"/>
      <c r="B200" s="168"/>
      <c r="C200" s="169"/>
      <c r="D200" s="169"/>
      <c r="E200" s="169"/>
    </row>
    <row r="201" spans="1:5" x14ac:dyDescent="0.25">
      <c r="A201" s="67"/>
      <c r="B201" s="168"/>
      <c r="C201" s="169"/>
      <c r="D201" s="169"/>
      <c r="E201" s="169"/>
    </row>
    <row r="202" spans="1:5" x14ac:dyDescent="0.25">
      <c r="A202" s="67"/>
      <c r="B202" s="168"/>
      <c r="C202" s="169"/>
      <c r="D202" s="169"/>
      <c r="E202" s="169"/>
    </row>
    <row r="203" spans="1:5" x14ac:dyDescent="0.25">
      <c r="A203" s="67"/>
      <c r="B203" s="168"/>
      <c r="C203" s="169"/>
      <c r="D203" s="169"/>
      <c r="E203" s="169"/>
    </row>
    <row r="204" spans="1:5" x14ac:dyDescent="0.25">
      <c r="A204" s="67"/>
      <c r="B204" s="168"/>
      <c r="C204" s="169"/>
      <c r="D204" s="169"/>
      <c r="E204" s="169"/>
    </row>
    <row r="205" spans="1:5" x14ac:dyDescent="0.25">
      <c r="A205" s="67"/>
      <c r="B205" s="168"/>
      <c r="C205" s="169"/>
      <c r="D205" s="169"/>
      <c r="E205" s="169"/>
    </row>
    <row r="206" spans="1:5" x14ac:dyDescent="0.25">
      <c r="A206" s="67"/>
      <c r="B206" s="168"/>
      <c r="C206" s="169"/>
      <c r="D206" s="169"/>
      <c r="E206" s="169"/>
    </row>
    <row r="207" spans="1:5" x14ac:dyDescent="0.25">
      <c r="A207" s="67"/>
      <c r="B207" s="168"/>
      <c r="C207" s="169"/>
      <c r="D207" s="169"/>
      <c r="E207" s="169"/>
    </row>
    <row r="208" spans="1:5" x14ac:dyDescent="0.25">
      <c r="A208" s="67"/>
      <c r="B208" s="168"/>
      <c r="C208" s="169"/>
      <c r="D208" s="169"/>
      <c r="E208" s="169"/>
    </row>
    <row r="209" spans="1:5" x14ac:dyDescent="0.25">
      <c r="A209" s="67"/>
      <c r="B209" s="168"/>
      <c r="C209" s="169"/>
      <c r="D209" s="169"/>
      <c r="E209" s="169"/>
    </row>
    <row r="210" spans="1:5" x14ac:dyDescent="0.25">
      <c r="A210" s="67"/>
      <c r="B210" s="168"/>
      <c r="C210" s="169"/>
      <c r="D210" s="169"/>
      <c r="E210" s="169"/>
    </row>
    <row r="211" spans="1:5" x14ac:dyDescent="0.25">
      <c r="A211" s="67"/>
      <c r="B211" s="168"/>
      <c r="C211" s="169"/>
      <c r="D211" s="169"/>
      <c r="E211" s="169"/>
    </row>
    <row r="212" spans="1:5" x14ac:dyDescent="0.25">
      <c r="A212" s="67"/>
      <c r="B212" s="168"/>
      <c r="C212" s="169"/>
      <c r="D212" s="169"/>
      <c r="E212" s="169"/>
    </row>
    <row r="213" spans="1:5" x14ac:dyDescent="0.25">
      <c r="A213" s="67"/>
      <c r="B213" s="168"/>
      <c r="C213" s="169"/>
      <c r="D213" s="169"/>
      <c r="E213" s="169"/>
    </row>
    <row r="214" spans="1:5" x14ac:dyDescent="0.25">
      <c r="A214" s="67"/>
      <c r="B214" s="168"/>
      <c r="C214" s="169"/>
      <c r="D214" s="169"/>
      <c r="E214" s="169"/>
    </row>
    <row r="215" spans="1:5" x14ac:dyDescent="0.25">
      <c r="A215" s="67"/>
      <c r="B215" s="168"/>
      <c r="C215" s="169"/>
      <c r="D215" s="169"/>
      <c r="E215" s="169"/>
    </row>
    <row r="216" spans="1:5" x14ac:dyDescent="0.25">
      <c r="A216" s="67"/>
      <c r="B216" s="168"/>
      <c r="C216" s="169"/>
      <c r="D216" s="169"/>
      <c r="E216" s="169"/>
    </row>
    <row r="217" spans="1:5" x14ac:dyDescent="0.25">
      <c r="A217" s="67"/>
      <c r="B217" s="168"/>
      <c r="C217" s="169"/>
      <c r="D217" s="169"/>
      <c r="E217" s="169"/>
    </row>
    <row r="218" spans="1:5" x14ac:dyDescent="0.25">
      <c r="A218" s="67"/>
      <c r="B218" s="168"/>
      <c r="C218" s="169"/>
      <c r="D218" s="169"/>
      <c r="E218" s="169"/>
    </row>
    <row r="219" spans="1:5" x14ac:dyDescent="0.25">
      <c r="A219" s="67"/>
      <c r="B219" s="168"/>
      <c r="C219" s="169"/>
      <c r="D219" s="169"/>
      <c r="E219" s="169"/>
    </row>
    <row r="220" spans="1:5" x14ac:dyDescent="0.25">
      <c r="A220" s="67"/>
      <c r="B220" s="168"/>
      <c r="C220" s="169"/>
      <c r="D220" s="169"/>
      <c r="E220" s="169"/>
    </row>
    <row r="221" spans="1:5" x14ac:dyDescent="0.25">
      <c r="A221" s="67"/>
      <c r="B221" s="168"/>
      <c r="C221" s="169"/>
      <c r="D221" s="169"/>
      <c r="E221" s="169"/>
    </row>
    <row r="222" spans="1:5" x14ac:dyDescent="0.25">
      <c r="A222" s="67"/>
      <c r="B222" s="168"/>
      <c r="C222" s="169"/>
      <c r="D222" s="169"/>
      <c r="E222" s="169"/>
    </row>
    <row r="223" spans="1:5" x14ac:dyDescent="0.25">
      <c r="A223" s="67"/>
      <c r="B223" s="168"/>
      <c r="C223" s="169"/>
      <c r="D223" s="169"/>
      <c r="E223" s="169"/>
    </row>
    <row r="224" spans="1:5" x14ac:dyDescent="0.25">
      <c r="A224" s="67"/>
      <c r="B224" s="168"/>
      <c r="C224" s="169"/>
      <c r="D224" s="169"/>
      <c r="E224" s="169"/>
    </row>
    <row r="225" spans="1:5" x14ac:dyDescent="0.25">
      <c r="A225" s="67"/>
      <c r="B225" s="168"/>
      <c r="C225" s="169"/>
      <c r="D225" s="169"/>
      <c r="E225" s="169"/>
    </row>
    <row r="226" spans="1:5" x14ac:dyDescent="0.25">
      <c r="A226" s="67"/>
      <c r="B226" s="168"/>
      <c r="C226" s="169"/>
      <c r="D226" s="169"/>
      <c r="E226" s="169"/>
    </row>
    <row r="227" spans="1:5" x14ac:dyDescent="0.25">
      <c r="A227" s="67"/>
      <c r="B227" s="168"/>
      <c r="C227" s="169"/>
      <c r="D227" s="169"/>
      <c r="E227" s="169"/>
    </row>
    <row r="228" spans="1:5" x14ac:dyDescent="0.25">
      <c r="A228" s="67"/>
      <c r="B228" s="168"/>
      <c r="C228" s="169"/>
      <c r="D228" s="169"/>
      <c r="E228" s="169"/>
    </row>
    <row r="229" spans="1:5" x14ac:dyDescent="0.25">
      <c r="A229" s="67"/>
      <c r="B229" s="168"/>
      <c r="C229" s="169"/>
      <c r="D229" s="169"/>
      <c r="E229" s="169"/>
    </row>
    <row r="230" spans="1:5" x14ac:dyDescent="0.25">
      <c r="A230" s="67"/>
      <c r="B230" s="168"/>
      <c r="C230" s="169"/>
      <c r="D230" s="169"/>
      <c r="E230" s="169"/>
    </row>
    <row r="231" spans="1:5" x14ac:dyDescent="0.25">
      <c r="A231" s="67"/>
      <c r="B231" s="168"/>
      <c r="C231" s="169"/>
      <c r="D231" s="169"/>
      <c r="E231" s="169"/>
    </row>
    <row r="232" spans="1:5" x14ac:dyDescent="0.25">
      <c r="A232" s="67"/>
      <c r="B232" s="168"/>
      <c r="C232" s="169"/>
      <c r="D232" s="169"/>
      <c r="E232" s="169"/>
    </row>
    <row r="233" spans="1:5" x14ac:dyDescent="0.25">
      <c r="A233" s="67"/>
      <c r="B233" s="168"/>
      <c r="C233" s="169"/>
      <c r="D233" s="169"/>
      <c r="E233" s="169"/>
    </row>
    <row r="234" spans="1:5" x14ac:dyDescent="0.25">
      <c r="A234" s="67"/>
      <c r="B234" s="168"/>
      <c r="C234" s="169"/>
      <c r="D234" s="169"/>
      <c r="E234" s="169"/>
    </row>
    <row r="235" spans="1:5" x14ac:dyDescent="0.25">
      <c r="A235" s="67"/>
      <c r="B235" s="168"/>
      <c r="C235" s="169"/>
      <c r="D235" s="169"/>
      <c r="E235" s="169"/>
    </row>
    <row r="236" spans="1:5" x14ac:dyDescent="0.25">
      <c r="A236" s="67"/>
      <c r="B236" s="168"/>
      <c r="C236" s="169"/>
      <c r="D236" s="169"/>
      <c r="E236" s="169"/>
    </row>
    <row r="237" spans="1:5" x14ac:dyDescent="0.25">
      <c r="A237" s="67"/>
      <c r="B237" s="168"/>
      <c r="C237" s="169"/>
      <c r="D237" s="169"/>
      <c r="E237" s="169"/>
    </row>
    <row r="238" spans="1:5" x14ac:dyDescent="0.25">
      <c r="A238" s="67"/>
      <c r="B238" s="168"/>
      <c r="C238" s="169"/>
      <c r="D238" s="169"/>
      <c r="E238" s="169"/>
    </row>
    <row r="239" spans="1:5" x14ac:dyDescent="0.25">
      <c r="A239" s="67"/>
      <c r="B239" s="168"/>
      <c r="C239" s="169"/>
      <c r="D239" s="169"/>
      <c r="E239" s="169"/>
    </row>
    <row r="240" spans="1:5" x14ac:dyDescent="0.25">
      <c r="A240" s="67"/>
      <c r="B240" s="168"/>
      <c r="C240" s="169"/>
      <c r="D240" s="169"/>
      <c r="E240" s="169"/>
    </row>
    <row r="241" spans="1:5" x14ac:dyDescent="0.25">
      <c r="A241" s="67"/>
      <c r="B241" s="168"/>
      <c r="C241" s="169"/>
      <c r="D241" s="169"/>
      <c r="E241" s="169"/>
    </row>
    <row r="242" spans="1:5" x14ac:dyDescent="0.25">
      <c r="A242" s="67"/>
      <c r="B242" s="168"/>
      <c r="C242" s="169"/>
      <c r="D242" s="169"/>
      <c r="E242" s="169"/>
    </row>
    <row r="243" spans="1:5" x14ac:dyDescent="0.25">
      <c r="A243" s="67"/>
      <c r="B243" s="168"/>
      <c r="C243" s="169"/>
      <c r="D243" s="169"/>
      <c r="E243" s="169"/>
    </row>
    <row r="244" spans="1:5" x14ac:dyDescent="0.25">
      <c r="A244" s="67"/>
      <c r="B244" s="168"/>
      <c r="C244" s="169"/>
      <c r="D244" s="169"/>
      <c r="E244" s="169"/>
    </row>
    <row r="245" spans="1:5" x14ac:dyDescent="0.25">
      <c r="A245" s="67"/>
      <c r="B245" s="168"/>
      <c r="C245" s="169"/>
      <c r="D245" s="169"/>
      <c r="E245" s="169"/>
    </row>
    <row r="246" spans="1:5" x14ac:dyDescent="0.25">
      <c r="A246" s="67"/>
      <c r="B246" s="168"/>
      <c r="C246" s="169"/>
      <c r="D246" s="169"/>
      <c r="E246" s="169"/>
    </row>
    <row r="247" spans="1:5" x14ac:dyDescent="0.25">
      <c r="A247" s="67"/>
      <c r="B247" s="168"/>
      <c r="C247" s="169"/>
      <c r="D247" s="169"/>
      <c r="E247" s="169"/>
    </row>
    <row r="248" spans="1:5" x14ac:dyDescent="0.25">
      <c r="A248" s="67"/>
      <c r="B248" s="168"/>
      <c r="C248" s="169"/>
      <c r="D248" s="169"/>
      <c r="E248" s="169"/>
    </row>
    <row r="249" spans="1:5" x14ac:dyDescent="0.25">
      <c r="A249" s="67"/>
      <c r="B249" s="168"/>
      <c r="C249" s="169"/>
      <c r="D249" s="169"/>
      <c r="E249" s="169"/>
    </row>
    <row r="250" spans="1:5" x14ac:dyDescent="0.25">
      <c r="A250" s="67"/>
      <c r="B250" s="168"/>
      <c r="C250" s="169"/>
      <c r="D250" s="169"/>
      <c r="E250" s="169"/>
    </row>
    <row r="251" spans="1:5" x14ac:dyDescent="0.25">
      <c r="A251" s="67"/>
      <c r="B251" s="168"/>
      <c r="C251" s="169"/>
      <c r="D251" s="169"/>
      <c r="E251" s="169"/>
    </row>
    <row r="252" spans="1:5" x14ac:dyDescent="0.25">
      <c r="A252" s="67"/>
      <c r="B252" s="168"/>
      <c r="C252" s="169"/>
      <c r="D252" s="169"/>
      <c r="E252" s="169"/>
    </row>
    <row r="253" spans="1:5" x14ac:dyDescent="0.25">
      <c r="A253" s="67"/>
      <c r="B253" s="168"/>
      <c r="C253" s="169"/>
      <c r="D253" s="169"/>
      <c r="E253" s="169"/>
    </row>
    <row r="254" spans="1:5" x14ac:dyDescent="0.25">
      <c r="A254" s="67"/>
      <c r="B254" s="168"/>
      <c r="C254" s="169"/>
      <c r="D254" s="169"/>
      <c r="E254" s="169"/>
    </row>
    <row r="255" spans="1:5" x14ac:dyDescent="0.25">
      <c r="A255" s="67"/>
      <c r="B255" s="168"/>
      <c r="C255" s="169"/>
      <c r="D255" s="169"/>
      <c r="E255" s="169"/>
    </row>
    <row r="256" spans="1:5" x14ac:dyDescent="0.25">
      <c r="A256" s="67"/>
      <c r="B256" s="168"/>
      <c r="C256" s="169"/>
      <c r="D256" s="169"/>
      <c r="E256" s="169"/>
    </row>
    <row r="257" spans="1:5" x14ac:dyDescent="0.25">
      <c r="A257" s="67"/>
      <c r="B257" s="168"/>
      <c r="C257" s="169"/>
      <c r="D257" s="169"/>
      <c r="E257" s="169"/>
    </row>
    <row r="258" spans="1:5" x14ac:dyDescent="0.25">
      <c r="A258" s="67"/>
      <c r="B258" s="168"/>
      <c r="C258" s="169"/>
      <c r="D258" s="169"/>
      <c r="E258" s="169"/>
    </row>
    <row r="259" spans="1:5" x14ac:dyDescent="0.25">
      <c r="A259" s="67"/>
      <c r="B259" s="168"/>
      <c r="C259" s="169"/>
      <c r="D259" s="169"/>
      <c r="E259" s="169"/>
    </row>
    <row r="260" spans="1:5" x14ac:dyDescent="0.25">
      <c r="A260" s="67"/>
      <c r="B260" s="168"/>
      <c r="C260" s="169"/>
      <c r="D260" s="169"/>
      <c r="E260" s="169"/>
    </row>
    <row r="261" spans="1:5" x14ac:dyDescent="0.25">
      <c r="A261" s="67"/>
      <c r="B261" s="168"/>
      <c r="C261" s="169"/>
      <c r="D261" s="169"/>
      <c r="E261" s="169"/>
    </row>
    <row r="262" spans="1:5" x14ac:dyDescent="0.25">
      <c r="A262" s="67"/>
      <c r="B262" s="168"/>
      <c r="C262" s="169"/>
      <c r="D262" s="169"/>
      <c r="E262" s="169"/>
    </row>
    <row r="263" spans="1:5" x14ac:dyDescent="0.25">
      <c r="A263" s="67"/>
      <c r="B263" s="168"/>
      <c r="C263" s="169"/>
      <c r="D263" s="169"/>
      <c r="E263" s="169"/>
    </row>
    <row r="264" spans="1:5" x14ac:dyDescent="0.25">
      <c r="A264" s="67"/>
      <c r="B264" s="168"/>
      <c r="C264" s="169"/>
      <c r="D264" s="169"/>
      <c r="E264" s="169"/>
    </row>
    <row r="265" spans="1:5" x14ac:dyDescent="0.25">
      <c r="A265" s="67"/>
      <c r="B265" s="168"/>
      <c r="C265" s="169"/>
      <c r="D265" s="169"/>
      <c r="E265" s="169"/>
    </row>
    <row r="266" spans="1:5" x14ac:dyDescent="0.25">
      <c r="A266" s="67"/>
      <c r="B266" s="168"/>
      <c r="C266" s="169"/>
      <c r="D266" s="169"/>
      <c r="E266" s="169"/>
    </row>
    <row r="267" spans="1:5" x14ac:dyDescent="0.25">
      <c r="A267" s="67"/>
      <c r="B267" s="168"/>
      <c r="C267" s="169"/>
      <c r="D267" s="169"/>
      <c r="E267" s="169"/>
    </row>
    <row r="268" spans="1:5" x14ac:dyDescent="0.25">
      <c r="A268" s="67"/>
      <c r="B268" s="168"/>
      <c r="C268" s="169"/>
      <c r="D268" s="169"/>
      <c r="E268" s="169"/>
    </row>
    <row r="269" spans="1:5" x14ac:dyDescent="0.25">
      <c r="A269" s="67"/>
      <c r="B269" s="168"/>
      <c r="C269" s="169"/>
      <c r="D269" s="169"/>
      <c r="E269" s="169"/>
    </row>
    <row r="270" spans="1:5" x14ac:dyDescent="0.25">
      <c r="A270" s="67"/>
      <c r="B270" s="168"/>
      <c r="C270" s="169"/>
      <c r="D270" s="169"/>
      <c r="E270" s="169"/>
    </row>
    <row r="271" spans="1:5" x14ac:dyDescent="0.25">
      <c r="A271" s="67"/>
      <c r="B271" s="168"/>
      <c r="C271" s="169"/>
      <c r="D271" s="169"/>
      <c r="E271" s="169"/>
    </row>
    <row r="272" spans="1:5" x14ac:dyDescent="0.25">
      <c r="A272" s="67"/>
      <c r="B272" s="168"/>
      <c r="C272" s="169"/>
      <c r="D272" s="169"/>
      <c r="E272" s="169"/>
    </row>
    <row r="273" spans="1:5" x14ac:dyDescent="0.25">
      <c r="A273" s="67"/>
      <c r="B273" s="168"/>
      <c r="C273" s="169"/>
      <c r="D273" s="169"/>
      <c r="E273" s="169"/>
    </row>
    <row r="274" spans="1:5" x14ac:dyDescent="0.25">
      <c r="A274" s="67"/>
      <c r="B274" s="168"/>
      <c r="C274" s="169"/>
      <c r="D274" s="169"/>
      <c r="E274" s="169"/>
    </row>
    <row r="275" spans="1:5" x14ac:dyDescent="0.25">
      <c r="A275" s="67"/>
      <c r="B275" s="168"/>
      <c r="C275" s="169"/>
      <c r="D275" s="169"/>
      <c r="E275" s="169"/>
    </row>
    <row r="276" spans="1:5" x14ac:dyDescent="0.25">
      <c r="A276" s="67"/>
      <c r="B276" s="168"/>
      <c r="C276" s="169"/>
      <c r="D276" s="169"/>
      <c r="E276" s="169"/>
    </row>
    <row r="277" spans="1:5" x14ac:dyDescent="0.25">
      <c r="A277" s="67"/>
      <c r="B277" s="168"/>
      <c r="C277" s="169"/>
      <c r="D277" s="169"/>
      <c r="E277" s="169"/>
    </row>
    <row r="278" spans="1:5" x14ac:dyDescent="0.25">
      <c r="A278" s="67"/>
      <c r="B278" s="168"/>
      <c r="C278" s="169"/>
      <c r="D278" s="169"/>
      <c r="E278" s="169"/>
    </row>
    <row r="279" spans="1:5" x14ac:dyDescent="0.25">
      <c r="A279" s="67"/>
      <c r="B279" s="168"/>
      <c r="C279" s="169"/>
      <c r="D279" s="169"/>
      <c r="E279" s="169"/>
    </row>
    <row r="280" spans="1:5" x14ac:dyDescent="0.25">
      <c r="A280" s="67"/>
      <c r="B280" s="168"/>
      <c r="C280" s="169"/>
      <c r="D280" s="169"/>
      <c r="E280" s="169"/>
    </row>
    <row r="281" spans="1:5" x14ac:dyDescent="0.25">
      <c r="A281" s="67"/>
      <c r="B281" s="168"/>
      <c r="C281" s="169"/>
      <c r="D281" s="169"/>
      <c r="E281" s="169"/>
    </row>
    <row r="282" spans="1:5" x14ac:dyDescent="0.25">
      <c r="A282" s="67"/>
      <c r="B282" s="168"/>
      <c r="C282" s="169"/>
      <c r="D282" s="169"/>
      <c r="E282" s="169"/>
    </row>
    <row r="283" spans="1:5" x14ac:dyDescent="0.25">
      <c r="A283" s="67"/>
      <c r="B283" s="168"/>
      <c r="C283" s="169"/>
      <c r="D283" s="169"/>
      <c r="E283" s="169"/>
    </row>
    <row r="284" spans="1:5" x14ac:dyDescent="0.25">
      <c r="A284" s="67"/>
      <c r="B284" s="168"/>
      <c r="C284" s="169"/>
      <c r="D284" s="169"/>
      <c r="E284" s="169"/>
    </row>
    <row r="285" spans="1:5" x14ac:dyDescent="0.25">
      <c r="A285" s="67"/>
      <c r="B285" s="168"/>
      <c r="C285" s="169"/>
      <c r="D285" s="169"/>
      <c r="E285" s="169"/>
    </row>
    <row r="286" spans="1:5" x14ac:dyDescent="0.25">
      <c r="A286" s="67"/>
      <c r="B286" s="168"/>
      <c r="C286" s="169"/>
      <c r="D286" s="169"/>
      <c r="E286" s="169"/>
    </row>
    <row r="287" spans="1:5" x14ac:dyDescent="0.25">
      <c r="A287" s="67"/>
      <c r="B287" s="168"/>
      <c r="C287" s="169"/>
      <c r="D287" s="169"/>
      <c r="E287" s="169"/>
    </row>
    <row r="288" spans="1:5" x14ac:dyDescent="0.25">
      <c r="A288" s="67"/>
      <c r="B288" s="168"/>
      <c r="C288" s="169"/>
      <c r="D288" s="169"/>
      <c r="E288" s="169"/>
    </row>
    <row r="289" spans="1:5" x14ac:dyDescent="0.25">
      <c r="A289" s="67"/>
      <c r="B289" s="168"/>
      <c r="C289" s="169"/>
      <c r="D289" s="169"/>
      <c r="E289" s="169"/>
    </row>
    <row r="290" spans="1:5" x14ac:dyDescent="0.25">
      <c r="A290" s="67"/>
      <c r="B290" s="168"/>
      <c r="C290" s="169"/>
      <c r="D290" s="169"/>
      <c r="E290" s="169"/>
    </row>
    <row r="291" spans="1:5" x14ac:dyDescent="0.25">
      <c r="A291" s="67"/>
      <c r="B291" s="168"/>
      <c r="C291" s="169"/>
      <c r="D291" s="169"/>
      <c r="E291" s="169"/>
    </row>
    <row r="292" spans="1:5" x14ac:dyDescent="0.25">
      <c r="A292" s="67"/>
      <c r="B292" s="168"/>
      <c r="C292" s="169"/>
      <c r="D292" s="169"/>
      <c r="E292" s="169"/>
    </row>
    <row r="293" spans="1:5" x14ac:dyDescent="0.25">
      <c r="A293" s="67"/>
      <c r="B293" s="168"/>
      <c r="C293" s="169"/>
      <c r="D293" s="169"/>
      <c r="E293" s="169"/>
    </row>
    <row r="294" spans="1:5" x14ac:dyDescent="0.25">
      <c r="A294" s="67"/>
      <c r="B294" s="168"/>
      <c r="C294" s="169"/>
      <c r="D294" s="169"/>
      <c r="E294" s="169"/>
    </row>
    <row r="295" spans="1:5" x14ac:dyDescent="0.25">
      <c r="A295" s="67"/>
      <c r="B295" s="168"/>
      <c r="C295" s="169"/>
      <c r="D295" s="169"/>
      <c r="E295" s="169"/>
    </row>
    <row r="296" spans="1:5" x14ac:dyDescent="0.25">
      <c r="A296" s="67"/>
      <c r="B296" s="168"/>
      <c r="C296" s="169"/>
      <c r="D296" s="169"/>
      <c r="E296" s="169"/>
    </row>
    <row r="297" spans="1:5" x14ac:dyDescent="0.25">
      <c r="A297" s="67"/>
      <c r="B297" s="168"/>
      <c r="C297" s="169"/>
      <c r="D297" s="169"/>
      <c r="E297" s="169"/>
    </row>
    <row r="298" spans="1:5" x14ac:dyDescent="0.25">
      <c r="A298" s="67"/>
      <c r="B298" s="168"/>
      <c r="C298" s="169"/>
      <c r="D298" s="169"/>
      <c r="E298" s="169"/>
    </row>
    <row r="299" spans="1:5" x14ac:dyDescent="0.25">
      <c r="A299" s="67"/>
      <c r="B299" s="168"/>
      <c r="C299" s="169"/>
      <c r="D299" s="169"/>
      <c r="E299" s="169"/>
    </row>
    <row r="300" spans="1:5" x14ac:dyDescent="0.25">
      <c r="A300" s="67"/>
      <c r="B300" s="168"/>
      <c r="C300" s="169"/>
      <c r="D300" s="169"/>
      <c r="E300" s="169"/>
    </row>
    <row r="301" spans="1:5" x14ac:dyDescent="0.25">
      <c r="A301" s="67"/>
      <c r="B301" s="168"/>
      <c r="C301" s="169"/>
      <c r="D301" s="169"/>
      <c r="E301" s="169"/>
    </row>
    <row r="302" spans="1:5" x14ac:dyDescent="0.25">
      <c r="A302" s="67"/>
      <c r="B302" s="168"/>
      <c r="C302" s="169"/>
      <c r="D302" s="169"/>
      <c r="E302" s="169"/>
    </row>
    <row r="303" spans="1:5" x14ac:dyDescent="0.25">
      <c r="A303" s="67"/>
      <c r="B303" s="168"/>
      <c r="C303" s="169"/>
      <c r="D303" s="169"/>
      <c r="E303" s="169"/>
    </row>
    <row r="304" spans="1:5" x14ac:dyDescent="0.25">
      <c r="A304" s="67"/>
      <c r="B304" s="168"/>
      <c r="C304" s="169"/>
      <c r="D304" s="169"/>
      <c r="E304" s="169"/>
    </row>
    <row r="305" spans="1:5" x14ac:dyDescent="0.25">
      <c r="A305" s="67"/>
      <c r="B305" s="168"/>
      <c r="C305" s="169"/>
      <c r="D305" s="169"/>
      <c r="E305" s="169"/>
    </row>
    <row r="306" spans="1:5" x14ac:dyDescent="0.25">
      <c r="A306" s="67"/>
      <c r="B306" s="168"/>
      <c r="C306" s="169"/>
      <c r="D306" s="169"/>
      <c r="E306" s="169"/>
    </row>
    <row r="307" spans="1:5" x14ac:dyDescent="0.25">
      <c r="A307" s="67"/>
      <c r="B307" s="168"/>
      <c r="C307" s="169"/>
      <c r="D307" s="169"/>
      <c r="E307" s="169"/>
    </row>
    <row r="308" spans="1:5" x14ac:dyDescent="0.25">
      <c r="A308" s="67"/>
      <c r="B308" s="168"/>
      <c r="C308" s="169"/>
      <c r="D308" s="169"/>
      <c r="E308" s="169"/>
    </row>
    <row r="309" spans="1:5" x14ac:dyDescent="0.25">
      <c r="A309" s="67"/>
      <c r="B309" s="168"/>
      <c r="C309" s="169"/>
      <c r="D309" s="169"/>
      <c r="E309" s="169"/>
    </row>
    <row r="310" spans="1:5" x14ac:dyDescent="0.25">
      <c r="A310" s="67"/>
      <c r="B310" s="168"/>
      <c r="C310" s="169"/>
      <c r="D310" s="169"/>
      <c r="E310" s="169"/>
    </row>
    <row r="311" spans="1:5" x14ac:dyDescent="0.25">
      <c r="A311" s="67"/>
      <c r="B311" s="168"/>
      <c r="C311" s="169"/>
      <c r="D311" s="169"/>
      <c r="E311" s="169"/>
    </row>
    <row r="312" spans="1:5" x14ac:dyDescent="0.25">
      <c r="A312" s="67"/>
      <c r="B312" s="168"/>
      <c r="C312" s="169"/>
      <c r="D312" s="169"/>
      <c r="E312" s="169"/>
    </row>
    <row r="313" spans="1:5" x14ac:dyDescent="0.25">
      <c r="A313" s="67"/>
      <c r="B313" s="168"/>
      <c r="C313" s="169"/>
      <c r="D313" s="169"/>
      <c r="E313" s="169"/>
    </row>
    <row r="314" spans="1:5" x14ac:dyDescent="0.25">
      <c r="A314" s="67"/>
      <c r="B314" s="168"/>
      <c r="C314" s="169"/>
      <c r="D314" s="169"/>
      <c r="E314" s="169"/>
    </row>
    <row r="315" spans="1:5" x14ac:dyDescent="0.25">
      <c r="A315" s="67"/>
      <c r="B315" s="168"/>
      <c r="C315" s="169"/>
      <c r="D315" s="169"/>
      <c r="E315" s="169"/>
    </row>
    <row r="316" spans="1:5" x14ac:dyDescent="0.25">
      <c r="A316" s="67"/>
      <c r="B316" s="168"/>
      <c r="C316" s="169"/>
      <c r="D316" s="169"/>
      <c r="E316" s="169"/>
    </row>
    <row r="317" spans="1:5" x14ac:dyDescent="0.25">
      <c r="A317" s="67"/>
      <c r="B317" s="168"/>
      <c r="C317" s="169"/>
      <c r="D317" s="169"/>
      <c r="E317" s="169"/>
    </row>
    <row r="318" spans="1:5" x14ac:dyDescent="0.25">
      <c r="A318" s="67"/>
      <c r="B318" s="168"/>
      <c r="C318" s="169"/>
      <c r="D318" s="169"/>
      <c r="E318" s="169"/>
    </row>
    <row r="319" spans="1:5" x14ac:dyDescent="0.25">
      <c r="A319" s="67"/>
      <c r="B319" s="168"/>
      <c r="C319" s="169"/>
      <c r="D319" s="169"/>
      <c r="E319" s="169"/>
    </row>
    <row r="320" spans="1:5" x14ac:dyDescent="0.25">
      <c r="A320" s="67"/>
      <c r="B320" s="168"/>
      <c r="C320" s="169"/>
      <c r="D320" s="169"/>
      <c r="E320" s="169"/>
    </row>
    <row r="321" spans="1:5" x14ac:dyDescent="0.25">
      <c r="A321" s="67"/>
      <c r="B321" s="168"/>
      <c r="C321" s="169"/>
      <c r="D321" s="169"/>
      <c r="E321" s="169"/>
    </row>
    <row r="322" spans="1:5" x14ac:dyDescent="0.25">
      <c r="A322" s="67"/>
      <c r="B322" s="168"/>
      <c r="C322" s="169"/>
      <c r="D322" s="169"/>
      <c r="E322" s="169"/>
    </row>
    <row r="323" spans="1:5" x14ac:dyDescent="0.25">
      <c r="A323" s="67"/>
      <c r="B323" s="168"/>
      <c r="C323" s="169"/>
      <c r="D323" s="169"/>
      <c r="E323" s="169"/>
    </row>
    <row r="324" spans="1:5" x14ac:dyDescent="0.25">
      <c r="A324" s="67"/>
      <c r="B324" s="168"/>
      <c r="C324" s="169"/>
      <c r="D324" s="169"/>
      <c r="E324" s="169"/>
    </row>
    <row r="325" spans="1:5" x14ac:dyDescent="0.25">
      <c r="A325" s="67"/>
      <c r="B325" s="168"/>
      <c r="C325" s="169"/>
      <c r="D325" s="169"/>
      <c r="E325" s="169"/>
    </row>
    <row r="326" spans="1:5" x14ac:dyDescent="0.25">
      <c r="A326" s="67"/>
      <c r="B326" s="168"/>
      <c r="C326" s="169"/>
      <c r="D326" s="169"/>
      <c r="E326" s="169"/>
    </row>
    <row r="327" spans="1:5" x14ac:dyDescent="0.25">
      <c r="A327" s="67"/>
      <c r="B327" s="168"/>
      <c r="C327" s="169"/>
      <c r="D327" s="169"/>
      <c r="E327" s="169"/>
    </row>
    <row r="328" spans="1:5" x14ac:dyDescent="0.25">
      <c r="A328" s="67"/>
      <c r="B328" s="168"/>
      <c r="C328" s="169"/>
      <c r="D328" s="169"/>
      <c r="E328" s="169"/>
    </row>
    <row r="329" spans="1:5" x14ac:dyDescent="0.25">
      <c r="A329" s="67"/>
      <c r="B329" s="168"/>
      <c r="C329" s="169"/>
      <c r="D329" s="169"/>
      <c r="E329" s="169"/>
    </row>
    <row r="330" spans="1:5" x14ac:dyDescent="0.25">
      <c r="A330" s="67"/>
      <c r="B330" s="168"/>
      <c r="C330" s="169"/>
      <c r="D330" s="169"/>
      <c r="E330" s="169"/>
    </row>
    <row r="331" spans="1:5" x14ac:dyDescent="0.25">
      <c r="A331" s="67"/>
      <c r="B331" s="168"/>
      <c r="C331" s="169"/>
      <c r="D331" s="169"/>
      <c r="E331" s="169"/>
    </row>
    <row r="332" spans="1:5" x14ac:dyDescent="0.25">
      <c r="A332" s="67"/>
      <c r="B332" s="168"/>
      <c r="C332" s="169"/>
      <c r="D332" s="169"/>
      <c r="E332" s="169"/>
    </row>
    <row r="333" spans="1:5" x14ac:dyDescent="0.25">
      <c r="A333" s="67"/>
      <c r="B333" s="168"/>
      <c r="C333" s="169"/>
      <c r="D333" s="169"/>
      <c r="E333" s="169"/>
    </row>
    <row r="334" spans="1:5" x14ac:dyDescent="0.25">
      <c r="A334" s="67"/>
      <c r="B334" s="168"/>
      <c r="C334" s="169"/>
      <c r="D334" s="169"/>
      <c r="E334" s="169"/>
    </row>
    <row r="335" spans="1:5" x14ac:dyDescent="0.25">
      <c r="A335" s="67"/>
      <c r="B335" s="168"/>
      <c r="C335" s="169"/>
      <c r="D335" s="169"/>
      <c r="E335" s="169"/>
    </row>
    <row r="336" spans="1:5" x14ac:dyDescent="0.25">
      <c r="A336" s="67"/>
      <c r="B336" s="168"/>
      <c r="C336" s="169"/>
      <c r="D336" s="169"/>
      <c r="E336" s="169"/>
    </row>
    <row r="337" spans="1:5" x14ac:dyDescent="0.25">
      <c r="A337" s="67"/>
      <c r="B337" s="168"/>
      <c r="C337" s="169"/>
      <c r="D337" s="169"/>
      <c r="E337" s="169"/>
    </row>
    <row r="338" spans="1:5" x14ac:dyDescent="0.25">
      <c r="A338" s="67"/>
      <c r="B338" s="168"/>
      <c r="C338" s="169"/>
      <c r="D338" s="169"/>
      <c r="E338" s="169"/>
    </row>
    <row r="339" spans="1:5" x14ac:dyDescent="0.25">
      <c r="A339" s="67"/>
      <c r="B339" s="168"/>
      <c r="C339" s="169"/>
      <c r="D339" s="169"/>
      <c r="E339" s="169"/>
    </row>
    <row r="340" spans="1:5" x14ac:dyDescent="0.25">
      <c r="A340" s="67"/>
      <c r="B340" s="168"/>
      <c r="C340" s="169"/>
      <c r="D340" s="169"/>
      <c r="E340" s="169"/>
    </row>
    <row r="341" spans="1:5" x14ac:dyDescent="0.25">
      <c r="A341" s="67"/>
      <c r="B341" s="168"/>
      <c r="C341" s="169"/>
      <c r="D341" s="169"/>
      <c r="E341" s="169"/>
    </row>
    <row r="342" spans="1:5" x14ac:dyDescent="0.25">
      <c r="A342" s="67"/>
      <c r="B342" s="168"/>
      <c r="C342" s="169"/>
      <c r="D342" s="169"/>
      <c r="E342" s="169"/>
    </row>
    <row r="343" spans="1:5" x14ac:dyDescent="0.25">
      <c r="A343" s="67"/>
      <c r="B343" s="168"/>
      <c r="C343" s="169"/>
      <c r="D343" s="169"/>
      <c r="E343" s="169"/>
    </row>
    <row r="344" spans="1:5" x14ac:dyDescent="0.25">
      <c r="A344" s="67"/>
      <c r="B344" s="168"/>
      <c r="C344" s="169"/>
      <c r="D344" s="169"/>
      <c r="E344" s="169"/>
    </row>
    <row r="345" spans="1:5" x14ac:dyDescent="0.25">
      <c r="A345" s="67"/>
      <c r="B345" s="168"/>
      <c r="C345" s="169"/>
      <c r="D345" s="169"/>
      <c r="E345" s="169"/>
    </row>
    <row r="346" spans="1:5" x14ac:dyDescent="0.25">
      <c r="A346" s="67"/>
      <c r="B346" s="168"/>
      <c r="C346" s="169"/>
      <c r="D346" s="169"/>
      <c r="E346" s="169"/>
    </row>
    <row r="347" spans="1:5" x14ac:dyDescent="0.25">
      <c r="A347" s="67"/>
      <c r="B347" s="168"/>
      <c r="C347" s="169"/>
      <c r="D347" s="169"/>
      <c r="E347" s="169"/>
    </row>
    <row r="348" spans="1:5" x14ac:dyDescent="0.25">
      <c r="A348" s="67"/>
      <c r="B348" s="168"/>
      <c r="C348" s="169"/>
      <c r="D348" s="169"/>
      <c r="E348" s="169"/>
    </row>
    <row r="349" spans="1:5" x14ac:dyDescent="0.25">
      <c r="A349" s="67"/>
      <c r="B349" s="168"/>
      <c r="C349" s="169"/>
      <c r="D349" s="169"/>
      <c r="E349" s="169"/>
    </row>
    <row r="350" spans="1:5" x14ac:dyDescent="0.25">
      <c r="A350" s="67"/>
      <c r="B350" s="168"/>
      <c r="C350" s="169"/>
      <c r="D350" s="169"/>
      <c r="E350" s="169"/>
    </row>
    <row r="351" spans="1:5" x14ac:dyDescent="0.25">
      <c r="A351" s="67"/>
      <c r="B351" s="168"/>
      <c r="C351" s="169"/>
      <c r="D351" s="169"/>
      <c r="E351" s="169"/>
    </row>
    <row r="352" spans="1:5" x14ac:dyDescent="0.25">
      <c r="A352" s="67"/>
      <c r="B352" s="168"/>
      <c r="C352" s="169"/>
      <c r="D352" s="169"/>
      <c r="E352" s="169"/>
    </row>
    <row r="353" spans="1:5" x14ac:dyDescent="0.25">
      <c r="A353" s="67"/>
      <c r="B353" s="168"/>
      <c r="C353" s="169"/>
      <c r="D353" s="169"/>
      <c r="E353" s="169"/>
    </row>
    <row r="354" spans="1:5" x14ac:dyDescent="0.25">
      <c r="A354" s="67"/>
      <c r="B354" s="168"/>
      <c r="C354" s="169"/>
      <c r="D354" s="169"/>
      <c r="E354" s="169"/>
    </row>
    <row r="355" spans="1:5" x14ac:dyDescent="0.25">
      <c r="A355" s="67"/>
      <c r="B355" s="168"/>
      <c r="C355" s="169"/>
      <c r="D355" s="169"/>
      <c r="E355" s="169"/>
    </row>
    <row r="356" spans="1:5" x14ac:dyDescent="0.25">
      <c r="A356" s="67"/>
      <c r="B356" s="168"/>
      <c r="C356" s="169"/>
      <c r="D356" s="169"/>
      <c r="E356" s="169"/>
    </row>
    <row r="357" spans="1:5" x14ac:dyDescent="0.25">
      <c r="A357" s="67"/>
      <c r="B357" s="168"/>
      <c r="C357" s="169"/>
      <c r="D357" s="169"/>
      <c r="E357" s="169"/>
    </row>
    <row r="358" spans="1:5" x14ac:dyDescent="0.25">
      <c r="A358" s="67"/>
      <c r="B358" s="168"/>
      <c r="C358" s="169"/>
      <c r="D358" s="169"/>
      <c r="E358" s="169"/>
    </row>
    <row r="359" spans="1:5" x14ac:dyDescent="0.25">
      <c r="A359" s="67"/>
      <c r="B359" s="168"/>
      <c r="C359" s="169"/>
      <c r="D359" s="169"/>
      <c r="E359" s="169"/>
    </row>
    <row r="360" spans="1:5" x14ac:dyDescent="0.25">
      <c r="A360" s="67"/>
      <c r="B360" s="168"/>
      <c r="C360" s="169"/>
      <c r="D360" s="169"/>
      <c r="E360" s="169"/>
    </row>
    <row r="361" spans="1:5" x14ac:dyDescent="0.25">
      <c r="A361" s="67"/>
      <c r="B361" s="168"/>
      <c r="C361" s="169"/>
      <c r="D361" s="169"/>
      <c r="E361" s="169"/>
    </row>
    <row r="362" spans="1:5" x14ac:dyDescent="0.25">
      <c r="A362" s="67"/>
      <c r="B362" s="168"/>
      <c r="C362" s="169"/>
      <c r="D362" s="169"/>
      <c r="E362" s="169"/>
    </row>
    <row r="363" spans="1:5" x14ac:dyDescent="0.25">
      <c r="A363" s="67"/>
      <c r="B363" s="168"/>
      <c r="C363" s="169"/>
      <c r="D363" s="169"/>
      <c r="E363" s="169"/>
    </row>
    <row r="364" spans="1:5" x14ac:dyDescent="0.25">
      <c r="A364" s="67"/>
      <c r="B364" s="168"/>
      <c r="C364" s="169"/>
      <c r="D364" s="169"/>
      <c r="E364" s="169"/>
    </row>
    <row r="365" spans="1:5" x14ac:dyDescent="0.25">
      <c r="A365" s="67"/>
      <c r="B365" s="168"/>
      <c r="C365" s="169"/>
      <c r="D365" s="169"/>
      <c r="E365" s="169"/>
    </row>
    <row r="366" spans="1:5" x14ac:dyDescent="0.25">
      <c r="A366" s="67"/>
      <c r="B366" s="168"/>
      <c r="C366" s="169"/>
      <c r="D366" s="169"/>
      <c r="E366" s="169"/>
    </row>
    <row r="367" spans="1:5" x14ac:dyDescent="0.25">
      <c r="A367" s="67"/>
      <c r="B367" s="168"/>
      <c r="C367" s="169"/>
      <c r="D367" s="169"/>
      <c r="E367" s="169"/>
    </row>
    <row r="368" spans="1:5" x14ac:dyDescent="0.25">
      <c r="A368" s="67"/>
      <c r="B368" s="168"/>
      <c r="C368" s="169"/>
      <c r="D368" s="169"/>
      <c r="E368" s="169"/>
    </row>
    <row r="369" spans="1:5" x14ac:dyDescent="0.25">
      <c r="A369" s="67"/>
      <c r="B369" s="168"/>
      <c r="C369" s="169"/>
      <c r="D369" s="169"/>
      <c r="E369" s="169"/>
    </row>
    <row r="370" spans="1:5" x14ac:dyDescent="0.25">
      <c r="A370" s="67"/>
      <c r="B370" s="168"/>
      <c r="C370" s="169"/>
      <c r="D370" s="169"/>
      <c r="E370" s="169"/>
    </row>
    <row r="371" spans="1:5" x14ac:dyDescent="0.25">
      <c r="A371" s="67"/>
      <c r="B371" s="168"/>
      <c r="C371" s="169"/>
      <c r="D371" s="169"/>
      <c r="E371" s="169"/>
    </row>
    <row r="372" spans="1:5" x14ac:dyDescent="0.25">
      <c r="A372" s="67"/>
      <c r="B372" s="168"/>
      <c r="C372" s="169"/>
      <c r="D372" s="169"/>
      <c r="E372" s="169"/>
    </row>
    <row r="373" spans="1:5" x14ac:dyDescent="0.25">
      <c r="A373" s="67"/>
      <c r="B373" s="168"/>
      <c r="C373" s="169"/>
      <c r="D373" s="169"/>
      <c r="E373" s="169"/>
    </row>
    <row r="374" spans="1:5" x14ac:dyDescent="0.25">
      <c r="A374" s="67"/>
      <c r="B374" s="168"/>
      <c r="C374" s="169"/>
      <c r="D374" s="169"/>
      <c r="E374" s="169"/>
    </row>
    <row r="375" spans="1:5" x14ac:dyDescent="0.25">
      <c r="A375" s="67"/>
      <c r="B375" s="168"/>
      <c r="C375" s="169"/>
      <c r="D375" s="169"/>
      <c r="E375" s="169"/>
    </row>
    <row r="376" spans="1:5" x14ac:dyDescent="0.25">
      <c r="A376" s="67"/>
      <c r="B376" s="168"/>
      <c r="C376" s="169"/>
      <c r="D376" s="169"/>
      <c r="E376" s="169"/>
    </row>
    <row r="377" spans="1:5" x14ac:dyDescent="0.25">
      <c r="A377" s="67"/>
      <c r="B377" s="168"/>
      <c r="C377" s="169"/>
      <c r="D377" s="169"/>
      <c r="E377" s="169"/>
    </row>
    <row r="378" spans="1:5" x14ac:dyDescent="0.25">
      <c r="A378" s="67"/>
      <c r="B378" s="168"/>
      <c r="C378" s="169"/>
      <c r="D378" s="169"/>
      <c r="E378" s="169"/>
    </row>
    <row r="379" spans="1:5" x14ac:dyDescent="0.25">
      <c r="A379" s="67"/>
      <c r="B379" s="168"/>
      <c r="C379" s="169"/>
      <c r="D379" s="169"/>
      <c r="E379" s="169"/>
    </row>
    <row r="380" spans="1:5" x14ac:dyDescent="0.25">
      <c r="A380" s="67"/>
      <c r="B380" s="168"/>
      <c r="C380" s="169"/>
      <c r="D380" s="169"/>
      <c r="E380" s="169"/>
    </row>
    <row r="381" spans="1:5" x14ac:dyDescent="0.25">
      <c r="A381" s="67"/>
      <c r="B381" s="168"/>
      <c r="C381" s="169"/>
      <c r="D381" s="169"/>
      <c r="E381" s="169"/>
    </row>
    <row r="382" spans="1:5" x14ac:dyDescent="0.25">
      <c r="A382" s="67"/>
      <c r="B382" s="168"/>
      <c r="C382" s="169"/>
      <c r="D382" s="169"/>
      <c r="E382" s="169"/>
    </row>
    <row r="383" spans="1:5" x14ac:dyDescent="0.25">
      <c r="A383" s="67"/>
      <c r="B383" s="168"/>
      <c r="C383" s="169"/>
      <c r="D383" s="169"/>
      <c r="E383" s="169"/>
    </row>
    <row r="384" spans="1:5" x14ac:dyDescent="0.25">
      <c r="A384" s="67"/>
      <c r="B384" s="168"/>
      <c r="C384" s="169"/>
      <c r="D384" s="169"/>
      <c r="E384" s="169"/>
    </row>
    <row r="385" spans="1:5" x14ac:dyDescent="0.25">
      <c r="A385" s="67"/>
      <c r="B385" s="168"/>
      <c r="C385" s="169"/>
      <c r="D385" s="169"/>
      <c r="E385" s="169"/>
    </row>
    <row r="386" spans="1:5" x14ac:dyDescent="0.25">
      <c r="A386" s="67"/>
      <c r="B386" s="168"/>
      <c r="C386" s="169"/>
      <c r="D386" s="169"/>
      <c r="E386" s="169"/>
    </row>
    <row r="387" spans="1:5" x14ac:dyDescent="0.25">
      <c r="A387" s="67"/>
      <c r="B387" s="168"/>
      <c r="C387" s="169"/>
      <c r="D387" s="169"/>
      <c r="E387" s="169"/>
    </row>
    <row r="388" spans="1:5" x14ac:dyDescent="0.25">
      <c r="A388" s="67"/>
      <c r="B388" s="168"/>
      <c r="C388" s="169"/>
      <c r="D388" s="169"/>
      <c r="E388" s="169"/>
    </row>
    <row r="389" spans="1:5" x14ac:dyDescent="0.25">
      <c r="A389" s="67"/>
      <c r="B389" s="168"/>
      <c r="C389" s="169"/>
      <c r="D389" s="169"/>
      <c r="E389" s="169"/>
    </row>
    <row r="390" spans="1:5" x14ac:dyDescent="0.25">
      <c r="A390" s="67"/>
      <c r="B390" s="168"/>
      <c r="C390" s="169"/>
      <c r="D390" s="169"/>
      <c r="E390" s="169"/>
    </row>
    <row r="391" spans="1:5" x14ac:dyDescent="0.25">
      <c r="A391" s="67"/>
      <c r="B391" s="168"/>
      <c r="C391" s="169"/>
      <c r="D391" s="169"/>
      <c r="E391" s="169"/>
    </row>
    <row r="392" spans="1:5" x14ac:dyDescent="0.25">
      <c r="A392" s="67"/>
      <c r="B392" s="168"/>
      <c r="C392" s="169"/>
      <c r="D392" s="169"/>
      <c r="E392" s="169"/>
    </row>
    <row r="393" spans="1:5" x14ac:dyDescent="0.25">
      <c r="A393" s="67"/>
      <c r="B393" s="168"/>
      <c r="C393" s="169"/>
      <c r="D393" s="169"/>
      <c r="E393" s="169"/>
    </row>
    <row r="394" spans="1:5" x14ac:dyDescent="0.25">
      <c r="A394" s="67"/>
      <c r="B394" s="168"/>
      <c r="C394" s="169"/>
      <c r="D394" s="169"/>
      <c r="E394" s="169"/>
    </row>
    <row r="395" spans="1:5" x14ac:dyDescent="0.25">
      <c r="A395" s="67"/>
      <c r="B395" s="168"/>
      <c r="C395" s="169"/>
      <c r="D395" s="169"/>
      <c r="E395" s="169"/>
    </row>
    <row r="396" spans="1:5" x14ac:dyDescent="0.25">
      <c r="A396" s="67"/>
      <c r="B396" s="168"/>
      <c r="C396" s="169"/>
      <c r="D396" s="169"/>
      <c r="E396" s="169"/>
    </row>
    <row r="397" spans="1:5" x14ac:dyDescent="0.25">
      <c r="A397" s="67"/>
      <c r="B397" s="168"/>
      <c r="C397" s="169"/>
      <c r="D397" s="169"/>
      <c r="E397" s="169"/>
    </row>
    <row r="398" spans="1:5" x14ac:dyDescent="0.25">
      <c r="A398" s="67"/>
      <c r="B398" s="168"/>
      <c r="C398" s="169"/>
      <c r="D398" s="169"/>
      <c r="E398" s="169"/>
    </row>
    <row r="399" spans="1:5" x14ac:dyDescent="0.25">
      <c r="A399" s="67"/>
      <c r="B399" s="168"/>
      <c r="C399" s="169"/>
      <c r="D399" s="169"/>
      <c r="E399" s="169"/>
    </row>
    <row r="400" spans="1:5" x14ac:dyDescent="0.25">
      <c r="A400" s="67"/>
      <c r="B400" s="168"/>
      <c r="C400" s="169"/>
      <c r="D400" s="169"/>
      <c r="E400" s="169"/>
    </row>
    <row r="401" spans="1:5" x14ac:dyDescent="0.25">
      <c r="A401" s="67"/>
      <c r="B401" s="168"/>
      <c r="C401" s="169"/>
      <c r="D401" s="169"/>
      <c r="E401" s="169"/>
    </row>
    <row r="402" spans="1:5" x14ac:dyDescent="0.25">
      <c r="A402" s="67"/>
      <c r="B402" s="168"/>
      <c r="C402" s="169"/>
      <c r="D402" s="169"/>
      <c r="E402" s="169"/>
    </row>
    <row r="403" spans="1:5" x14ac:dyDescent="0.25">
      <c r="A403" s="67"/>
      <c r="B403" s="168"/>
      <c r="C403" s="169"/>
      <c r="D403" s="169"/>
      <c r="E403" s="169"/>
    </row>
    <row r="404" spans="1:5" x14ac:dyDescent="0.25">
      <c r="A404" s="67"/>
      <c r="B404" s="168"/>
      <c r="C404" s="169"/>
      <c r="D404" s="169"/>
      <c r="E404" s="169"/>
    </row>
    <row r="405" spans="1:5" x14ac:dyDescent="0.25">
      <c r="A405" s="67"/>
      <c r="B405" s="168"/>
      <c r="C405" s="169"/>
      <c r="D405" s="169"/>
      <c r="E405" s="169"/>
    </row>
    <row r="406" spans="1:5" x14ac:dyDescent="0.25">
      <c r="A406" s="67"/>
      <c r="B406" s="168"/>
      <c r="C406" s="169"/>
      <c r="D406" s="169"/>
      <c r="E406" s="169"/>
    </row>
    <row r="407" spans="1:5" x14ac:dyDescent="0.25">
      <c r="A407" s="67"/>
      <c r="B407" s="168"/>
      <c r="C407" s="169"/>
      <c r="D407" s="169"/>
      <c r="E407" s="169"/>
    </row>
    <row r="408" spans="1:5" x14ac:dyDescent="0.25">
      <c r="A408" s="67"/>
      <c r="B408" s="168"/>
      <c r="C408" s="169"/>
      <c r="D408" s="169"/>
      <c r="E408" s="169"/>
    </row>
    <row r="409" spans="1:5" x14ac:dyDescent="0.25">
      <c r="A409" s="67"/>
      <c r="B409" s="168"/>
      <c r="C409" s="169"/>
      <c r="D409" s="169"/>
      <c r="E409" s="169"/>
    </row>
    <row r="410" spans="1:5" x14ac:dyDescent="0.25">
      <c r="A410" s="67"/>
      <c r="B410" s="168"/>
      <c r="C410" s="169"/>
      <c r="D410" s="169"/>
      <c r="E410" s="169"/>
    </row>
    <row r="411" spans="1:5" x14ac:dyDescent="0.25">
      <c r="A411" s="67"/>
      <c r="B411" s="168"/>
      <c r="C411" s="169"/>
      <c r="D411" s="169"/>
      <c r="E411" s="169"/>
    </row>
    <row r="412" spans="1:5" x14ac:dyDescent="0.25">
      <c r="A412" s="67"/>
      <c r="B412" s="168"/>
      <c r="C412" s="169"/>
      <c r="D412" s="169"/>
      <c r="E412" s="169"/>
    </row>
    <row r="413" spans="1:5" x14ac:dyDescent="0.25">
      <c r="A413" s="67"/>
      <c r="B413" s="168"/>
      <c r="C413" s="169"/>
      <c r="D413" s="169"/>
      <c r="E413" s="169"/>
    </row>
    <row r="414" spans="1:5" x14ac:dyDescent="0.25">
      <c r="A414" s="67"/>
      <c r="B414" s="168"/>
      <c r="C414" s="169"/>
      <c r="D414" s="169"/>
      <c r="E414" s="169"/>
    </row>
    <row r="415" spans="1:5" x14ac:dyDescent="0.25">
      <c r="A415" s="67"/>
      <c r="B415" s="168"/>
      <c r="C415" s="169"/>
      <c r="D415" s="169"/>
      <c r="E415" s="169"/>
    </row>
    <row r="416" spans="1:5" x14ac:dyDescent="0.25">
      <c r="A416" s="67"/>
      <c r="B416" s="168"/>
      <c r="C416" s="169"/>
      <c r="D416" s="169"/>
      <c r="E416" s="169"/>
    </row>
    <row r="417" spans="1:5" x14ac:dyDescent="0.25">
      <c r="A417" s="67"/>
      <c r="B417" s="168"/>
      <c r="C417" s="169"/>
      <c r="D417" s="169"/>
      <c r="E417" s="169"/>
    </row>
    <row r="418" spans="1:5" x14ac:dyDescent="0.25">
      <c r="A418" s="67"/>
      <c r="B418" s="168"/>
      <c r="C418" s="169"/>
      <c r="D418" s="169"/>
      <c r="E418" s="169"/>
    </row>
    <row r="419" spans="1:5" x14ac:dyDescent="0.25">
      <c r="A419" s="67"/>
      <c r="B419" s="168"/>
      <c r="C419" s="169"/>
      <c r="D419" s="169"/>
      <c r="E419" s="169"/>
    </row>
    <row r="420" spans="1:5" x14ac:dyDescent="0.25">
      <c r="A420" s="67"/>
      <c r="B420" s="168"/>
      <c r="C420" s="169"/>
      <c r="D420" s="169"/>
      <c r="E420" s="169"/>
    </row>
    <row r="421" spans="1:5" x14ac:dyDescent="0.25">
      <c r="A421" s="67"/>
      <c r="B421" s="168"/>
      <c r="C421" s="169"/>
      <c r="D421" s="169"/>
      <c r="E421" s="169"/>
    </row>
    <row r="422" spans="1:5" x14ac:dyDescent="0.25">
      <c r="A422" s="67"/>
      <c r="B422" s="168"/>
      <c r="C422" s="169"/>
      <c r="D422" s="169"/>
      <c r="E422" s="169"/>
    </row>
    <row r="423" spans="1:5" x14ac:dyDescent="0.25">
      <c r="A423" s="67"/>
      <c r="B423" s="168"/>
      <c r="C423" s="169"/>
      <c r="D423" s="169"/>
      <c r="E423" s="169"/>
    </row>
    <row r="424" spans="1:5" x14ac:dyDescent="0.25">
      <c r="A424" s="67"/>
      <c r="B424" s="168"/>
      <c r="C424" s="169"/>
      <c r="D424" s="169"/>
      <c r="E424" s="169"/>
    </row>
    <row r="425" spans="1:5" x14ac:dyDescent="0.25">
      <c r="A425" s="67"/>
      <c r="B425" s="168"/>
      <c r="C425" s="169"/>
      <c r="D425" s="169"/>
      <c r="E425" s="169"/>
    </row>
    <row r="426" spans="1:5" x14ac:dyDescent="0.25">
      <c r="A426" s="67"/>
      <c r="B426" s="168"/>
      <c r="C426" s="169"/>
      <c r="D426" s="169"/>
      <c r="E426" s="169"/>
    </row>
    <row r="427" spans="1:5" x14ac:dyDescent="0.25">
      <c r="A427" s="67"/>
      <c r="B427" s="168"/>
      <c r="C427" s="169"/>
      <c r="D427" s="169"/>
      <c r="E427" s="169"/>
    </row>
    <row r="428" spans="1:5" x14ac:dyDescent="0.25">
      <c r="A428" s="67"/>
      <c r="B428" s="168"/>
      <c r="C428" s="169"/>
      <c r="D428" s="169"/>
      <c r="E428" s="169"/>
    </row>
    <row r="429" spans="1:5" x14ac:dyDescent="0.25">
      <c r="A429" s="67"/>
      <c r="B429" s="168"/>
      <c r="C429" s="169"/>
      <c r="D429" s="169"/>
      <c r="E429" s="169"/>
    </row>
    <row r="430" spans="1:5" x14ac:dyDescent="0.25">
      <c r="A430" s="67"/>
      <c r="B430" s="168"/>
      <c r="C430" s="169"/>
      <c r="D430" s="169"/>
      <c r="E430" s="169"/>
    </row>
    <row r="431" spans="1:5" x14ac:dyDescent="0.25">
      <c r="A431" s="67"/>
      <c r="B431" s="168"/>
      <c r="C431" s="169"/>
      <c r="D431" s="169"/>
      <c r="E431" s="169"/>
    </row>
    <row r="432" spans="1:5" x14ac:dyDescent="0.25">
      <c r="A432" s="67"/>
      <c r="B432" s="168"/>
      <c r="C432" s="169"/>
      <c r="D432" s="169"/>
      <c r="E432" s="169"/>
    </row>
    <row r="433" spans="1:5" x14ac:dyDescent="0.25">
      <c r="A433" s="67"/>
      <c r="B433" s="168"/>
      <c r="C433" s="169"/>
      <c r="D433" s="169"/>
      <c r="E433" s="169"/>
    </row>
    <row r="434" spans="1:5" x14ac:dyDescent="0.25">
      <c r="A434" s="67"/>
      <c r="B434" s="168"/>
      <c r="C434" s="169"/>
      <c r="D434" s="169"/>
      <c r="E434" s="169"/>
    </row>
    <row r="435" spans="1:5" x14ac:dyDescent="0.25">
      <c r="A435" s="67"/>
      <c r="B435" s="168"/>
      <c r="C435" s="169"/>
      <c r="D435" s="169"/>
      <c r="E435" s="169"/>
    </row>
    <row r="436" spans="1:5" x14ac:dyDescent="0.25">
      <c r="A436" s="67"/>
      <c r="B436" s="168"/>
      <c r="C436" s="169"/>
      <c r="D436" s="169"/>
      <c r="E436" s="169"/>
    </row>
    <row r="437" spans="1:5" x14ac:dyDescent="0.25">
      <c r="A437" s="67"/>
      <c r="B437" s="168"/>
      <c r="C437" s="169"/>
      <c r="D437" s="169"/>
      <c r="E437" s="169"/>
    </row>
    <row r="438" spans="1:5" x14ac:dyDescent="0.25">
      <c r="A438" s="67"/>
      <c r="B438" s="168"/>
      <c r="C438" s="169"/>
      <c r="D438" s="169"/>
      <c r="E438" s="169"/>
    </row>
    <row r="439" spans="1:5" x14ac:dyDescent="0.25">
      <c r="A439" s="67"/>
      <c r="B439" s="168"/>
      <c r="C439" s="169"/>
      <c r="D439" s="169"/>
      <c r="E439" s="169"/>
    </row>
    <row r="440" spans="1:5" x14ac:dyDescent="0.25">
      <c r="A440" s="67"/>
      <c r="B440" s="168"/>
      <c r="C440" s="169"/>
      <c r="D440" s="169"/>
      <c r="E440" s="169"/>
    </row>
    <row r="441" spans="1:5" x14ac:dyDescent="0.25">
      <c r="A441" s="67"/>
      <c r="B441" s="168"/>
      <c r="C441" s="169"/>
      <c r="D441" s="169"/>
      <c r="E441" s="169"/>
    </row>
    <row r="442" spans="1:5" x14ac:dyDescent="0.25">
      <c r="A442" s="67"/>
      <c r="B442" s="168"/>
      <c r="C442" s="169"/>
      <c r="D442" s="169"/>
      <c r="E442" s="169"/>
    </row>
    <row r="443" spans="1:5" x14ac:dyDescent="0.25">
      <c r="A443" s="67"/>
      <c r="B443" s="168"/>
      <c r="C443" s="169"/>
      <c r="D443" s="169"/>
      <c r="E443" s="169"/>
    </row>
    <row r="444" spans="1:5" x14ac:dyDescent="0.25">
      <c r="A444" s="67"/>
      <c r="B444" s="168"/>
      <c r="C444" s="169"/>
      <c r="D444" s="169"/>
      <c r="E444" s="169"/>
    </row>
    <row r="445" spans="1:5" x14ac:dyDescent="0.25">
      <c r="A445" s="67"/>
      <c r="B445" s="168"/>
      <c r="C445" s="169"/>
      <c r="D445" s="169"/>
      <c r="E445" s="169"/>
    </row>
    <row r="446" spans="1:5" x14ac:dyDescent="0.25">
      <c r="A446" s="67"/>
      <c r="B446" s="168"/>
      <c r="C446" s="169"/>
      <c r="D446" s="169"/>
      <c r="E446" s="169"/>
    </row>
    <row r="447" spans="1:5" x14ac:dyDescent="0.25">
      <c r="A447" s="67"/>
      <c r="B447" s="168"/>
      <c r="C447" s="169"/>
      <c r="D447" s="169"/>
      <c r="E447" s="169"/>
    </row>
    <row r="448" spans="1:5" x14ac:dyDescent="0.25">
      <c r="A448" s="67"/>
      <c r="B448" s="168"/>
      <c r="C448" s="169"/>
      <c r="D448" s="169"/>
      <c r="E448" s="169"/>
    </row>
    <row r="449" spans="1:5" x14ac:dyDescent="0.25">
      <c r="A449" s="67"/>
      <c r="B449" s="168"/>
      <c r="C449" s="169"/>
      <c r="D449" s="169"/>
      <c r="E449" s="169"/>
    </row>
    <row r="450" spans="1:5" x14ac:dyDescent="0.25">
      <c r="A450" s="67"/>
      <c r="B450" s="168"/>
      <c r="C450" s="169"/>
      <c r="D450" s="169"/>
      <c r="E450" s="169"/>
    </row>
    <row r="451" spans="1:5" x14ac:dyDescent="0.25">
      <c r="A451" s="67"/>
      <c r="B451" s="168"/>
      <c r="C451" s="169"/>
      <c r="D451" s="169"/>
      <c r="E451" s="169"/>
    </row>
    <row r="452" spans="1:5" x14ac:dyDescent="0.25">
      <c r="A452" s="67"/>
      <c r="B452" s="168"/>
      <c r="C452" s="169"/>
      <c r="D452" s="169"/>
      <c r="E452" s="169"/>
    </row>
    <row r="453" spans="1:5" x14ac:dyDescent="0.25">
      <c r="A453" s="67"/>
      <c r="B453" s="168"/>
      <c r="C453" s="169"/>
      <c r="D453" s="169"/>
      <c r="E453" s="169"/>
    </row>
    <row r="454" spans="1:5" x14ac:dyDescent="0.25">
      <c r="A454" s="67"/>
      <c r="B454" s="168"/>
      <c r="C454" s="169"/>
      <c r="D454" s="169"/>
      <c r="E454" s="169"/>
    </row>
    <row r="455" spans="1:5" x14ac:dyDescent="0.25">
      <c r="A455" s="67"/>
      <c r="B455" s="168"/>
      <c r="C455" s="169"/>
      <c r="D455" s="169"/>
      <c r="E455" s="169"/>
    </row>
    <row r="456" spans="1:5" x14ac:dyDescent="0.25">
      <c r="A456" s="67"/>
      <c r="B456" s="168"/>
      <c r="C456" s="169"/>
      <c r="D456" s="169"/>
      <c r="E456" s="169"/>
    </row>
    <row r="457" spans="1:5" x14ac:dyDescent="0.25">
      <c r="A457" s="67"/>
      <c r="B457" s="168"/>
      <c r="C457" s="169"/>
      <c r="D457" s="169"/>
      <c r="E457" s="169"/>
    </row>
    <row r="458" spans="1:5" x14ac:dyDescent="0.25">
      <c r="A458" s="67"/>
      <c r="B458" s="168"/>
      <c r="C458" s="169"/>
      <c r="D458" s="169"/>
      <c r="E458" s="169"/>
    </row>
    <row r="459" spans="1:5" x14ac:dyDescent="0.25">
      <c r="A459" s="67"/>
      <c r="B459" s="168"/>
      <c r="C459" s="169"/>
      <c r="D459" s="169"/>
      <c r="E459" s="169"/>
    </row>
    <row r="460" spans="1:5" x14ac:dyDescent="0.25">
      <c r="A460" s="67"/>
      <c r="B460" s="168"/>
      <c r="C460" s="169"/>
      <c r="D460" s="169"/>
      <c r="E460" s="169"/>
    </row>
    <row r="461" spans="1:5" x14ac:dyDescent="0.25">
      <c r="A461" s="67"/>
      <c r="B461" s="168"/>
      <c r="C461" s="169"/>
      <c r="D461" s="169"/>
      <c r="E461" s="169"/>
    </row>
    <row r="462" spans="1:5" x14ac:dyDescent="0.25">
      <c r="A462" s="67"/>
      <c r="B462" s="168"/>
      <c r="C462" s="169"/>
      <c r="D462" s="169"/>
      <c r="E462" s="169"/>
    </row>
    <row r="463" spans="1:5" x14ac:dyDescent="0.25">
      <c r="A463" s="67"/>
      <c r="B463" s="168"/>
      <c r="C463" s="169"/>
      <c r="D463" s="169"/>
      <c r="E463" s="169"/>
    </row>
    <row r="464" spans="1:5" x14ac:dyDescent="0.25">
      <c r="A464" s="67"/>
      <c r="B464" s="168"/>
      <c r="C464" s="169"/>
      <c r="D464" s="169"/>
      <c r="E464" s="169"/>
    </row>
    <row r="465" spans="1:5" x14ac:dyDescent="0.25">
      <c r="A465" s="67"/>
      <c r="B465" s="168"/>
      <c r="C465" s="169"/>
      <c r="D465" s="169"/>
      <c r="E465" s="169"/>
    </row>
    <row r="466" spans="1:5" x14ac:dyDescent="0.25">
      <c r="A466" s="67"/>
      <c r="B466" s="168"/>
      <c r="C466" s="169"/>
      <c r="D466" s="169"/>
      <c r="E466" s="169"/>
    </row>
    <row r="467" spans="1:5" x14ac:dyDescent="0.25">
      <c r="A467" s="67"/>
      <c r="B467" s="168"/>
      <c r="C467" s="169"/>
      <c r="D467" s="169"/>
      <c r="E467" s="169"/>
    </row>
    <row r="468" spans="1:5" x14ac:dyDescent="0.25">
      <c r="A468" s="67"/>
      <c r="B468" s="168"/>
      <c r="C468" s="169"/>
      <c r="D468" s="169"/>
      <c r="E468" s="169"/>
    </row>
    <row r="469" spans="1:5" x14ac:dyDescent="0.25">
      <c r="A469" s="67"/>
      <c r="B469" s="168"/>
      <c r="C469" s="169"/>
      <c r="D469" s="169"/>
      <c r="E469" s="169"/>
    </row>
    <row r="470" spans="1:5" x14ac:dyDescent="0.25">
      <c r="A470" s="67"/>
      <c r="B470" s="168"/>
      <c r="C470" s="169"/>
      <c r="D470" s="169"/>
      <c r="E470" s="169"/>
    </row>
    <row r="471" spans="1:5" x14ac:dyDescent="0.25">
      <c r="A471" s="67"/>
      <c r="B471" s="168"/>
      <c r="C471" s="169"/>
      <c r="D471" s="169"/>
      <c r="E471" s="169"/>
    </row>
    <row r="472" spans="1:5" x14ac:dyDescent="0.25">
      <c r="A472" s="67"/>
      <c r="B472" s="168"/>
      <c r="C472" s="169"/>
      <c r="D472" s="169"/>
      <c r="E472" s="169"/>
    </row>
    <row r="473" spans="1:5" x14ac:dyDescent="0.25">
      <c r="A473" s="67"/>
      <c r="B473" s="168"/>
      <c r="C473" s="169"/>
      <c r="D473" s="169"/>
      <c r="E473" s="169"/>
    </row>
    <row r="474" spans="1:5" x14ac:dyDescent="0.25">
      <c r="A474" s="67"/>
      <c r="B474" s="168"/>
      <c r="C474" s="169"/>
      <c r="D474" s="169"/>
      <c r="E474" s="169"/>
    </row>
    <row r="475" spans="1:5" x14ac:dyDescent="0.25">
      <c r="A475" s="67"/>
      <c r="B475" s="168"/>
      <c r="C475" s="169"/>
      <c r="D475" s="169"/>
      <c r="E475" s="169"/>
    </row>
    <row r="476" spans="1:5" x14ac:dyDescent="0.25">
      <c r="A476" s="67"/>
      <c r="B476" s="168"/>
      <c r="C476" s="169"/>
      <c r="D476" s="169"/>
      <c r="E476" s="169"/>
    </row>
    <row r="477" spans="1:5" x14ac:dyDescent="0.25">
      <c r="A477" s="67"/>
      <c r="B477" s="168"/>
      <c r="C477" s="169"/>
      <c r="D477" s="169"/>
      <c r="E477" s="169"/>
    </row>
    <row r="478" spans="1:5" x14ac:dyDescent="0.25">
      <c r="A478" s="67"/>
      <c r="B478" s="168"/>
      <c r="C478" s="169"/>
      <c r="D478" s="169"/>
      <c r="E478" s="169"/>
    </row>
    <row r="479" spans="1:5" x14ac:dyDescent="0.25">
      <c r="A479" s="67"/>
      <c r="B479" s="168"/>
      <c r="C479" s="169"/>
      <c r="D479" s="169"/>
      <c r="E479" s="169"/>
    </row>
    <row r="480" spans="1:5" x14ac:dyDescent="0.25">
      <c r="A480" s="67"/>
      <c r="B480" s="168"/>
      <c r="C480" s="169"/>
      <c r="D480" s="169"/>
      <c r="E480" s="169"/>
    </row>
    <row r="481" spans="1:5" x14ac:dyDescent="0.25">
      <c r="A481" s="67"/>
      <c r="B481" s="168"/>
      <c r="C481" s="169"/>
      <c r="D481" s="169"/>
      <c r="E481" s="169"/>
    </row>
    <row r="482" spans="1:5" x14ac:dyDescent="0.25">
      <c r="A482" s="67"/>
      <c r="B482" s="168"/>
      <c r="C482" s="169"/>
      <c r="D482" s="169"/>
      <c r="E482" s="169"/>
    </row>
    <row r="483" spans="1:5" x14ac:dyDescent="0.25">
      <c r="A483" s="67"/>
      <c r="B483" s="168"/>
      <c r="C483" s="169"/>
      <c r="D483" s="169"/>
      <c r="E483" s="169"/>
    </row>
    <row r="484" spans="1:5" x14ac:dyDescent="0.25">
      <c r="A484" s="67"/>
      <c r="B484" s="168"/>
      <c r="C484" s="169"/>
      <c r="D484" s="169"/>
      <c r="E484" s="169"/>
    </row>
    <row r="485" spans="1:5" x14ac:dyDescent="0.25">
      <c r="A485" s="67"/>
      <c r="B485" s="168"/>
      <c r="C485" s="169"/>
      <c r="D485" s="169"/>
      <c r="E485" s="169"/>
    </row>
    <row r="486" spans="1:5" x14ac:dyDescent="0.25">
      <c r="A486" s="67"/>
      <c r="B486" s="168"/>
      <c r="C486" s="169"/>
      <c r="D486" s="169"/>
      <c r="E486" s="169"/>
    </row>
    <row r="487" spans="1:5" x14ac:dyDescent="0.25">
      <c r="A487" s="67"/>
      <c r="B487" s="168"/>
      <c r="C487" s="169"/>
      <c r="D487" s="169"/>
      <c r="E487" s="169"/>
    </row>
    <row r="488" spans="1:5" x14ac:dyDescent="0.25">
      <c r="A488" s="67"/>
      <c r="B488" s="168"/>
      <c r="C488" s="169"/>
      <c r="D488" s="169"/>
      <c r="E488" s="169"/>
    </row>
    <row r="489" spans="1:5" x14ac:dyDescent="0.25">
      <c r="A489" s="67"/>
      <c r="B489" s="168"/>
      <c r="C489" s="169"/>
      <c r="D489" s="169"/>
      <c r="E489" s="169"/>
    </row>
    <row r="490" spans="1:5" x14ac:dyDescent="0.25">
      <c r="A490" s="67"/>
      <c r="B490" s="168"/>
      <c r="C490" s="169"/>
      <c r="D490" s="169"/>
      <c r="E490" s="169"/>
    </row>
    <row r="491" spans="1:5" x14ac:dyDescent="0.25">
      <c r="A491" s="67"/>
      <c r="B491" s="168"/>
      <c r="C491" s="169"/>
      <c r="D491" s="169"/>
      <c r="E491" s="169"/>
    </row>
    <row r="492" spans="1:5" x14ac:dyDescent="0.25">
      <c r="A492" s="67"/>
      <c r="B492" s="168"/>
      <c r="C492" s="169"/>
      <c r="D492" s="169"/>
      <c r="E492" s="169"/>
    </row>
    <row r="493" spans="1:5" x14ac:dyDescent="0.25">
      <c r="A493" s="67"/>
      <c r="B493" s="168"/>
      <c r="C493" s="169"/>
      <c r="D493" s="169"/>
      <c r="E493" s="169"/>
    </row>
    <row r="494" spans="1:5" x14ac:dyDescent="0.25">
      <c r="A494" s="67"/>
      <c r="B494" s="168"/>
      <c r="C494" s="169"/>
      <c r="D494" s="169"/>
      <c r="E494" s="169"/>
    </row>
    <row r="495" spans="1:5" x14ac:dyDescent="0.25">
      <c r="A495" s="67"/>
      <c r="B495" s="168"/>
      <c r="C495" s="169"/>
      <c r="D495" s="169"/>
      <c r="E495" s="169"/>
    </row>
    <row r="496" spans="1:5" x14ac:dyDescent="0.25">
      <c r="A496" s="67"/>
      <c r="B496" s="168"/>
      <c r="C496" s="169"/>
      <c r="D496" s="169"/>
      <c r="E496" s="169"/>
    </row>
    <row r="497" spans="1:5" x14ac:dyDescent="0.25">
      <c r="A497" s="67"/>
      <c r="B497" s="168"/>
      <c r="C497" s="169"/>
      <c r="D497" s="169"/>
      <c r="E497" s="169"/>
    </row>
    <row r="498" spans="1:5" x14ac:dyDescent="0.25">
      <c r="A498" s="67"/>
      <c r="B498" s="168"/>
      <c r="C498" s="169"/>
      <c r="D498" s="169"/>
      <c r="E498" s="169"/>
    </row>
    <row r="499" spans="1:5" x14ac:dyDescent="0.25">
      <c r="A499" s="67"/>
      <c r="B499" s="168"/>
      <c r="C499" s="169"/>
      <c r="D499" s="169"/>
      <c r="E499" s="169"/>
    </row>
    <row r="500" spans="1:5" x14ac:dyDescent="0.25">
      <c r="A500" s="67"/>
      <c r="B500" s="168"/>
      <c r="C500" s="169"/>
      <c r="D500" s="169"/>
      <c r="E500" s="169"/>
    </row>
    <row r="501" spans="1:5" x14ac:dyDescent="0.25">
      <c r="A501" s="67"/>
      <c r="B501" s="168"/>
      <c r="C501" s="169"/>
      <c r="D501" s="169"/>
      <c r="E501" s="169"/>
    </row>
    <row r="502" spans="1:5" x14ac:dyDescent="0.25">
      <c r="A502" s="67"/>
      <c r="B502" s="168"/>
      <c r="C502" s="169"/>
      <c r="D502" s="169"/>
      <c r="E502" s="169"/>
    </row>
    <row r="503" spans="1:5" x14ac:dyDescent="0.25">
      <c r="A503" s="67"/>
      <c r="B503" s="168"/>
      <c r="C503" s="169"/>
      <c r="D503" s="169"/>
      <c r="E503" s="169"/>
    </row>
    <row r="504" spans="1:5" x14ac:dyDescent="0.25">
      <c r="A504" s="67"/>
      <c r="B504" s="168"/>
      <c r="C504" s="169"/>
      <c r="D504" s="169"/>
      <c r="E504" s="169"/>
    </row>
    <row r="505" spans="1:5" x14ac:dyDescent="0.25">
      <c r="A505" s="67"/>
      <c r="B505" s="168"/>
      <c r="C505" s="169"/>
      <c r="D505" s="169"/>
      <c r="E505" s="169"/>
    </row>
    <row r="506" spans="1:5" x14ac:dyDescent="0.25">
      <c r="A506" s="67"/>
      <c r="B506" s="168"/>
      <c r="C506" s="169"/>
      <c r="D506" s="169"/>
      <c r="E506" s="169"/>
    </row>
    <row r="507" spans="1:5" x14ac:dyDescent="0.25">
      <c r="A507" s="67"/>
      <c r="B507" s="168"/>
      <c r="C507" s="169"/>
      <c r="D507" s="169"/>
      <c r="E507" s="169"/>
    </row>
    <row r="508" spans="1:5" x14ac:dyDescent="0.25">
      <c r="A508" s="67"/>
      <c r="B508" s="168"/>
      <c r="C508" s="169"/>
      <c r="D508" s="169"/>
      <c r="E508" s="169"/>
    </row>
    <row r="509" spans="1:5" x14ac:dyDescent="0.25">
      <c r="A509" s="67"/>
      <c r="B509" s="168"/>
      <c r="C509" s="169"/>
      <c r="D509" s="169"/>
      <c r="E509" s="169"/>
    </row>
    <row r="510" spans="1:5" x14ac:dyDescent="0.25">
      <c r="A510" s="67"/>
      <c r="B510" s="168"/>
      <c r="C510" s="169"/>
      <c r="D510" s="169"/>
      <c r="E510" s="169"/>
    </row>
    <row r="511" spans="1:5" x14ac:dyDescent="0.25">
      <c r="A511" s="67"/>
      <c r="B511" s="168"/>
      <c r="C511" s="169"/>
      <c r="D511" s="169"/>
      <c r="E511" s="169"/>
    </row>
    <row r="512" spans="1:5" x14ac:dyDescent="0.25">
      <c r="A512" s="67"/>
      <c r="B512" s="168"/>
      <c r="C512" s="169"/>
      <c r="D512" s="169"/>
      <c r="E512" s="169"/>
    </row>
    <row r="513" spans="1:5" x14ac:dyDescent="0.25">
      <c r="A513" s="67"/>
      <c r="B513" s="168"/>
      <c r="C513" s="169"/>
      <c r="D513" s="169"/>
      <c r="E513" s="169"/>
    </row>
    <row r="514" spans="1:5" x14ac:dyDescent="0.25">
      <c r="A514" s="67"/>
      <c r="B514" s="168"/>
      <c r="C514" s="169"/>
      <c r="D514" s="169"/>
      <c r="E514" s="169"/>
    </row>
    <row r="515" spans="1:5" x14ac:dyDescent="0.25">
      <c r="A515" s="67"/>
      <c r="B515" s="168"/>
      <c r="C515" s="169"/>
      <c r="D515" s="169"/>
      <c r="E515" s="169"/>
    </row>
    <row r="516" spans="1:5" x14ac:dyDescent="0.25">
      <c r="A516" s="67"/>
      <c r="B516" s="168"/>
      <c r="C516" s="169"/>
      <c r="D516" s="169"/>
      <c r="E516" s="169"/>
    </row>
    <row r="517" spans="1:5" x14ac:dyDescent="0.25">
      <c r="A517" s="67"/>
      <c r="B517" s="168"/>
      <c r="C517" s="169"/>
      <c r="D517" s="169"/>
      <c r="E517" s="169"/>
    </row>
    <row r="518" spans="1:5" x14ac:dyDescent="0.25">
      <c r="A518" s="67"/>
      <c r="B518" s="168"/>
      <c r="C518" s="169"/>
      <c r="D518" s="169"/>
      <c r="E518" s="169"/>
    </row>
    <row r="519" spans="1:5" x14ac:dyDescent="0.25">
      <c r="A519" s="67"/>
      <c r="B519" s="168"/>
      <c r="C519" s="169"/>
      <c r="D519" s="169"/>
      <c r="E519" s="169"/>
    </row>
    <row r="520" spans="1:5" x14ac:dyDescent="0.25">
      <c r="A520" s="67"/>
      <c r="B520" s="168"/>
      <c r="C520" s="169"/>
      <c r="D520" s="169"/>
      <c r="E520" s="169"/>
    </row>
    <row r="521" spans="1:5" x14ac:dyDescent="0.25">
      <c r="A521" s="67"/>
      <c r="B521" s="168"/>
      <c r="C521" s="169"/>
      <c r="D521" s="169"/>
      <c r="E521" s="169"/>
    </row>
    <row r="522" spans="1:5" x14ac:dyDescent="0.25">
      <c r="A522" s="67"/>
      <c r="B522" s="168"/>
      <c r="C522" s="169"/>
      <c r="D522" s="169"/>
      <c r="E522" s="169"/>
    </row>
    <row r="523" spans="1:5" x14ac:dyDescent="0.25">
      <c r="A523" s="67"/>
      <c r="B523" s="168"/>
      <c r="C523" s="169"/>
      <c r="D523" s="169"/>
      <c r="E523" s="169"/>
    </row>
    <row r="524" spans="1:5" x14ac:dyDescent="0.25">
      <c r="A524" s="67"/>
      <c r="B524" s="168"/>
      <c r="C524" s="169"/>
      <c r="D524" s="169"/>
      <c r="E524" s="169"/>
    </row>
    <row r="525" spans="1:5" x14ac:dyDescent="0.25">
      <c r="A525" s="67"/>
      <c r="B525" s="168"/>
      <c r="C525" s="169"/>
      <c r="D525" s="169"/>
      <c r="E525" s="169"/>
    </row>
    <row r="526" spans="1:5" x14ac:dyDescent="0.25">
      <c r="A526" s="67"/>
      <c r="B526" s="168"/>
      <c r="C526" s="169"/>
      <c r="D526" s="169"/>
      <c r="E526" s="169"/>
    </row>
    <row r="527" spans="1:5" x14ac:dyDescent="0.25">
      <c r="A527" s="67"/>
      <c r="B527" s="168"/>
      <c r="C527" s="169"/>
      <c r="D527" s="169"/>
      <c r="E527" s="169"/>
    </row>
    <row r="528" spans="1:5" x14ac:dyDescent="0.25">
      <c r="A528" s="67"/>
      <c r="B528" s="168"/>
      <c r="C528" s="169"/>
      <c r="D528" s="169"/>
      <c r="E528" s="169"/>
    </row>
    <row r="529" spans="1:5" x14ac:dyDescent="0.25">
      <c r="A529" s="67"/>
      <c r="B529" s="168"/>
      <c r="C529" s="169"/>
      <c r="D529" s="169"/>
      <c r="E529" s="169"/>
    </row>
    <row r="530" spans="1:5" x14ac:dyDescent="0.25">
      <c r="A530" s="67"/>
      <c r="B530" s="168"/>
      <c r="C530" s="169"/>
      <c r="D530" s="169"/>
      <c r="E530" s="169"/>
    </row>
    <row r="531" spans="1:5" x14ac:dyDescent="0.25">
      <c r="A531" s="67"/>
      <c r="B531" s="168"/>
      <c r="C531" s="169"/>
      <c r="D531" s="169"/>
      <c r="E531" s="169"/>
    </row>
    <row r="532" spans="1:5" x14ac:dyDescent="0.25">
      <c r="A532" s="67"/>
      <c r="B532" s="168"/>
      <c r="C532" s="169"/>
      <c r="D532" s="169"/>
      <c r="E532" s="169"/>
    </row>
    <row r="533" spans="1:5" x14ac:dyDescent="0.25">
      <c r="A533" s="67"/>
      <c r="B533" s="168"/>
      <c r="C533" s="169"/>
      <c r="D533" s="169"/>
      <c r="E533" s="169"/>
    </row>
    <row r="534" spans="1:5" x14ac:dyDescent="0.25">
      <c r="A534" s="67"/>
      <c r="B534" s="168"/>
      <c r="C534" s="169"/>
      <c r="D534" s="169"/>
      <c r="E534" s="169"/>
    </row>
    <row r="535" spans="1:5" x14ac:dyDescent="0.25">
      <c r="A535" s="67"/>
      <c r="B535" s="168"/>
      <c r="C535" s="169"/>
      <c r="D535" s="169"/>
      <c r="E535" s="169"/>
    </row>
    <row r="536" spans="1:5" x14ac:dyDescent="0.25">
      <c r="A536" s="67"/>
      <c r="B536" s="168"/>
      <c r="C536" s="169"/>
      <c r="D536" s="169"/>
      <c r="E536" s="169"/>
    </row>
    <row r="537" spans="1:5" x14ac:dyDescent="0.25">
      <c r="A537" s="67"/>
      <c r="B537" s="168"/>
      <c r="C537" s="169"/>
      <c r="D537" s="169"/>
      <c r="E537" s="169"/>
    </row>
    <row r="538" spans="1:5" x14ac:dyDescent="0.25">
      <c r="A538" s="67"/>
      <c r="B538" s="168"/>
      <c r="C538" s="169"/>
      <c r="D538" s="169"/>
      <c r="E538" s="169"/>
    </row>
    <row r="539" spans="1:5" x14ac:dyDescent="0.25">
      <c r="A539" s="67"/>
      <c r="B539" s="168"/>
      <c r="C539" s="169"/>
      <c r="D539" s="169"/>
      <c r="E539" s="169"/>
    </row>
    <row r="540" spans="1:5" x14ac:dyDescent="0.25">
      <c r="A540" s="67"/>
      <c r="B540" s="168"/>
      <c r="C540" s="169"/>
      <c r="D540" s="169"/>
      <c r="E540" s="169"/>
    </row>
    <row r="541" spans="1:5" x14ac:dyDescent="0.25">
      <c r="A541" s="67"/>
      <c r="B541" s="168"/>
      <c r="C541" s="169"/>
      <c r="D541" s="169"/>
      <c r="E541" s="169"/>
    </row>
    <row r="542" spans="1:5" x14ac:dyDescent="0.25">
      <c r="A542" s="67"/>
      <c r="B542" s="168"/>
      <c r="C542" s="169"/>
      <c r="D542" s="169"/>
      <c r="E542" s="169"/>
    </row>
    <row r="543" spans="1:5" x14ac:dyDescent="0.25">
      <c r="A543" s="67"/>
      <c r="B543" s="168"/>
      <c r="C543" s="169"/>
      <c r="D543" s="169"/>
      <c r="E543" s="169"/>
    </row>
    <row r="544" spans="1:5" x14ac:dyDescent="0.25">
      <c r="A544" s="67"/>
      <c r="B544" s="168"/>
      <c r="C544" s="169"/>
      <c r="D544" s="169"/>
      <c r="E544" s="169"/>
    </row>
    <row r="545" spans="1:5" x14ac:dyDescent="0.25">
      <c r="A545" s="67"/>
      <c r="B545" s="168"/>
      <c r="C545" s="169"/>
      <c r="D545" s="169"/>
      <c r="E545" s="169"/>
    </row>
    <row r="546" spans="1:5" x14ac:dyDescent="0.25">
      <c r="A546" s="67"/>
      <c r="B546" s="168"/>
      <c r="C546" s="169"/>
      <c r="D546" s="169"/>
      <c r="E546" s="169"/>
    </row>
    <row r="547" spans="1:5" x14ac:dyDescent="0.25">
      <c r="A547" s="67"/>
      <c r="B547" s="168"/>
      <c r="C547" s="169"/>
      <c r="D547" s="169"/>
      <c r="E547" s="169"/>
    </row>
    <row r="548" spans="1:5" x14ac:dyDescent="0.25">
      <c r="A548" s="67"/>
      <c r="B548" s="168"/>
      <c r="C548" s="169"/>
      <c r="D548" s="169"/>
      <c r="E548" s="169"/>
    </row>
    <row r="549" spans="1:5" x14ac:dyDescent="0.25">
      <c r="A549" s="67"/>
      <c r="B549" s="168"/>
      <c r="C549" s="169"/>
      <c r="D549" s="169"/>
      <c r="E549" s="169"/>
    </row>
    <row r="550" spans="1:5" x14ac:dyDescent="0.25">
      <c r="A550" s="67"/>
      <c r="B550" s="168"/>
      <c r="C550" s="169"/>
      <c r="D550" s="169"/>
      <c r="E550" s="169"/>
    </row>
    <row r="551" spans="1:5" x14ac:dyDescent="0.25">
      <c r="A551" s="67"/>
      <c r="B551" s="168"/>
      <c r="C551" s="169"/>
      <c r="D551" s="169"/>
      <c r="E551" s="169"/>
    </row>
    <row r="552" spans="1:5" x14ac:dyDescent="0.25">
      <c r="A552" s="67"/>
      <c r="B552" s="168"/>
      <c r="C552" s="169"/>
      <c r="D552" s="169"/>
      <c r="E552" s="169"/>
    </row>
    <row r="553" spans="1:5" x14ac:dyDescent="0.25">
      <c r="A553" s="67"/>
      <c r="B553" s="168"/>
      <c r="C553" s="169"/>
      <c r="D553" s="169"/>
      <c r="E553" s="169"/>
    </row>
    <row r="554" spans="1:5" x14ac:dyDescent="0.25">
      <c r="A554" s="67"/>
      <c r="B554" s="168"/>
      <c r="C554" s="169"/>
      <c r="D554" s="169"/>
      <c r="E554" s="169"/>
    </row>
    <row r="555" spans="1:5" x14ac:dyDescent="0.25">
      <c r="A555" s="67"/>
      <c r="B555" s="168"/>
      <c r="C555" s="169"/>
      <c r="D555" s="169"/>
      <c r="E555" s="169"/>
    </row>
    <row r="556" spans="1:5" x14ac:dyDescent="0.25">
      <c r="A556" s="67"/>
      <c r="B556" s="168"/>
      <c r="C556" s="169"/>
      <c r="D556" s="169"/>
      <c r="E556" s="169"/>
    </row>
    <row r="557" spans="1:5" x14ac:dyDescent="0.25">
      <c r="A557" s="67"/>
      <c r="B557" s="168"/>
      <c r="C557" s="169"/>
      <c r="D557" s="169"/>
      <c r="E557" s="169"/>
    </row>
    <row r="558" spans="1:5" x14ac:dyDescent="0.25">
      <c r="A558" s="67"/>
      <c r="B558" s="168"/>
      <c r="C558" s="169"/>
      <c r="D558" s="169"/>
      <c r="E558" s="169"/>
    </row>
    <row r="559" spans="1:5" x14ac:dyDescent="0.25">
      <c r="A559" s="67"/>
      <c r="B559" s="168"/>
      <c r="C559" s="169"/>
      <c r="D559" s="169"/>
      <c r="E559" s="169"/>
    </row>
    <row r="560" spans="1:5" x14ac:dyDescent="0.25">
      <c r="A560" s="67"/>
      <c r="B560" s="168"/>
      <c r="C560" s="169"/>
      <c r="D560" s="169"/>
      <c r="E560" s="169"/>
    </row>
    <row r="561" spans="1:5" x14ac:dyDescent="0.25">
      <c r="A561" s="67"/>
      <c r="B561" s="168"/>
      <c r="C561" s="169"/>
      <c r="D561" s="169"/>
      <c r="E561" s="169"/>
    </row>
    <row r="562" spans="1:5" x14ac:dyDescent="0.25">
      <c r="A562" s="67"/>
      <c r="B562" s="168"/>
      <c r="C562" s="169"/>
      <c r="D562" s="169"/>
      <c r="E562" s="169"/>
    </row>
    <row r="563" spans="1:5" x14ac:dyDescent="0.25">
      <c r="A563" s="67"/>
      <c r="B563" s="168"/>
      <c r="C563" s="169"/>
      <c r="D563" s="169"/>
      <c r="E563" s="169"/>
    </row>
    <row r="564" spans="1:5" x14ac:dyDescent="0.25">
      <c r="A564" s="67"/>
      <c r="B564" s="168"/>
      <c r="C564" s="169"/>
      <c r="D564" s="169"/>
      <c r="E564" s="169"/>
    </row>
    <row r="565" spans="1:5" x14ac:dyDescent="0.25">
      <c r="A565" s="67"/>
      <c r="B565" s="168"/>
      <c r="C565" s="169"/>
      <c r="D565" s="169"/>
      <c r="E565" s="169"/>
    </row>
    <row r="566" spans="1:5" x14ac:dyDescent="0.25">
      <c r="A566" s="67"/>
      <c r="B566" s="168"/>
      <c r="C566" s="169"/>
      <c r="D566" s="169"/>
      <c r="E566" s="169"/>
    </row>
    <row r="567" spans="1:5" x14ac:dyDescent="0.25">
      <c r="A567" s="67"/>
      <c r="B567" s="168"/>
      <c r="C567" s="169"/>
      <c r="D567" s="169"/>
      <c r="E567" s="169"/>
    </row>
    <row r="568" spans="1:5" x14ac:dyDescent="0.25">
      <c r="A568" s="67"/>
      <c r="B568" s="168"/>
      <c r="C568" s="169"/>
      <c r="D568" s="169"/>
      <c r="E568" s="169"/>
    </row>
    <row r="569" spans="1:5" x14ac:dyDescent="0.25">
      <c r="A569" s="67"/>
      <c r="B569" s="168"/>
      <c r="C569" s="169"/>
      <c r="D569" s="169"/>
      <c r="E569" s="169"/>
    </row>
    <row r="570" spans="1:5" x14ac:dyDescent="0.25">
      <c r="A570" s="67"/>
      <c r="B570" s="168"/>
      <c r="C570" s="169"/>
      <c r="D570" s="169"/>
      <c r="E570" s="169"/>
    </row>
    <row r="571" spans="1:5" x14ac:dyDescent="0.25">
      <c r="A571" s="67"/>
      <c r="B571" s="168"/>
      <c r="C571" s="169"/>
      <c r="D571" s="169"/>
      <c r="E571" s="169"/>
    </row>
    <row r="572" spans="1:5" x14ac:dyDescent="0.25">
      <c r="A572" s="67"/>
      <c r="B572" s="168"/>
      <c r="C572" s="169"/>
      <c r="D572" s="169"/>
      <c r="E572" s="169"/>
    </row>
    <row r="573" spans="1:5" x14ac:dyDescent="0.25">
      <c r="A573" s="67"/>
      <c r="B573" s="168"/>
      <c r="C573" s="169"/>
      <c r="D573" s="169"/>
      <c r="E573" s="169"/>
    </row>
    <row r="574" spans="1:5" x14ac:dyDescent="0.25">
      <c r="A574" s="67"/>
      <c r="B574" s="168"/>
      <c r="C574" s="169"/>
      <c r="D574" s="169"/>
      <c r="E574" s="169"/>
    </row>
    <row r="575" spans="1:5" x14ac:dyDescent="0.25">
      <c r="A575" s="67"/>
      <c r="B575" s="168"/>
      <c r="C575" s="169"/>
      <c r="D575" s="169"/>
      <c r="E575" s="169"/>
    </row>
    <row r="576" spans="1:5" x14ac:dyDescent="0.25">
      <c r="A576" s="67"/>
      <c r="B576" s="168"/>
      <c r="C576" s="169"/>
      <c r="D576" s="169"/>
      <c r="E576" s="169"/>
    </row>
    <row r="577" spans="1:5" x14ac:dyDescent="0.25">
      <c r="A577" s="67"/>
      <c r="B577" s="168"/>
      <c r="C577" s="169"/>
      <c r="D577" s="169"/>
      <c r="E577" s="169"/>
    </row>
    <row r="578" spans="1:5" x14ac:dyDescent="0.25">
      <c r="A578" s="67"/>
      <c r="B578" s="168"/>
      <c r="C578" s="169"/>
      <c r="D578" s="169"/>
      <c r="E578" s="169"/>
    </row>
    <row r="579" spans="1:5" x14ac:dyDescent="0.25">
      <c r="A579" s="67"/>
      <c r="B579" s="168"/>
      <c r="C579" s="169"/>
      <c r="D579" s="169"/>
      <c r="E579" s="169"/>
    </row>
    <row r="580" spans="1:5" x14ac:dyDescent="0.25">
      <c r="A580" s="67"/>
      <c r="B580" s="168"/>
      <c r="C580" s="169"/>
      <c r="D580" s="169"/>
      <c r="E580" s="169"/>
    </row>
    <row r="581" spans="1:5" x14ac:dyDescent="0.25">
      <c r="A581" s="67"/>
      <c r="B581" s="168"/>
      <c r="C581" s="169"/>
      <c r="D581" s="169"/>
      <c r="E581" s="169"/>
    </row>
    <row r="582" spans="1:5" x14ac:dyDescent="0.25">
      <c r="A582" s="67"/>
      <c r="B582" s="168"/>
      <c r="C582" s="169"/>
      <c r="D582" s="169"/>
      <c r="E582" s="169"/>
    </row>
    <row r="583" spans="1:5" x14ac:dyDescent="0.25">
      <c r="A583" s="67"/>
      <c r="B583" s="168"/>
      <c r="C583" s="169"/>
      <c r="D583" s="169"/>
      <c r="E583" s="169"/>
    </row>
    <row r="584" spans="1:5" x14ac:dyDescent="0.25">
      <c r="A584" s="67"/>
      <c r="B584" s="168"/>
      <c r="C584" s="169"/>
      <c r="D584" s="169"/>
      <c r="E584" s="169"/>
    </row>
    <row r="585" spans="1:5" x14ac:dyDescent="0.25">
      <c r="A585" s="67"/>
      <c r="B585" s="168"/>
      <c r="C585" s="169"/>
      <c r="D585" s="169"/>
      <c r="E585" s="169"/>
    </row>
    <row r="586" spans="1:5" x14ac:dyDescent="0.25">
      <c r="A586" s="67"/>
      <c r="B586" s="168"/>
      <c r="C586" s="169"/>
      <c r="D586" s="169"/>
      <c r="E586" s="169"/>
    </row>
    <row r="587" spans="1:5" x14ac:dyDescent="0.25">
      <c r="A587" s="67"/>
      <c r="B587" s="168"/>
      <c r="C587" s="169"/>
      <c r="D587" s="169"/>
      <c r="E587" s="169"/>
    </row>
    <row r="588" spans="1:5" x14ac:dyDescent="0.25">
      <c r="A588" s="67"/>
      <c r="B588" s="168"/>
      <c r="C588" s="169"/>
      <c r="D588" s="169"/>
      <c r="E588" s="169"/>
    </row>
    <row r="589" spans="1:5" x14ac:dyDescent="0.25">
      <c r="A589" s="67"/>
      <c r="B589" s="168"/>
      <c r="C589" s="169"/>
      <c r="D589" s="169"/>
      <c r="E589" s="169"/>
    </row>
    <row r="590" spans="1:5" x14ac:dyDescent="0.25">
      <c r="A590" s="67"/>
      <c r="B590" s="168"/>
      <c r="C590" s="169"/>
      <c r="D590" s="169"/>
      <c r="E590" s="169"/>
    </row>
    <row r="591" spans="1:5" x14ac:dyDescent="0.25">
      <c r="A591" s="67"/>
      <c r="B591" s="168"/>
      <c r="C591" s="169"/>
      <c r="D591" s="169"/>
      <c r="E591" s="169"/>
    </row>
    <row r="592" spans="1:5" x14ac:dyDescent="0.25">
      <c r="A592" s="67"/>
      <c r="B592" s="168"/>
      <c r="C592" s="169"/>
      <c r="D592" s="169"/>
      <c r="E592" s="169"/>
    </row>
    <row r="593" spans="1:5" x14ac:dyDescent="0.25">
      <c r="A593" s="67"/>
      <c r="B593" s="168"/>
      <c r="C593" s="169"/>
      <c r="D593" s="169"/>
      <c r="E593" s="169"/>
    </row>
    <row r="594" spans="1:5" x14ac:dyDescent="0.25">
      <c r="A594" s="67"/>
      <c r="B594" s="168"/>
      <c r="C594" s="169"/>
      <c r="D594" s="169"/>
      <c r="E594" s="169"/>
    </row>
    <row r="595" spans="1:5" x14ac:dyDescent="0.25">
      <c r="A595" s="67"/>
      <c r="B595" s="168"/>
      <c r="C595" s="169"/>
      <c r="D595" s="169"/>
      <c r="E595" s="169"/>
    </row>
    <row r="596" spans="1:5" x14ac:dyDescent="0.25">
      <c r="A596" s="67"/>
      <c r="B596" s="168"/>
      <c r="C596" s="169"/>
      <c r="D596" s="169"/>
      <c r="E596" s="169"/>
    </row>
    <row r="597" spans="1:5" x14ac:dyDescent="0.25">
      <c r="A597" s="67"/>
      <c r="B597" s="168"/>
      <c r="C597" s="169"/>
      <c r="D597" s="169"/>
      <c r="E597" s="169"/>
    </row>
    <row r="598" spans="1:5" x14ac:dyDescent="0.25">
      <c r="A598" s="67"/>
      <c r="B598" s="168"/>
      <c r="C598" s="169"/>
      <c r="D598" s="169"/>
      <c r="E598" s="169"/>
    </row>
    <row r="599" spans="1:5" x14ac:dyDescent="0.25">
      <c r="A599" s="67"/>
      <c r="B599" s="168"/>
      <c r="C599" s="169"/>
      <c r="D599" s="169"/>
      <c r="E599" s="169"/>
    </row>
    <row r="600" spans="1:5" x14ac:dyDescent="0.25">
      <c r="A600" s="67"/>
      <c r="B600" s="168"/>
      <c r="C600" s="169"/>
      <c r="D600" s="169"/>
      <c r="E600" s="169"/>
    </row>
    <row r="601" spans="1:5" x14ac:dyDescent="0.25">
      <c r="A601" s="67"/>
      <c r="B601" s="168"/>
      <c r="C601" s="169"/>
      <c r="D601" s="169"/>
      <c r="E601" s="169"/>
    </row>
    <row r="602" spans="1:5" x14ac:dyDescent="0.25">
      <c r="A602" s="67"/>
      <c r="B602" s="168"/>
      <c r="C602" s="169"/>
      <c r="D602" s="169"/>
      <c r="E602" s="169"/>
    </row>
    <row r="603" spans="1:5" x14ac:dyDescent="0.25">
      <c r="A603" s="67"/>
      <c r="B603" s="168"/>
      <c r="C603" s="169"/>
      <c r="D603" s="169"/>
      <c r="E603" s="169"/>
    </row>
    <row r="604" spans="1:5" x14ac:dyDescent="0.25">
      <c r="A604" s="67"/>
      <c r="B604" s="168"/>
      <c r="C604" s="169"/>
      <c r="D604" s="169"/>
      <c r="E604" s="169"/>
    </row>
    <row r="605" spans="1:5" x14ac:dyDescent="0.25">
      <c r="A605" s="67"/>
      <c r="B605" s="168"/>
      <c r="C605" s="169"/>
      <c r="D605" s="169"/>
      <c r="E605" s="169"/>
    </row>
    <row r="606" spans="1:5" x14ac:dyDescent="0.25">
      <c r="A606" s="67"/>
      <c r="B606" s="168"/>
      <c r="C606" s="169"/>
      <c r="D606" s="169"/>
      <c r="E606" s="169"/>
    </row>
    <row r="607" spans="1:5" x14ac:dyDescent="0.25">
      <c r="A607" s="67"/>
      <c r="B607" s="168"/>
      <c r="C607" s="169"/>
      <c r="D607" s="169"/>
      <c r="E607" s="169"/>
    </row>
    <row r="608" spans="1:5" x14ac:dyDescent="0.25">
      <c r="A608" s="67"/>
      <c r="B608" s="168"/>
      <c r="C608" s="169"/>
      <c r="D608" s="169"/>
      <c r="E608" s="169"/>
    </row>
    <row r="609" spans="1:5" x14ac:dyDescent="0.25">
      <c r="A609" s="67"/>
      <c r="B609" s="168"/>
      <c r="C609" s="169"/>
      <c r="D609" s="169"/>
      <c r="E609" s="169"/>
    </row>
    <row r="610" spans="1:5" x14ac:dyDescent="0.25">
      <c r="A610" s="67"/>
      <c r="B610" s="168"/>
      <c r="C610" s="169"/>
      <c r="D610" s="169"/>
      <c r="E610" s="169"/>
    </row>
    <row r="611" spans="1:5" x14ac:dyDescent="0.25">
      <c r="A611" s="67"/>
      <c r="B611" s="168"/>
      <c r="C611" s="169"/>
      <c r="D611" s="169"/>
      <c r="E611" s="169"/>
    </row>
    <row r="612" spans="1:5" x14ac:dyDescent="0.25">
      <c r="A612" s="67"/>
      <c r="B612" s="168"/>
      <c r="C612" s="169"/>
      <c r="D612" s="169"/>
      <c r="E612" s="169"/>
    </row>
    <row r="613" spans="1:5" x14ac:dyDescent="0.25">
      <c r="A613" s="67"/>
      <c r="B613" s="168"/>
      <c r="C613" s="169"/>
      <c r="D613" s="169"/>
      <c r="E613" s="169"/>
    </row>
    <row r="614" spans="1:5" x14ac:dyDescent="0.25">
      <c r="A614" s="67"/>
      <c r="B614" s="168"/>
      <c r="C614" s="169"/>
      <c r="D614" s="169"/>
      <c r="E614" s="169"/>
    </row>
    <row r="615" spans="1:5" x14ac:dyDescent="0.25">
      <c r="A615" s="67"/>
      <c r="B615" s="168"/>
      <c r="C615" s="169"/>
      <c r="D615" s="169"/>
      <c r="E615" s="169"/>
    </row>
    <row r="616" spans="1:5" x14ac:dyDescent="0.25">
      <c r="A616" s="67"/>
      <c r="B616" s="168"/>
      <c r="C616" s="169"/>
      <c r="D616" s="169"/>
      <c r="E616" s="169"/>
    </row>
    <row r="617" spans="1:5" x14ac:dyDescent="0.25">
      <c r="A617" s="67"/>
      <c r="B617" s="168"/>
      <c r="C617" s="169"/>
      <c r="D617" s="169"/>
      <c r="E617" s="169"/>
    </row>
    <row r="618" spans="1:5" x14ac:dyDescent="0.25">
      <c r="A618" s="67"/>
      <c r="B618" s="168"/>
      <c r="C618" s="169"/>
      <c r="D618" s="169"/>
      <c r="E618" s="169"/>
    </row>
    <row r="619" spans="1:5" x14ac:dyDescent="0.25">
      <c r="A619" s="67"/>
      <c r="B619" s="168"/>
      <c r="C619" s="169"/>
      <c r="D619" s="169"/>
      <c r="E619" s="169"/>
    </row>
    <row r="620" spans="1:5" x14ac:dyDescent="0.25">
      <c r="A620" s="67"/>
      <c r="B620" s="168"/>
      <c r="C620" s="169"/>
      <c r="D620" s="169"/>
      <c r="E620" s="169"/>
    </row>
    <row r="621" spans="1:5" x14ac:dyDescent="0.25">
      <c r="A621" s="67"/>
      <c r="B621" s="168"/>
      <c r="C621" s="169"/>
      <c r="D621" s="169"/>
      <c r="E621" s="169"/>
    </row>
    <row r="622" spans="1:5" x14ac:dyDescent="0.25">
      <c r="A622" s="67"/>
      <c r="B622" s="168"/>
      <c r="C622" s="169"/>
      <c r="D622" s="169"/>
      <c r="E622" s="169"/>
    </row>
    <row r="623" spans="1:5" x14ac:dyDescent="0.25">
      <c r="A623" s="67"/>
      <c r="B623" s="168"/>
      <c r="C623" s="169"/>
      <c r="D623" s="169"/>
      <c r="E623" s="169"/>
    </row>
    <row r="624" spans="1:5" x14ac:dyDescent="0.25">
      <c r="A624" s="67"/>
      <c r="B624" s="168"/>
      <c r="C624" s="169"/>
      <c r="D624" s="169"/>
      <c r="E624" s="169"/>
    </row>
    <row r="625" spans="1:5" x14ac:dyDescent="0.25">
      <c r="A625" s="67"/>
      <c r="B625" s="168"/>
      <c r="C625" s="169"/>
      <c r="D625" s="169"/>
      <c r="E625" s="169"/>
    </row>
    <row r="626" spans="1:5" x14ac:dyDescent="0.25">
      <c r="A626" s="67"/>
      <c r="B626" s="168"/>
      <c r="C626" s="169"/>
      <c r="D626" s="169"/>
      <c r="E626" s="169"/>
    </row>
    <row r="627" spans="1:5" x14ac:dyDescent="0.25">
      <c r="A627" s="67"/>
      <c r="B627" s="168"/>
      <c r="C627" s="169"/>
      <c r="D627" s="169"/>
      <c r="E627" s="169"/>
    </row>
    <row r="628" spans="1:5" x14ac:dyDescent="0.25">
      <c r="A628" s="67"/>
      <c r="B628" s="168"/>
      <c r="C628" s="169"/>
      <c r="D628" s="169"/>
      <c r="E628" s="169"/>
    </row>
    <row r="629" spans="1:5" x14ac:dyDescent="0.25">
      <c r="A629" s="67"/>
      <c r="B629" s="168"/>
      <c r="C629" s="169"/>
      <c r="D629" s="169"/>
      <c r="E629" s="169"/>
    </row>
    <row r="630" spans="1:5" x14ac:dyDescent="0.25">
      <c r="A630" s="67"/>
      <c r="B630" s="168"/>
      <c r="C630" s="169"/>
      <c r="D630" s="169"/>
      <c r="E630" s="169"/>
    </row>
    <row r="631" spans="1:5" x14ac:dyDescent="0.25">
      <c r="A631" s="67"/>
      <c r="B631" s="168"/>
      <c r="C631" s="169"/>
      <c r="D631" s="169"/>
      <c r="E631" s="169"/>
    </row>
    <row r="632" spans="1:5" x14ac:dyDescent="0.25">
      <c r="A632" s="67"/>
      <c r="B632" s="168"/>
      <c r="C632" s="169"/>
      <c r="D632" s="169"/>
      <c r="E632" s="169"/>
    </row>
    <row r="633" spans="1:5" x14ac:dyDescent="0.25">
      <c r="A633" s="67"/>
      <c r="B633" s="168"/>
      <c r="C633" s="169"/>
      <c r="D633" s="169"/>
      <c r="E633" s="169"/>
    </row>
    <row r="634" spans="1:5" x14ac:dyDescent="0.25">
      <c r="A634" s="67"/>
      <c r="B634" s="168"/>
      <c r="C634" s="169"/>
      <c r="D634" s="169"/>
      <c r="E634" s="169"/>
    </row>
    <row r="635" spans="1:5" x14ac:dyDescent="0.25">
      <c r="A635" s="67"/>
      <c r="B635" s="168"/>
      <c r="C635" s="169"/>
      <c r="D635" s="169"/>
      <c r="E635" s="169"/>
    </row>
    <row r="636" spans="1:5" x14ac:dyDescent="0.25">
      <c r="A636" s="67"/>
      <c r="B636" s="168"/>
      <c r="C636" s="169"/>
      <c r="D636" s="169"/>
      <c r="E636" s="169"/>
    </row>
    <row r="637" spans="1:5" x14ac:dyDescent="0.25">
      <c r="A637" s="67"/>
      <c r="B637" s="168"/>
      <c r="C637" s="169"/>
      <c r="D637" s="169"/>
      <c r="E637" s="169"/>
    </row>
    <row r="638" spans="1:5" x14ac:dyDescent="0.25">
      <c r="A638" s="67"/>
      <c r="B638" s="168"/>
      <c r="C638" s="169"/>
      <c r="D638" s="169"/>
      <c r="E638" s="169"/>
    </row>
    <row r="639" spans="1:5" x14ac:dyDescent="0.25">
      <c r="A639" s="67"/>
      <c r="B639" s="168"/>
      <c r="C639" s="169"/>
      <c r="D639" s="169"/>
      <c r="E639" s="169"/>
    </row>
    <row r="640" spans="1:5" x14ac:dyDescent="0.25">
      <c r="A640" s="67"/>
      <c r="B640" s="168"/>
      <c r="C640" s="169"/>
      <c r="D640" s="169"/>
      <c r="E640" s="169"/>
    </row>
    <row r="641" spans="1:5" x14ac:dyDescent="0.25">
      <c r="A641" s="67"/>
      <c r="B641" s="168"/>
      <c r="C641" s="169"/>
      <c r="D641" s="169"/>
      <c r="E641" s="169"/>
    </row>
    <row r="642" spans="1:5" x14ac:dyDescent="0.25">
      <c r="A642" s="67"/>
      <c r="B642" s="168"/>
      <c r="C642" s="169"/>
      <c r="D642" s="169"/>
      <c r="E642" s="169"/>
    </row>
    <row r="643" spans="1:5" x14ac:dyDescent="0.25">
      <c r="A643" s="67"/>
      <c r="B643" s="168"/>
      <c r="C643" s="169"/>
      <c r="D643" s="169"/>
      <c r="E643" s="169"/>
    </row>
    <row r="644" spans="1:5" x14ac:dyDescent="0.25">
      <c r="A644" s="67"/>
      <c r="B644" s="168"/>
      <c r="C644" s="169"/>
      <c r="D644" s="169"/>
      <c r="E644" s="169"/>
    </row>
    <row r="645" spans="1:5" x14ac:dyDescent="0.25">
      <c r="A645" s="67"/>
      <c r="B645" s="168"/>
      <c r="C645" s="169"/>
      <c r="D645" s="169"/>
      <c r="E645" s="169"/>
    </row>
    <row r="646" spans="1:5" x14ac:dyDescent="0.25">
      <c r="A646" s="67"/>
      <c r="B646" s="168"/>
      <c r="C646" s="169"/>
      <c r="D646" s="169"/>
      <c r="E646" s="169"/>
    </row>
    <row r="647" spans="1:5" x14ac:dyDescent="0.25">
      <c r="A647" s="67"/>
      <c r="B647" s="168"/>
      <c r="C647" s="169"/>
      <c r="D647" s="169"/>
      <c r="E647" s="169"/>
    </row>
    <row r="648" spans="1:5" x14ac:dyDescent="0.25">
      <c r="A648" s="67"/>
      <c r="B648" s="168"/>
      <c r="C648" s="169"/>
      <c r="D648" s="169"/>
      <c r="E648" s="169"/>
    </row>
    <row r="649" spans="1:5" x14ac:dyDescent="0.25">
      <c r="A649" s="67"/>
      <c r="B649" s="168"/>
      <c r="C649" s="169"/>
      <c r="D649" s="169"/>
      <c r="E649" s="169"/>
    </row>
    <row r="650" spans="1:5" x14ac:dyDescent="0.25">
      <c r="A650" s="67"/>
      <c r="B650" s="168"/>
      <c r="C650" s="169"/>
      <c r="D650" s="169"/>
      <c r="E650" s="169"/>
    </row>
    <row r="651" spans="1:5" x14ac:dyDescent="0.25">
      <c r="A651" s="67"/>
      <c r="B651" s="168"/>
      <c r="C651" s="169"/>
      <c r="D651" s="169"/>
      <c r="E651" s="169"/>
    </row>
  </sheetData>
  <conditionalFormatting sqref="A11:E111">
    <cfRule type="expression" dxfId="61" priority="1">
      <formula>$E11="Done"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B189-1451-4A44-9400-C154E8D19729}">
  <sheetPr codeName="Sheet3">
    <tabColor rgb="FFFFFF00"/>
  </sheetPr>
  <dimension ref="C1:O52"/>
  <sheetViews>
    <sheetView topLeftCell="A4" zoomScaleNormal="100" workbookViewId="0">
      <selection activeCell="H44" sqref="H44"/>
    </sheetView>
  </sheetViews>
  <sheetFormatPr defaultRowHeight="15" x14ac:dyDescent="0.25"/>
  <cols>
    <col min="1" max="2" width="2.5703125" customWidth="1"/>
    <col min="3" max="3" width="7.42578125" bestFit="1" customWidth="1"/>
    <col min="4" max="4" width="10.42578125" bestFit="1" customWidth="1"/>
    <col min="5" max="5" width="10.42578125" style="230" customWidth="1"/>
    <col min="6" max="6" width="7.5703125" bestFit="1" customWidth="1"/>
    <col min="7" max="7" width="8.42578125" bestFit="1" customWidth="1"/>
    <col min="8" max="8" width="37" bestFit="1" customWidth="1"/>
    <col min="9" max="10" width="8.5703125" bestFit="1" customWidth="1"/>
    <col min="11" max="11" width="9" bestFit="1" customWidth="1"/>
    <col min="12" max="12" width="8.5703125" bestFit="1" customWidth="1"/>
  </cols>
  <sheetData>
    <row r="1" spans="3:15" x14ac:dyDescent="0.25">
      <c r="D1" s="43"/>
      <c r="G1" s="43"/>
      <c r="J1" s="43"/>
      <c r="K1" s="43"/>
      <c r="L1" s="43"/>
      <c r="M1" s="43"/>
      <c r="N1" s="43"/>
      <c r="O1" s="43"/>
    </row>
    <row r="2" spans="3:15" x14ac:dyDescent="0.25">
      <c r="D2" s="43"/>
      <c r="G2" s="43"/>
      <c r="J2" s="43"/>
      <c r="K2" s="43"/>
      <c r="L2" s="43"/>
      <c r="M2" s="43"/>
      <c r="N2" s="43"/>
      <c r="O2" s="43"/>
    </row>
    <row r="3" spans="3:15" x14ac:dyDescent="0.25">
      <c r="D3" s="43"/>
      <c r="G3" s="43"/>
      <c r="J3" s="43"/>
      <c r="K3" s="43"/>
      <c r="L3" s="43"/>
      <c r="M3" s="43"/>
      <c r="N3" s="43"/>
      <c r="O3" s="43"/>
    </row>
    <row r="4" spans="3:15" x14ac:dyDescent="0.25">
      <c r="D4" s="43"/>
      <c r="G4" s="43"/>
      <c r="J4" s="43"/>
      <c r="K4" s="43"/>
      <c r="L4" s="43"/>
      <c r="M4" s="43"/>
      <c r="N4" s="43"/>
      <c r="O4" s="43"/>
    </row>
    <row r="5" spans="3:15" x14ac:dyDescent="0.25">
      <c r="D5" s="43"/>
      <c r="G5" s="43"/>
      <c r="J5" s="43"/>
      <c r="K5" s="43"/>
      <c r="L5" s="43"/>
      <c r="M5" s="43"/>
      <c r="N5" s="43"/>
      <c r="O5" s="43"/>
    </row>
    <row r="6" spans="3:15" x14ac:dyDescent="0.25">
      <c r="D6" s="43"/>
      <c r="G6" s="43"/>
      <c r="H6" t="s">
        <v>753</v>
      </c>
      <c r="J6" s="43"/>
      <c r="K6" s="43"/>
      <c r="L6" s="43"/>
      <c r="M6" s="43"/>
      <c r="N6" s="43"/>
      <c r="O6" s="43"/>
    </row>
    <row r="7" spans="3:15" x14ac:dyDescent="0.25">
      <c r="D7" s="43"/>
      <c r="G7" s="43"/>
      <c r="J7" s="43"/>
      <c r="K7" s="43"/>
      <c r="L7" s="43"/>
      <c r="M7" s="43"/>
      <c r="N7" s="43"/>
      <c r="O7" s="43"/>
    </row>
    <row r="8" spans="3:15" x14ac:dyDescent="0.25">
      <c r="D8" s="43"/>
      <c r="G8" s="43"/>
      <c r="H8" s="171" t="s">
        <v>746</v>
      </c>
      <c r="I8" s="210">
        <f>1-PRODUCT(I11:I39)</f>
        <v>0</v>
      </c>
      <c r="J8" s="210">
        <f>1-PRODUCT(J11:J39)</f>
        <v>0</v>
      </c>
      <c r="K8" s="210">
        <f>1-PRODUCT(K11:K39)</f>
        <v>0</v>
      </c>
      <c r="L8" s="210">
        <f>1-PRODUCT(L11:L39)</f>
        <v>0</v>
      </c>
      <c r="M8" s="43"/>
      <c r="N8" s="43"/>
      <c r="O8" s="43"/>
    </row>
    <row r="9" spans="3:15" x14ac:dyDescent="0.25">
      <c r="D9" s="43"/>
      <c r="G9" s="43"/>
      <c r="J9" s="43"/>
      <c r="K9" s="43"/>
      <c r="L9" s="43"/>
      <c r="M9" s="43"/>
      <c r="N9" s="43"/>
      <c r="O9" s="43"/>
    </row>
    <row r="10" spans="3:15" ht="75" x14ac:dyDescent="0.25">
      <c r="C10" s="171" t="s">
        <v>748</v>
      </c>
      <c r="D10" s="172" t="s">
        <v>591</v>
      </c>
      <c r="E10" s="172" t="s">
        <v>851</v>
      </c>
      <c r="F10" s="172" t="s">
        <v>5</v>
      </c>
      <c r="G10" s="172" t="s">
        <v>747</v>
      </c>
      <c r="H10" s="172" t="s">
        <v>78</v>
      </c>
      <c r="I10" s="172" t="s">
        <v>816</v>
      </c>
      <c r="J10" s="172" t="s">
        <v>3</v>
      </c>
      <c r="K10" s="172" t="s">
        <v>104</v>
      </c>
      <c r="L10" s="172" t="s">
        <v>177</v>
      </c>
      <c r="M10" s="43"/>
      <c r="N10" s="43"/>
      <c r="O10" s="43"/>
    </row>
    <row r="11" spans="3:15" x14ac:dyDescent="0.25">
      <c r="C11" t="s">
        <v>21</v>
      </c>
      <c r="D11" t="str">
        <f>'1A VCTR program'!$I$22</f>
        <v>Not Active</v>
      </c>
      <c r="E11" s="230">
        <f>Conflict_Calc!BM11</f>
        <v>0</v>
      </c>
      <c r="F11" s="209" t="str">
        <f>'1A VCTR program'!$F$22</f>
        <v/>
      </c>
      <c r="G11" s="209">
        <f>IF(OR(D11="Not Active",E11&gt;0),1,1+F11)</f>
        <v>1</v>
      </c>
      <c r="H11" t="str">
        <f>INDEX(VL_TDM!$AD$11:$AD$41,MATCH($C11,VL_TDM!$B$11:$B$41,0),1)</f>
        <v>Employee commute trips</v>
      </c>
      <c r="I11" s="209">
        <f t="shared" ref="I11:L39" si="0">IF($H11=I$10,$G11,1)</f>
        <v>1</v>
      </c>
      <c r="J11" s="209">
        <f t="shared" si="0"/>
        <v>1</v>
      </c>
      <c r="K11" s="209">
        <f t="shared" si="0"/>
        <v>1</v>
      </c>
      <c r="L11" s="209">
        <f t="shared" si="0"/>
        <v>1</v>
      </c>
      <c r="M11" s="43"/>
      <c r="N11" s="43"/>
      <c r="O11" s="43"/>
    </row>
    <row r="12" spans="3:15" x14ac:dyDescent="0.25">
      <c r="C12" s="43" t="s">
        <v>22</v>
      </c>
      <c r="D12" s="43" t="str">
        <f>'1B CTR program'!$H$24</f>
        <v>Not Active</v>
      </c>
      <c r="E12" s="230">
        <f>Conflict_Calc!BM12</f>
        <v>0</v>
      </c>
      <c r="F12" s="209" t="str">
        <f>'1B CTR program'!$E$24</f>
        <v/>
      </c>
      <c r="G12" s="209">
        <f t="shared" ref="G12:G39" si="1">IF(OR(D12="Not Active",E12&gt;0),1,1+F12)</f>
        <v>1</v>
      </c>
      <c r="H12" s="43" t="str">
        <f>INDEX(VL_TDM!$AD$11:$AD$41,MATCH($C12,VL_TDM!$B$11:$B$41,0),1)</f>
        <v>Employee commute trips</v>
      </c>
      <c r="I12" s="209">
        <f t="shared" si="0"/>
        <v>1</v>
      </c>
      <c r="J12" s="209">
        <f t="shared" si="0"/>
        <v>1</v>
      </c>
      <c r="K12" s="209">
        <f t="shared" si="0"/>
        <v>1</v>
      </c>
      <c r="L12" s="209">
        <f t="shared" si="0"/>
        <v>1</v>
      </c>
      <c r="M12" s="43"/>
      <c r="N12" s="209"/>
      <c r="O12" s="43"/>
    </row>
    <row r="13" spans="3:15" x14ac:dyDescent="0.25">
      <c r="C13" s="43" t="s">
        <v>23</v>
      </c>
      <c r="D13" s="43" t="str">
        <f>'1C carpool'!$I$17</f>
        <v>Not Active</v>
      </c>
      <c r="E13" s="230">
        <f>Conflict_Calc!BM13</f>
        <v>0</v>
      </c>
      <c r="F13" s="209" t="str">
        <f>'1C carpool'!$F$17</f>
        <v/>
      </c>
      <c r="G13" s="209">
        <f t="shared" si="1"/>
        <v>1</v>
      </c>
      <c r="H13" s="43" t="str">
        <f>INDEX(VL_TDM!$AD$11:$AD$41,MATCH($C13,VL_TDM!$B$11:$B$41,0),1)</f>
        <v>Employee commute trips</v>
      </c>
      <c r="I13" s="209">
        <f t="shared" si="0"/>
        <v>1</v>
      </c>
      <c r="J13" s="209">
        <f t="shared" si="0"/>
        <v>1</v>
      </c>
      <c r="K13" s="209">
        <f t="shared" si="0"/>
        <v>1</v>
      </c>
      <c r="L13" s="209">
        <f t="shared" si="0"/>
        <v>1</v>
      </c>
      <c r="M13" s="43"/>
      <c r="N13" s="43"/>
      <c r="O13" s="43"/>
    </row>
    <row r="14" spans="3:15" x14ac:dyDescent="0.25">
      <c r="C14" s="43" t="s">
        <v>760</v>
      </c>
      <c r="D14" s="43" t="str">
        <f>'1D1 transit subsidy (employees)'!$H$32</f>
        <v>Not Active</v>
      </c>
      <c r="E14" s="230">
        <f>Conflict_Calc!BM14</f>
        <v>0</v>
      </c>
      <c r="F14" s="209" t="str">
        <f>'1D1 transit subsidy (employees)'!$E$32</f>
        <v/>
      </c>
      <c r="G14" s="209">
        <f t="shared" si="1"/>
        <v>1</v>
      </c>
      <c r="H14" s="43" t="str">
        <f>INDEX(VL_TDM!$AD$11:$AD$41,MATCH($C14,VL_TDM!$B$11:$B$41,0),1)</f>
        <v>Employee commute trips</v>
      </c>
      <c r="I14" s="209">
        <f t="shared" si="0"/>
        <v>1</v>
      </c>
      <c r="J14" s="209">
        <f t="shared" si="0"/>
        <v>1</v>
      </c>
      <c r="K14" s="209">
        <f t="shared" si="0"/>
        <v>1</v>
      </c>
      <c r="L14" s="209">
        <f t="shared" si="0"/>
        <v>1</v>
      </c>
      <c r="M14" s="43"/>
      <c r="N14" s="43"/>
      <c r="O14" s="43"/>
    </row>
    <row r="15" spans="3:15" s="43" customFormat="1" x14ac:dyDescent="0.25">
      <c r="C15" s="43" t="s">
        <v>761</v>
      </c>
      <c r="D15" s="31" t="str">
        <f>'1D2 transit subsidy (residents)'!$H$34</f>
        <v>Not Active</v>
      </c>
      <c r="E15" s="230">
        <f>Conflict_Calc!BM15</f>
        <v>0</v>
      </c>
      <c r="F15" s="223" t="str">
        <f>'1D2 transit subsidy (residents)'!$E$34</f>
        <v/>
      </c>
      <c r="G15" s="209">
        <f t="shared" si="1"/>
        <v>1</v>
      </c>
      <c r="H15" s="43" t="str">
        <f>INDEX(VL_TDM!$AD$11:$AD$41,MATCH($C15,VL_TDM!$B$11:$B$41,0),1)</f>
        <v>Project-generated trips</v>
      </c>
      <c r="I15" s="209">
        <f t="shared" si="0"/>
        <v>1</v>
      </c>
      <c r="J15" s="209">
        <f t="shared" si="0"/>
        <v>1</v>
      </c>
      <c r="K15" s="209">
        <f t="shared" si="0"/>
        <v>1</v>
      </c>
      <c r="L15" s="209">
        <f t="shared" si="0"/>
        <v>1</v>
      </c>
    </row>
    <row r="16" spans="3:15" x14ac:dyDescent="0.25">
      <c r="C16" s="43" t="s">
        <v>25</v>
      </c>
      <c r="D16" s="43" t="str">
        <f>'1E vanpool'!$H$35</f>
        <v>Not Active</v>
      </c>
      <c r="E16" s="230">
        <f>Conflict_Calc!BM16</f>
        <v>0</v>
      </c>
      <c r="F16" s="209" t="str">
        <f>'1E vanpool'!$E$35</f>
        <v/>
      </c>
      <c r="G16" s="209">
        <f t="shared" si="1"/>
        <v>1</v>
      </c>
      <c r="H16" s="43" t="str">
        <f>INDEX(VL_TDM!$AD$11:$AD$41,MATCH($C16,VL_TDM!$B$11:$B$41,0),1)</f>
        <v>Employee commute trips</v>
      </c>
      <c r="I16" s="209">
        <f t="shared" si="0"/>
        <v>1</v>
      </c>
      <c r="J16" s="209">
        <f t="shared" si="0"/>
        <v>1</v>
      </c>
      <c r="K16" s="209">
        <f t="shared" si="0"/>
        <v>1</v>
      </c>
      <c r="L16" s="209">
        <f t="shared" si="0"/>
        <v>1</v>
      </c>
      <c r="M16" s="43"/>
      <c r="N16" s="43"/>
      <c r="O16" s="43"/>
    </row>
    <row r="17" spans="3:15" x14ac:dyDescent="0.25">
      <c r="C17" s="43" t="s">
        <v>53</v>
      </c>
      <c r="D17" s="43" t="str">
        <f>'1F telecommute'!$H$17</f>
        <v>Not Active</v>
      </c>
      <c r="E17" s="230">
        <f>Conflict_Calc!BM17</f>
        <v>0</v>
      </c>
      <c r="F17" s="209" t="str">
        <f>'1F telecommute'!$E$17</f>
        <v/>
      </c>
      <c r="G17" s="209">
        <f t="shared" si="1"/>
        <v>1</v>
      </c>
      <c r="H17" s="43" t="str">
        <f>INDEX(VL_TDM!$AD$11:$AD$41,MATCH($C17,VL_TDM!$B$11:$B$41,0),1)</f>
        <v>Employee commute trips</v>
      </c>
      <c r="I17" s="209">
        <f t="shared" si="0"/>
        <v>1</v>
      </c>
      <c r="J17" s="209">
        <f t="shared" si="0"/>
        <v>1</v>
      </c>
      <c r="K17" s="209">
        <f t="shared" si="0"/>
        <v>1</v>
      </c>
      <c r="L17" s="209">
        <f t="shared" si="0"/>
        <v>1</v>
      </c>
      <c r="M17" s="43"/>
      <c r="N17" s="43"/>
      <c r="O17" s="43"/>
    </row>
    <row r="18" spans="3:15" x14ac:dyDescent="0.25">
      <c r="C18" s="43" t="s">
        <v>26</v>
      </c>
      <c r="D18" s="43" t="str">
        <f>'2A TOD'!$H$30</f>
        <v>Not Active</v>
      </c>
      <c r="E18" s="230">
        <f>Conflict_Calc!BM18</f>
        <v>0</v>
      </c>
      <c r="F18" s="209" t="str">
        <f>'2A TOD'!$E$30</f>
        <v/>
      </c>
      <c r="G18" s="209">
        <f t="shared" si="1"/>
        <v>1</v>
      </c>
      <c r="H18" s="43" t="str">
        <f>INDEX(VL_TDM!$AD$11:$AD$41,MATCH($C18,VL_TDM!$B$11:$B$41,0),1)</f>
        <v>Project-generated trips</v>
      </c>
      <c r="I18" s="209">
        <f t="shared" si="0"/>
        <v>1</v>
      </c>
      <c r="J18" s="209">
        <f t="shared" si="0"/>
        <v>1</v>
      </c>
      <c r="K18" s="209">
        <f t="shared" si="0"/>
        <v>1</v>
      </c>
      <c r="L18" s="209">
        <f t="shared" si="0"/>
        <v>1</v>
      </c>
      <c r="M18" s="43"/>
      <c r="N18" s="43"/>
      <c r="O18" s="43"/>
    </row>
    <row r="19" spans="3:15" x14ac:dyDescent="0.25">
      <c r="C19" s="43" t="s">
        <v>539</v>
      </c>
      <c r="D19" s="43" t="str">
        <f>'2B1 Inc Res Dens'!$H$24</f>
        <v>Not Active</v>
      </c>
      <c r="E19" s="230">
        <f>Conflict_Calc!BM19</f>
        <v>0</v>
      </c>
      <c r="F19" s="209" t="str">
        <f>'2B1 Inc Res Dens'!$E$24</f>
        <v/>
      </c>
      <c r="G19" s="209">
        <f t="shared" si="1"/>
        <v>1</v>
      </c>
      <c r="H19" s="43" t="str">
        <f>INDEX(VL_TDM!$AD$11:$AD$41,MATCH($C19,VL_TDM!$B$11:$B$41,0),1)</f>
        <v>Project-generated trips</v>
      </c>
      <c r="I19" s="209">
        <f t="shared" si="0"/>
        <v>1</v>
      </c>
      <c r="J19" s="209">
        <f t="shared" si="0"/>
        <v>1</v>
      </c>
      <c r="K19" s="209">
        <f t="shared" si="0"/>
        <v>1</v>
      </c>
      <c r="L19" s="209">
        <f t="shared" si="0"/>
        <v>1</v>
      </c>
      <c r="M19" s="43"/>
      <c r="N19" s="43"/>
      <c r="O19" s="43"/>
    </row>
    <row r="20" spans="3:15" x14ac:dyDescent="0.25">
      <c r="C20" s="43" t="s">
        <v>540</v>
      </c>
      <c r="D20" s="43" t="str">
        <f>'2B2 Inc Emp Dens'!$H$24</f>
        <v>Not Active</v>
      </c>
      <c r="E20" s="230">
        <f>Conflict_Calc!BM20</f>
        <v>0</v>
      </c>
      <c r="F20" s="209" t="str">
        <f>'2B2 Inc Emp Dens'!$E$24</f>
        <v/>
      </c>
      <c r="G20" s="209">
        <f t="shared" si="1"/>
        <v>1</v>
      </c>
      <c r="H20" s="43" t="str">
        <f>INDEX(VL_TDM!$AD$11:$AD$41,MATCH($C20,VL_TDM!$B$11:$B$41,0),1)</f>
        <v>Employee commute trips</v>
      </c>
      <c r="I20" s="209">
        <f t="shared" si="0"/>
        <v>1</v>
      </c>
      <c r="J20" s="209">
        <f t="shared" si="0"/>
        <v>1</v>
      </c>
      <c r="K20" s="209">
        <f t="shared" si="0"/>
        <v>1</v>
      </c>
      <c r="L20" s="209">
        <f t="shared" si="0"/>
        <v>1</v>
      </c>
      <c r="M20" s="43"/>
      <c r="N20" s="43"/>
      <c r="O20" s="43"/>
    </row>
    <row r="21" spans="3:15" x14ac:dyDescent="0.25">
      <c r="C21" s="43" t="s">
        <v>815</v>
      </c>
      <c r="D21" s="43" t="str">
        <f>'2C affordable housing'!$H$18</f>
        <v>Not Active</v>
      </c>
      <c r="E21" s="230">
        <f>Conflict_Calc!BM21</f>
        <v>0</v>
      </c>
      <c r="F21" s="209" t="str">
        <f>'2C affordable housing'!$E$18</f>
        <v/>
      </c>
      <c r="G21" s="209">
        <f t="shared" si="1"/>
        <v>1</v>
      </c>
      <c r="H21" s="43" t="str">
        <f>INDEX(VL_TDM!$AD$11:$AD$41,MATCH($C21,VL_TDM!$B$11:$B$41,0),1)</f>
        <v>All neighborhood/city trips</v>
      </c>
      <c r="I21" s="209">
        <f t="shared" si="0"/>
        <v>1</v>
      </c>
      <c r="J21" s="209">
        <f t="shared" si="0"/>
        <v>1</v>
      </c>
      <c r="K21" s="209">
        <f t="shared" si="0"/>
        <v>1</v>
      </c>
      <c r="L21" s="209">
        <f t="shared" si="0"/>
        <v>1</v>
      </c>
      <c r="M21" s="43"/>
      <c r="N21" s="43"/>
      <c r="O21" s="43"/>
    </row>
    <row r="22" spans="3:15" x14ac:dyDescent="0.25">
      <c r="C22" s="43" t="s">
        <v>933</v>
      </c>
      <c r="D22" s="43" t="str">
        <f>'3A1 price emp parking'!$H$26</f>
        <v>Not Active</v>
      </c>
      <c r="E22" s="230">
        <f>Conflict_Calc!BM22</f>
        <v>0</v>
      </c>
      <c r="F22" s="209" t="str">
        <f>'3A1 price emp parking'!$E$26</f>
        <v/>
      </c>
      <c r="G22" s="209">
        <f t="shared" si="1"/>
        <v>1</v>
      </c>
      <c r="H22" s="43" t="str">
        <f>INDEX(VL_TDM!$AD$11:$AD$41,MATCH($C22,VL_TDM!$B$11:$B$41,0),1)</f>
        <v>Employee commute trips</v>
      </c>
      <c r="I22" s="209">
        <f t="shared" si="0"/>
        <v>1</v>
      </c>
      <c r="J22" s="209">
        <f t="shared" si="0"/>
        <v>1</v>
      </c>
      <c r="K22" s="209">
        <f t="shared" si="0"/>
        <v>1</v>
      </c>
      <c r="L22" s="209">
        <f t="shared" si="0"/>
        <v>1</v>
      </c>
      <c r="M22" s="43"/>
      <c r="N22" s="43"/>
      <c r="O22" s="43"/>
    </row>
    <row r="23" spans="3:15" s="230" customFormat="1" x14ac:dyDescent="0.25">
      <c r="C23" s="230" t="s">
        <v>931</v>
      </c>
      <c r="D23" s="230" t="str">
        <f>'3A2 price res parking'!$H$28</f>
        <v>Not Active</v>
      </c>
      <c r="E23" s="230">
        <f>Conflict_Calc!BM23</f>
        <v>0</v>
      </c>
      <c r="F23" s="209" t="str">
        <f>'3A2 price res parking'!$E$28</f>
        <v/>
      </c>
      <c r="G23" s="209">
        <f t="shared" ref="G23" si="2">IF(OR(D23="Not Active",E23&gt;0),1,1+F23)</f>
        <v>1</v>
      </c>
      <c r="H23" s="230" t="str">
        <f>INDEX(VL_TDM!$AD$11:$AD$41,MATCH($C23,VL_TDM!$B$11:$B$41,0),1)</f>
        <v>Project-generated trips</v>
      </c>
      <c r="I23" s="209">
        <f t="shared" si="0"/>
        <v>1</v>
      </c>
      <c r="J23" s="209">
        <f t="shared" si="0"/>
        <v>1</v>
      </c>
      <c r="K23" s="209">
        <f t="shared" si="0"/>
        <v>1</v>
      </c>
      <c r="L23" s="209">
        <f t="shared" si="0"/>
        <v>1</v>
      </c>
    </row>
    <row r="24" spans="3:15" x14ac:dyDescent="0.25">
      <c r="C24" s="43" t="s">
        <v>28</v>
      </c>
      <c r="D24" s="43" t="str">
        <f>'3B parking cash-out'!$H$14</f>
        <v>Not Active</v>
      </c>
      <c r="E24" s="230">
        <f>Conflict_Calc!BM24</f>
        <v>0</v>
      </c>
      <c r="F24" s="209" t="str">
        <f>'3B parking cash-out'!$E$14</f>
        <v/>
      </c>
      <c r="G24" s="209">
        <f t="shared" si="1"/>
        <v>1</v>
      </c>
      <c r="H24" s="43" t="str">
        <f>INDEX(VL_TDM!$AD$11:$AD$41,MATCH($C24,VL_TDM!$B$11:$B$41,0),1)</f>
        <v>Employee commute trips</v>
      </c>
      <c r="I24" s="209">
        <f t="shared" si="0"/>
        <v>1</v>
      </c>
      <c r="J24" s="209">
        <f t="shared" si="0"/>
        <v>1</v>
      </c>
      <c r="K24" s="209">
        <f t="shared" si="0"/>
        <v>1</v>
      </c>
      <c r="L24" s="209">
        <f t="shared" si="0"/>
        <v>1</v>
      </c>
      <c r="M24" s="43"/>
      <c r="N24" s="43"/>
      <c r="O24" s="43"/>
    </row>
    <row r="25" spans="3:15" x14ac:dyDescent="0.25">
      <c r="C25" s="43" t="s">
        <v>572</v>
      </c>
      <c r="D25" s="43" t="str">
        <f>'3C limit parking'!$H$23</f>
        <v>Not Active</v>
      </c>
      <c r="E25" s="230">
        <f>Conflict_Calc!BM25</f>
        <v>0</v>
      </c>
      <c r="F25" s="209" t="str">
        <f>'3C limit parking'!$E$23</f>
        <v/>
      </c>
      <c r="G25" s="209">
        <f t="shared" si="1"/>
        <v>1</v>
      </c>
      <c r="H25" s="43" t="str">
        <f>INDEX(VL_TDM!$AD$11:$AD$41,MATCH($C25,VL_TDM!$B$11:$B$41,0),1)</f>
        <v>Project-generated trips</v>
      </c>
      <c r="I25" s="209">
        <f t="shared" si="0"/>
        <v>1</v>
      </c>
      <c r="J25" s="209">
        <f t="shared" si="0"/>
        <v>1</v>
      </c>
      <c r="K25" s="209">
        <f t="shared" si="0"/>
        <v>1</v>
      </c>
      <c r="L25" s="209">
        <f t="shared" si="0"/>
        <v>1</v>
      </c>
      <c r="M25" s="43"/>
      <c r="N25" s="43"/>
      <c r="O25" s="43"/>
    </row>
    <row r="26" spans="3:15" x14ac:dyDescent="0.25">
      <c r="C26" s="43" t="s">
        <v>886</v>
      </c>
      <c r="D26" s="43" t="str">
        <f>'3D bike parking'!$I$41</f>
        <v>Not Active</v>
      </c>
      <c r="E26" s="230">
        <f>Conflict_Calc!BM34</f>
        <v>0</v>
      </c>
      <c r="F26" s="209" t="str">
        <f>'3D bike parking'!$F$41</f>
        <v/>
      </c>
      <c r="G26" s="209">
        <f>IF(OR(D26="Not Active",E26&gt;0),1,1+F26)</f>
        <v>1</v>
      </c>
      <c r="H26" s="43" t="str">
        <f>INDEX(VL_TDM!$AD$11:$AD$41,MATCH($C26,VL_TDM!$B$11:$B$41,0),1)</f>
        <v>Project-generated trips</v>
      </c>
      <c r="I26" s="209">
        <f>IF($H26=I$10,$G26,1)</f>
        <v>1</v>
      </c>
      <c r="J26" s="209">
        <f>IF($H26=J$10,$G26,1)</f>
        <v>1</v>
      </c>
      <c r="K26" s="209">
        <f>IF($H26=K$10,$G26,1)</f>
        <v>1</v>
      </c>
      <c r="L26" s="209">
        <f>IF($H26=L$10,$G26,1)</f>
        <v>1</v>
      </c>
      <c r="M26" s="43"/>
      <c r="N26" s="43"/>
      <c r="O26" s="43"/>
    </row>
    <row r="27" spans="3:15" x14ac:dyDescent="0.25">
      <c r="C27" s="43" t="s">
        <v>29</v>
      </c>
      <c r="D27" s="43" t="str">
        <f>'4A street connect'!$H$22</f>
        <v>Not Active</v>
      </c>
      <c r="E27" s="230">
        <f>Conflict_Calc!BM26</f>
        <v>0</v>
      </c>
      <c r="F27" s="209" t="str">
        <f>'4A street connect'!$E$22</f>
        <v/>
      </c>
      <c r="G27" s="209">
        <f t="shared" si="1"/>
        <v>1</v>
      </c>
      <c r="H27" s="43" t="str">
        <f>INDEX(VL_TDM!$AD$11:$AD$41,MATCH($C27,VL_TDM!$B$11:$B$41,0),1)</f>
        <v>All neighborhood/city trips</v>
      </c>
      <c r="I27" s="209">
        <f t="shared" si="0"/>
        <v>1</v>
      </c>
      <c r="J27" s="209">
        <f t="shared" si="0"/>
        <v>1</v>
      </c>
      <c r="K27" s="209">
        <f t="shared" si="0"/>
        <v>1</v>
      </c>
      <c r="L27" s="209">
        <f t="shared" si="0"/>
        <v>1</v>
      </c>
      <c r="M27" s="43"/>
      <c r="N27" s="43"/>
      <c r="O27" s="43"/>
    </row>
    <row r="28" spans="3:15" x14ac:dyDescent="0.25">
      <c r="C28" s="43" t="s">
        <v>30</v>
      </c>
      <c r="D28" s="43" t="str">
        <f>'4B sidewalks'!$H$26</f>
        <v>Not Active</v>
      </c>
      <c r="E28" s="230">
        <f>Conflict_Calc!BM27</f>
        <v>0</v>
      </c>
      <c r="F28" s="209" t="str">
        <f>'4B sidewalks'!$E$26</f>
        <v/>
      </c>
      <c r="G28" s="209">
        <f t="shared" si="1"/>
        <v>1</v>
      </c>
      <c r="H28" s="43" t="str">
        <f>INDEX(VL_TDM!$AD$11:$AD$41,MATCH($C28,VL_TDM!$B$11:$B$41,0),1)</f>
        <v>All neighborhood/city trips</v>
      </c>
      <c r="I28" s="209">
        <f t="shared" si="0"/>
        <v>1</v>
      </c>
      <c r="J28" s="209">
        <f t="shared" si="0"/>
        <v>1</v>
      </c>
      <c r="K28" s="209">
        <f t="shared" si="0"/>
        <v>1</v>
      </c>
      <c r="L28" s="209">
        <f t="shared" si="0"/>
        <v>1</v>
      </c>
      <c r="M28" s="43"/>
      <c r="N28" s="43"/>
      <c r="O28" s="43"/>
    </row>
    <row r="29" spans="3:15" x14ac:dyDescent="0.25">
      <c r="C29" s="43" t="s">
        <v>31</v>
      </c>
      <c r="D29" s="43" t="str">
        <f>'4C bike network'!$I$55</f>
        <v>Not Active</v>
      </c>
      <c r="E29" s="230">
        <f>Conflict_Calc!BM28</f>
        <v>0</v>
      </c>
      <c r="F29" s="209" t="str">
        <f>'4C bike network'!$F$55</f>
        <v/>
      </c>
      <c r="G29" s="209">
        <f t="shared" si="1"/>
        <v>1</v>
      </c>
      <c r="H29" s="43" t="str">
        <f>INDEX(VL_TDM!$AD$11:$AD$41,MATCH($C29,VL_TDM!$B$11:$B$41,0),1)</f>
        <v>All neighborhood/city trips</v>
      </c>
      <c r="I29" s="209">
        <f t="shared" si="0"/>
        <v>1</v>
      </c>
      <c r="J29" s="209">
        <f t="shared" si="0"/>
        <v>1</v>
      </c>
      <c r="K29" s="209">
        <f t="shared" si="0"/>
        <v>1</v>
      </c>
      <c r="L29" s="209">
        <f t="shared" si="0"/>
        <v>1</v>
      </c>
      <c r="M29" s="43"/>
      <c r="N29" s="43"/>
      <c r="O29" s="43"/>
    </row>
    <row r="30" spans="3:15" x14ac:dyDescent="0.25">
      <c r="C30" s="43" t="s">
        <v>32</v>
      </c>
      <c r="D30" s="43" t="str">
        <f>'4D bike project'!$I$55</f>
        <v>Not Active</v>
      </c>
      <c r="E30" s="230">
        <f>Conflict_Calc!BM29</f>
        <v>0</v>
      </c>
      <c r="F30" s="209" t="str">
        <f>'4D bike project'!$F$55</f>
        <v/>
      </c>
      <c r="G30" s="209">
        <f t="shared" si="1"/>
        <v>1</v>
      </c>
      <c r="H30" s="43" t="str">
        <f>INDEX(VL_TDM!$AD$11:$AD$41,MATCH($C30,VL_TDM!$B$11:$B$41,0),1)</f>
        <v>Trips on roadway with bikeway addition</v>
      </c>
      <c r="I30" s="209">
        <f t="shared" si="0"/>
        <v>1</v>
      </c>
      <c r="J30" s="209">
        <f t="shared" si="0"/>
        <v>1</v>
      </c>
      <c r="K30" s="209">
        <f t="shared" si="0"/>
        <v>1</v>
      </c>
      <c r="L30" s="209">
        <f t="shared" si="0"/>
        <v>1</v>
      </c>
      <c r="M30" s="43"/>
      <c r="N30" s="43"/>
      <c r="O30" s="43"/>
    </row>
    <row r="31" spans="3:15" x14ac:dyDescent="0.25">
      <c r="C31" s="43" t="s">
        <v>43</v>
      </c>
      <c r="D31" s="43" t="str">
        <f>'4E bikeshare'!$I$34</f>
        <v>Not Active</v>
      </c>
      <c r="E31" s="230">
        <f>Conflict_Calc!BM30</f>
        <v>0</v>
      </c>
      <c r="F31" s="209" t="str">
        <f>'4E bikeshare'!$F$34</f>
        <v/>
      </c>
      <c r="G31" s="209">
        <f t="shared" si="1"/>
        <v>1</v>
      </c>
      <c r="H31" s="43" t="str">
        <f>INDEX(VL_TDM!$AD$11:$AD$41,MATCH($C31,VL_TDM!$B$11:$B$41,0),1)</f>
        <v>All neighborhood/city trips</v>
      </c>
      <c r="I31" s="209">
        <f t="shared" si="0"/>
        <v>1</v>
      </c>
      <c r="J31" s="209">
        <f t="shared" si="0"/>
        <v>1</v>
      </c>
      <c r="K31" s="209">
        <f t="shared" si="0"/>
        <v>1</v>
      </c>
      <c r="L31" s="209">
        <f t="shared" si="0"/>
        <v>1</v>
      </c>
      <c r="M31" s="43"/>
      <c r="N31" s="43"/>
      <c r="O31" s="43"/>
    </row>
    <row r="32" spans="3:15" x14ac:dyDescent="0.25">
      <c r="C32" s="43" t="s">
        <v>44</v>
      </c>
      <c r="D32" s="43" t="str">
        <f>'4F carshare'!$I$23</f>
        <v>Not Active</v>
      </c>
      <c r="E32" s="230">
        <f>Conflict_Calc!BM31</f>
        <v>0</v>
      </c>
      <c r="F32" s="209" t="str">
        <f>'4F carshare'!$F$23</f>
        <v/>
      </c>
      <c r="G32" s="209">
        <f t="shared" si="1"/>
        <v>1</v>
      </c>
      <c r="H32" s="43" t="str">
        <f>INDEX(VL_TDM!$AD$11:$AD$41,MATCH($C32,VL_TDM!$B$11:$B$41,0),1)</f>
        <v>All neighborhood/city trips</v>
      </c>
      <c r="I32" s="209">
        <f t="shared" si="0"/>
        <v>1</v>
      </c>
      <c r="J32" s="209">
        <f t="shared" si="0"/>
        <v>1</v>
      </c>
      <c r="K32" s="209">
        <f t="shared" si="0"/>
        <v>1</v>
      </c>
      <c r="L32" s="209">
        <f t="shared" si="0"/>
        <v>1</v>
      </c>
      <c r="M32" s="43"/>
      <c r="N32" s="43"/>
      <c r="O32" s="43"/>
    </row>
    <row r="33" spans="3:15" x14ac:dyDescent="0.25">
      <c r="C33" s="43" t="s">
        <v>45</v>
      </c>
      <c r="D33" s="43" t="str">
        <f>'4G CBTP'!$H$22</f>
        <v>Not Active</v>
      </c>
      <c r="E33" s="230">
        <f>Conflict_Calc!BM32</f>
        <v>0</v>
      </c>
      <c r="F33" s="209" t="str">
        <f>'4G CBTP'!$E$22</f>
        <v/>
      </c>
      <c r="G33" s="209">
        <f t="shared" si="1"/>
        <v>1</v>
      </c>
      <c r="H33" s="43" t="str">
        <f>INDEX(VL_TDM!$AD$11:$AD$41,MATCH($C33,VL_TDM!$B$11:$B$41,0),1)</f>
        <v>All neighborhood/city trips</v>
      </c>
      <c r="I33" s="209">
        <f t="shared" si="0"/>
        <v>1</v>
      </c>
      <c r="J33" s="209">
        <f t="shared" si="0"/>
        <v>1</v>
      </c>
      <c r="K33" s="209">
        <f t="shared" si="0"/>
        <v>1</v>
      </c>
      <c r="L33" s="209">
        <f t="shared" si="0"/>
        <v>1</v>
      </c>
      <c r="M33" s="43"/>
      <c r="N33" s="43"/>
      <c r="O33" s="43"/>
    </row>
    <row r="34" spans="3:15" x14ac:dyDescent="0.25">
      <c r="C34" s="43" t="s">
        <v>576</v>
      </c>
      <c r="D34" s="43" t="str">
        <f>'4H traffic calming'!$I$16</f>
        <v>Not Active</v>
      </c>
      <c r="E34" s="230">
        <f>Conflict_Calc!BM33</f>
        <v>0</v>
      </c>
      <c r="F34" s="209" t="str">
        <f>'4H traffic calming'!$F$16</f>
        <v/>
      </c>
      <c r="G34" s="209">
        <f t="shared" si="1"/>
        <v>1</v>
      </c>
      <c r="H34" s="43" t="str">
        <f>INDEX(VL_TDM!$AD$11:$AD$41,MATCH($C34,VL_TDM!$B$11:$B$41,0),1)</f>
        <v>All neighborhood/city trips</v>
      </c>
      <c r="I34" s="209">
        <f t="shared" si="0"/>
        <v>1</v>
      </c>
      <c r="J34" s="209">
        <f t="shared" si="0"/>
        <v>1</v>
      </c>
      <c r="K34" s="209">
        <f t="shared" si="0"/>
        <v>1</v>
      </c>
      <c r="L34" s="209">
        <f t="shared" si="0"/>
        <v>1</v>
      </c>
      <c r="M34" s="43"/>
      <c r="N34" s="43"/>
      <c r="O34" s="43"/>
    </row>
    <row r="35" spans="3:15" x14ac:dyDescent="0.25">
      <c r="C35" s="43" t="s">
        <v>33</v>
      </c>
      <c r="D35" s="43" t="str">
        <f>'5A T network exp'!$H$30</f>
        <v>Not Active</v>
      </c>
      <c r="E35" s="230">
        <f>Conflict_Calc!BM35</f>
        <v>0</v>
      </c>
      <c r="F35" s="209" t="str">
        <f>'5A T network exp'!$E$30</f>
        <v/>
      </c>
      <c r="G35" s="209">
        <f t="shared" si="1"/>
        <v>1</v>
      </c>
      <c r="H35" s="43" t="str">
        <f>INDEX(VL_TDM!$AD$11:$AD$41,MATCH($C35,VL_TDM!$B$11:$B$41,0),1)</f>
        <v>All neighborhood/city trips</v>
      </c>
      <c r="I35" s="209">
        <f t="shared" si="0"/>
        <v>1</v>
      </c>
      <c r="J35" s="209">
        <f t="shared" si="0"/>
        <v>1</v>
      </c>
      <c r="K35" s="209">
        <f t="shared" si="0"/>
        <v>1</v>
      </c>
      <c r="L35" s="209">
        <f t="shared" si="0"/>
        <v>1</v>
      </c>
      <c r="M35" s="43"/>
      <c r="N35" s="43"/>
      <c r="O35" s="43"/>
    </row>
    <row r="36" spans="3:15" x14ac:dyDescent="0.25">
      <c r="C36" s="43" t="s">
        <v>34</v>
      </c>
      <c r="D36" s="43" t="str">
        <f>'5B T freq'!$H$37</f>
        <v>Not Active</v>
      </c>
      <c r="E36" s="230">
        <f>Conflict_Calc!BM36</f>
        <v>0</v>
      </c>
      <c r="F36" s="209" t="str">
        <f>'5B T freq'!$E$37</f>
        <v/>
      </c>
      <c r="G36" s="209">
        <f t="shared" si="1"/>
        <v>1</v>
      </c>
      <c r="H36" s="43" t="str">
        <f>INDEX(VL_TDM!$AD$11:$AD$41,MATCH($C36,VL_TDM!$B$11:$B$41,0),1)</f>
        <v>All neighborhood/city trips</v>
      </c>
      <c r="I36" s="209">
        <f t="shared" si="0"/>
        <v>1</v>
      </c>
      <c r="J36" s="209">
        <f t="shared" si="0"/>
        <v>1</v>
      </c>
      <c r="K36" s="209">
        <f t="shared" si="0"/>
        <v>1</v>
      </c>
      <c r="L36" s="209">
        <f t="shared" si="0"/>
        <v>1</v>
      </c>
      <c r="M36" s="43"/>
      <c r="N36" s="43"/>
      <c r="O36" s="43"/>
    </row>
    <row r="37" spans="3:15" x14ac:dyDescent="0.25">
      <c r="C37" s="43" t="s">
        <v>35</v>
      </c>
      <c r="D37" s="43" t="str">
        <f>'5C T treatments'!$H$37</f>
        <v>Not Active</v>
      </c>
      <c r="E37" s="230">
        <f>Conflict_Calc!BM37</f>
        <v>0</v>
      </c>
      <c r="F37" s="209" t="str">
        <f>'5C T treatments'!$E$37</f>
        <v/>
      </c>
      <c r="G37" s="209">
        <f t="shared" si="1"/>
        <v>1</v>
      </c>
      <c r="H37" s="43" t="str">
        <f>INDEX(VL_TDM!$AD$11:$AD$41,MATCH($C37,VL_TDM!$B$11:$B$41,0),1)</f>
        <v>All neighborhood/city trips</v>
      </c>
      <c r="I37" s="209">
        <f t="shared" si="0"/>
        <v>1</v>
      </c>
      <c r="J37" s="209">
        <f t="shared" si="0"/>
        <v>1</v>
      </c>
      <c r="K37" s="209">
        <f t="shared" si="0"/>
        <v>1</v>
      </c>
      <c r="L37" s="209">
        <f t="shared" si="0"/>
        <v>1</v>
      </c>
      <c r="M37" s="43"/>
      <c r="N37" s="43"/>
      <c r="O37" s="43"/>
    </row>
    <row r="38" spans="3:15" x14ac:dyDescent="0.25">
      <c r="C38" s="43" t="s">
        <v>36</v>
      </c>
      <c r="D38" s="43" t="str">
        <f>'5D T fare reduction'!$H$38</f>
        <v>Not Active</v>
      </c>
      <c r="E38" s="230">
        <f>Conflict_Calc!BM38</f>
        <v>0</v>
      </c>
      <c r="F38" s="209" t="str">
        <f>'5D T fare reduction'!$E$38</f>
        <v/>
      </c>
      <c r="G38" s="209">
        <f t="shared" si="1"/>
        <v>1</v>
      </c>
      <c r="H38" s="43" t="str">
        <f>INDEX(VL_TDM!$AD$11:$AD$41,MATCH($C38,VL_TDM!$B$11:$B$41,0),1)</f>
        <v>All neighborhood/city trips</v>
      </c>
      <c r="I38" s="209">
        <f t="shared" si="0"/>
        <v>1</v>
      </c>
      <c r="J38" s="209">
        <f t="shared" si="0"/>
        <v>1</v>
      </c>
      <c r="K38" s="209">
        <f t="shared" si="0"/>
        <v>1</v>
      </c>
      <c r="L38" s="209">
        <f t="shared" si="0"/>
        <v>1</v>
      </c>
      <c r="M38" s="43"/>
      <c r="N38" s="43"/>
      <c r="O38" s="43"/>
    </row>
    <row r="39" spans="3:15" x14ac:dyDescent="0.25">
      <c r="C39" s="43" t="s">
        <v>37</v>
      </c>
      <c r="D39" s="43" t="str">
        <f>'5E microtransit'!$H$34</f>
        <v>Not Active</v>
      </c>
      <c r="E39" s="230">
        <f>Conflict_Calc!BM39</f>
        <v>0</v>
      </c>
      <c r="F39" s="209" t="str">
        <f>'5E microtransit'!$E$34</f>
        <v/>
      </c>
      <c r="G39" s="209">
        <f t="shared" si="1"/>
        <v>1</v>
      </c>
      <c r="H39" s="43" t="str">
        <f>INDEX(VL_TDM!$AD$11:$AD$41,MATCH($C39,VL_TDM!$B$11:$B$41,0),1)</f>
        <v>All neighborhood/city trips</v>
      </c>
      <c r="I39" s="209">
        <f t="shared" si="0"/>
        <v>1</v>
      </c>
      <c r="J39" s="209">
        <f t="shared" si="0"/>
        <v>1</v>
      </c>
      <c r="K39" s="209">
        <f t="shared" si="0"/>
        <v>1</v>
      </c>
      <c r="L39" s="209">
        <f t="shared" si="0"/>
        <v>1</v>
      </c>
      <c r="M39" s="43"/>
      <c r="N39" s="43"/>
      <c r="O39" s="43"/>
    </row>
    <row r="40" spans="3:15" x14ac:dyDescent="0.25">
      <c r="D40" s="43"/>
      <c r="G40" s="43"/>
      <c r="J40" s="43"/>
      <c r="K40" s="43"/>
      <c r="L40" s="43"/>
      <c r="M40" s="43"/>
      <c r="N40" s="43"/>
      <c r="O40" s="43"/>
    </row>
    <row r="41" spans="3:15" x14ac:dyDescent="0.25">
      <c r="D41" s="43"/>
      <c r="G41" s="43"/>
      <c r="J41" s="43"/>
      <c r="K41" s="43"/>
      <c r="L41" s="43"/>
      <c r="M41" s="43"/>
      <c r="N41" s="43"/>
      <c r="O41" s="43"/>
    </row>
    <row r="42" spans="3:15" x14ac:dyDescent="0.25">
      <c r="D42" s="43"/>
      <c r="G42" s="43"/>
      <c r="J42" s="43"/>
      <c r="K42" s="43"/>
      <c r="L42" s="43"/>
      <c r="M42" s="43"/>
      <c r="N42" s="43"/>
      <c r="O42" s="43"/>
    </row>
    <row r="43" spans="3:15" x14ac:dyDescent="0.25">
      <c r="D43" s="43"/>
      <c r="G43" s="43"/>
      <c r="J43" s="43"/>
      <c r="K43" s="43"/>
      <c r="L43" s="43"/>
      <c r="M43" s="43"/>
      <c r="N43" s="43"/>
      <c r="O43" s="43"/>
    </row>
    <row r="44" spans="3:15" x14ac:dyDescent="0.25">
      <c r="D44" s="43"/>
      <c r="G44" s="43"/>
      <c r="J44" s="43"/>
      <c r="K44" s="43"/>
      <c r="L44" s="43"/>
      <c r="M44" s="43"/>
      <c r="N44" s="43"/>
      <c r="O44" s="43"/>
    </row>
    <row r="45" spans="3:15" x14ac:dyDescent="0.25">
      <c r="D45" s="43"/>
      <c r="G45" s="43"/>
      <c r="J45" s="43"/>
      <c r="K45" s="43"/>
      <c r="L45" s="43"/>
      <c r="M45" s="43"/>
      <c r="N45" s="43"/>
      <c r="O45" s="43"/>
    </row>
    <row r="46" spans="3:15" x14ac:dyDescent="0.25">
      <c r="D46" s="43"/>
      <c r="G46" s="43"/>
      <c r="J46" s="43"/>
      <c r="K46" s="43"/>
      <c r="L46" s="43"/>
      <c r="M46" s="43"/>
      <c r="N46" s="43"/>
      <c r="O46" s="43"/>
    </row>
    <row r="47" spans="3:15" x14ac:dyDescent="0.25">
      <c r="D47" s="43"/>
      <c r="G47" s="43"/>
      <c r="J47" s="43"/>
      <c r="K47" s="43"/>
      <c r="L47" s="43"/>
      <c r="M47" s="43"/>
      <c r="N47" s="43"/>
      <c r="O47" s="43"/>
    </row>
    <row r="48" spans="3:15" x14ac:dyDescent="0.25">
      <c r="D48" s="43"/>
      <c r="G48" s="43"/>
      <c r="J48" s="43"/>
      <c r="K48" s="43"/>
      <c r="L48" s="43"/>
      <c r="M48" s="43"/>
      <c r="N48" s="43"/>
      <c r="O48" s="43"/>
    </row>
    <row r="49" spans="4:15" x14ac:dyDescent="0.25">
      <c r="D49" s="43"/>
      <c r="G49" s="43"/>
      <c r="J49" s="43"/>
      <c r="K49" s="43"/>
      <c r="L49" s="43"/>
      <c r="M49" s="43"/>
      <c r="N49" s="43"/>
      <c r="O49" s="43"/>
    </row>
    <row r="50" spans="4:15" x14ac:dyDescent="0.25">
      <c r="D50" s="43"/>
      <c r="G50" s="43"/>
      <c r="J50" s="43"/>
      <c r="K50" s="43"/>
      <c r="L50" s="43"/>
      <c r="M50" s="43"/>
      <c r="N50" s="43"/>
      <c r="O50" s="43"/>
    </row>
    <row r="51" spans="4:15" x14ac:dyDescent="0.25">
      <c r="D51" s="43"/>
      <c r="G51" s="43"/>
      <c r="J51" s="43"/>
      <c r="K51" s="43"/>
      <c r="L51" s="43"/>
      <c r="M51" s="43"/>
      <c r="N51" s="43"/>
      <c r="O51" s="43"/>
    </row>
    <row r="52" spans="4:15" x14ac:dyDescent="0.25">
      <c r="D52" s="43"/>
      <c r="G52" s="43"/>
      <c r="J52" s="43"/>
      <c r="K52" s="43"/>
      <c r="L52" s="43"/>
      <c r="M52" s="43"/>
      <c r="N52" s="43"/>
      <c r="O52"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25</vt:i4>
      </vt:variant>
    </vt:vector>
  </HeadingPairs>
  <TitlesOfParts>
    <vt:vector size="64" baseType="lpstr">
      <vt:lpstr>Main</vt:lpstr>
      <vt:lpstr>FAQs</vt:lpstr>
      <vt:lpstr>Results</vt:lpstr>
      <vt:lpstr>Conflict Info</vt:lpstr>
      <vt:lpstr>VL_TDM</vt:lpstr>
      <vt:lpstr>VL_REF</vt:lpstr>
      <vt:lpstr>VL_TAZ</vt:lpstr>
      <vt:lpstr>To do list</vt:lpstr>
      <vt:lpstr>Calc</vt:lpstr>
      <vt:lpstr>Conflict_Calc</vt:lpstr>
      <vt:lpstr>1A VCTR program</vt:lpstr>
      <vt:lpstr>1B CTR program</vt:lpstr>
      <vt:lpstr>1C carpool</vt:lpstr>
      <vt:lpstr>1D1 transit subsidy (employees)</vt:lpstr>
      <vt:lpstr>1D2 transit subsidy (residents)</vt:lpstr>
      <vt:lpstr>1E vanpool</vt:lpstr>
      <vt:lpstr>1F telecommute</vt:lpstr>
      <vt:lpstr>2A TOD</vt:lpstr>
      <vt:lpstr>2B1 Inc Res Dens</vt:lpstr>
      <vt:lpstr>2B2 Inc Emp Dens</vt:lpstr>
      <vt:lpstr>2C affordable housing</vt:lpstr>
      <vt:lpstr>3A1 price emp parking</vt:lpstr>
      <vt:lpstr>3A2 price res parking</vt:lpstr>
      <vt:lpstr>3B parking cash-out</vt:lpstr>
      <vt:lpstr>3C limit parking</vt:lpstr>
      <vt:lpstr>3D bike parking</vt:lpstr>
      <vt:lpstr>4A street connect</vt:lpstr>
      <vt:lpstr>4B sidewalks</vt:lpstr>
      <vt:lpstr>4C bike network</vt:lpstr>
      <vt:lpstr>4D bike project</vt:lpstr>
      <vt:lpstr>4E bikeshare</vt:lpstr>
      <vt:lpstr>4F carshare</vt:lpstr>
      <vt:lpstr>4G CBTP</vt:lpstr>
      <vt:lpstr>4H traffic calming</vt:lpstr>
      <vt:lpstr>5A T network exp</vt:lpstr>
      <vt:lpstr>5B T freq</vt:lpstr>
      <vt:lpstr>5C T treatments</vt:lpstr>
      <vt:lpstr>5D T fare reduction</vt:lpstr>
      <vt:lpstr>5E microtransit</vt:lpstr>
      <vt:lpstr>Change_In_VMT_1B_CTR_Program</vt:lpstr>
      <vt:lpstr>Change_in_VMT_1C_Carpool</vt:lpstr>
      <vt:lpstr>Change_in_VMT_1E_Vanpool</vt:lpstr>
      <vt:lpstr>Change_in_VMT_1F_Telecommute</vt:lpstr>
      <vt:lpstr>Change_in_VMT_2A_TOD</vt:lpstr>
      <vt:lpstr>'3A2 price res parking'!Change_in_VMT_3A_Parking_Price</vt:lpstr>
      <vt:lpstr>Change_in_VMT_3A_Parking_Price</vt:lpstr>
      <vt:lpstr>Change_in_VMT_3B_Parking_Cashout</vt:lpstr>
      <vt:lpstr>Change_in_VMT_4A_Street_Connect</vt:lpstr>
      <vt:lpstr>Change_in_VMT_4B_Sidewalks</vt:lpstr>
      <vt:lpstr>Change_in_VMT_4C_Bike_Networks</vt:lpstr>
      <vt:lpstr>Change_in_VMT_4D_Bike_Project</vt:lpstr>
      <vt:lpstr>Change_in_VMT_4E_Bikeshare</vt:lpstr>
      <vt:lpstr>Change_in_VMT_4F_Carshare</vt:lpstr>
      <vt:lpstr>Change_in_VMT_4G_CBTP</vt:lpstr>
      <vt:lpstr>Change_in_VMT_5A_T_Network_Exp</vt:lpstr>
      <vt:lpstr>Change_in_VMT_5B_T_Freq</vt:lpstr>
      <vt:lpstr>Change_in_VMT_5C_T_treatments</vt:lpstr>
      <vt:lpstr>Change_in_VMT_5D_Fare_Reduction</vt:lpstr>
      <vt:lpstr>Change_in_VMT_5E_Microtransit</vt:lpstr>
      <vt:lpstr>Database</vt:lpstr>
      <vt:lpstr>jurisdiction</vt:lpstr>
      <vt:lpstr>Location</vt:lpstr>
      <vt:lpstr>FAQs!Print_Area</vt:lpstr>
      <vt:lpstr>Results!Print_Titles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Aleida Andrino-Chavez</dc:creator>
  <cp:keywords/>
  <dc:description/>
  <cp:lastModifiedBy>Aleida Andrino-Chavez</cp:lastModifiedBy>
  <cp:revision>1</cp:revision>
  <cp:lastPrinted>2021-03-30T22:09:50Z</cp:lastPrinted>
  <dcterms:created xsi:type="dcterms:W3CDTF">2021-03-17T00:43:39Z</dcterms:created>
  <dcterms:modified xsi:type="dcterms:W3CDTF">2021-08-27T05:52:26Z</dcterms:modified>
  <cp:category/>
  <cp:contentStatus/>
</cp:coreProperties>
</file>