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Planning_Policy_Public_Affairs\Planning\CW_Bicycle_Pedestrian\Bicycle_Pedestrian_Plans\2017\8_CostRevenueEst\"/>
    </mc:Choice>
  </mc:AlternateContent>
  <bookViews>
    <workbookView xWindow="0" yWindow="0" windowWidth="28800" windowHeight="11835" activeTab="1"/>
  </bookViews>
  <sheets>
    <sheet name="README" sheetId="8" r:id="rId1"/>
    <sheet name="ProjectCostEstimate_Template" sheetId="4" r:id="rId2"/>
    <sheet name="UnitCosts" sheetId="1" r:id="rId3"/>
    <sheet name="FacilityCosts" sheetId="2" r:id="rId4"/>
    <sheet name="Inputs" sheetId="6" r:id="rId5"/>
  </sheets>
  <definedNames>
    <definedName name="_xlnm.Print_Area" localSheetId="1">ProjectCostEstimate_Template!$B$1:$G$24</definedName>
    <definedName name="_xlnm.Print_Area" localSheetId="0">README!$B$1:$G$6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 i="4" l="1"/>
  <c r="B14" i="4" s="1"/>
  <c r="B15" i="4" s="1"/>
  <c r="B16" i="4" s="1"/>
  <c r="B17" i="4" s="1"/>
  <c r="B18" i="4" s="1"/>
  <c r="B20" i="4" s="1"/>
  <c r="B21" i="4" s="1"/>
  <c r="B22" i="4" s="1"/>
  <c r="B23" i="4" s="1"/>
  <c r="B12" i="4"/>
  <c r="F17" i="4"/>
  <c r="G17" i="4" s="1"/>
  <c r="F14" i="4"/>
  <c r="G14" i="4" s="1"/>
  <c r="F15" i="4"/>
  <c r="G15" i="4" s="1"/>
  <c r="O57" i="1" l="1"/>
  <c r="O58" i="1"/>
  <c r="J7" i="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K6" i="1"/>
  <c r="J6" i="1"/>
  <c r="X35" i="1" l="1"/>
  <c r="X26" i="1"/>
  <c r="Z13" i="1" l="1"/>
  <c r="Y26" i="1"/>
  <c r="X13" i="1"/>
  <c r="T11" i="1"/>
  <c r="W20" i="1"/>
  <c r="T19" i="1"/>
  <c r="W13" i="1"/>
  <c r="W40" i="1"/>
  <c r="D22" i="4" l="1"/>
  <c r="D23" i="4"/>
  <c r="D20" i="4"/>
  <c r="D21" i="4"/>
  <c r="P54" i="1"/>
  <c r="P52" i="1"/>
  <c r="AF52" i="1"/>
  <c r="N40" i="1"/>
  <c r="M40" i="1"/>
  <c r="L40" i="1"/>
  <c r="O40" i="1" s="1"/>
  <c r="I40" i="1"/>
  <c r="H40" i="1"/>
  <c r="G40" i="1"/>
  <c r="F40" i="1"/>
  <c r="P56" i="1"/>
  <c r="Q23" i="1"/>
  <c r="P23" i="1"/>
  <c r="P45" i="1"/>
  <c r="Q36" i="1"/>
  <c r="Q35" i="1"/>
  <c r="P35" i="1"/>
  <c r="AD34" i="1"/>
  <c r="Z34" i="1"/>
  <c r="W34" i="1"/>
  <c r="P36" i="1"/>
  <c r="AF54" i="1"/>
  <c r="AB27" i="1"/>
  <c r="AA27" i="1"/>
  <c r="AB26" i="1"/>
  <c r="AA26" i="1"/>
  <c r="P13" i="1"/>
  <c r="Z20" i="1"/>
  <c r="Y20" i="1"/>
  <c r="X20" i="1"/>
  <c r="V18" i="1"/>
  <c r="U18" i="1"/>
  <c r="S20" i="1"/>
  <c r="E19" i="1"/>
  <c r="N19" i="1"/>
  <c r="M19" i="1"/>
  <c r="L19" i="1"/>
  <c r="O19" i="1" s="1"/>
  <c r="I19" i="1"/>
  <c r="H19" i="1"/>
  <c r="G19" i="1"/>
  <c r="F19" i="1"/>
  <c r="R20" i="1"/>
  <c r="Q20" i="1"/>
  <c r="P20" i="1"/>
  <c r="AA16" i="1"/>
  <c r="P16" i="1"/>
  <c r="Y15" i="1"/>
  <c r="X15" i="1"/>
  <c r="Y13" i="1"/>
  <c r="T13" i="1"/>
  <c r="S13" i="1"/>
  <c r="R13" i="1"/>
  <c r="D7" i="6"/>
  <c r="Q13" i="1"/>
  <c r="Z8" i="1"/>
  <c r="X8" i="1"/>
  <c r="W8" i="1"/>
  <c r="T8" i="1"/>
  <c r="S8" i="1"/>
  <c r="R8" i="1"/>
  <c r="P8" i="1"/>
  <c r="P28" i="1" l="1"/>
  <c r="Z11" i="1"/>
  <c r="V31" i="1"/>
  <c r="Z40" i="1"/>
  <c r="W42" i="1"/>
  <c r="P31" i="1"/>
  <c r="S42" i="1"/>
  <c r="W11" i="1"/>
  <c r="Y28" i="1"/>
  <c r="V32" i="1"/>
  <c r="Q16" i="1"/>
  <c r="Q28" i="1"/>
  <c r="AA28" i="1"/>
  <c r="AB16" i="1"/>
  <c r="AB28" i="1"/>
  <c r="P42" i="1"/>
  <c r="N29" i="1"/>
  <c r="M29" i="1"/>
  <c r="L29" i="1"/>
  <c r="O29" i="1" s="1"/>
  <c r="I29" i="1"/>
  <c r="H29" i="1"/>
  <c r="G29" i="1"/>
  <c r="F29" i="1"/>
  <c r="E12" i="1"/>
  <c r="AE7" i="1"/>
  <c r="E20" i="1"/>
  <c r="E18" i="1"/>
  <c r="T57" i="1" l="1"/>
  <c r="F12" i="2" s="1"/>
  <c r="Y57" i="1"/>
  <c r="F19" i="2" s="1"/>
  <c r="P57" i="1"/>
  <c r="F7" i="2" s="1"/>
  <c r="Z57" i="1"/>
  <c r="F20" i="2" s="1"/>
  <c r="AF57" i="1"/>
  <c r="F27" i="2" s="1"/>
  <c r="W57" i="1"/>
  <c r="F17" i="2" s="1"/>
  <c r="AE57" i="1"/>
  <c r="F26" i="2" s="1"/>
  <c r="V57" i="1"/>
  <c r="F15" i="2" s="1"/>
  <c r="X57" i="1"/>
  <c r="F18" i="2" s="1"/>
  <c r="AD57" i="1"/>
  <c r="F25" i="2" s="1"/>
  <c r="U57" i="1"/>
  <c r="F14" i="2" s="1"/>
  <c r="AC57" i="1"/>
  <c r="F24" i="2" s="1"/>
  <c r="Q57" i="1"/>
  <c r="F8" i="2" s="1"/>
  <c r="AB57" i="1"/>
  <c r="F23" i="2" s="1"/>
  <c r="S57" i="1"/>
  <c r="F11" i="2" s="1"/>
  <c r="AA57" i="1"/>
  <c r="F22" i="2" s="1"/>
  <c r="R57" i="1"/>
  <c r="F10" i="2" s="1"/>
  <c r="N16" i="1"/>
  <c r="M16" i="1"/>
  <c r="L16" i="1"/>
  <c r="O16" i="1" s="1"/>
  <c r="I16" i="1"/>
  <c r="H16" i="1"/>
  <c r="G16" i="1"/>
  <c r="F16" i="1"/>
  <c r="N39" i="1"/>
  <c r="M39" i="1"/>
  <c r="L39" i="1"/>
  <c r="O39" i="1" s="1"/>
  <c r="I39" i="1"/>
  <c r="H39" i="1"/>
  <c r="G39" i="1"/>
  <c r="F39" i="1"/>
  <c r="N33" i="1"/>
  <c r="M33" i="1"/>
  <c r="L33" i="1"/>
  <c r="O33" i="1" s="1"/>
  <c r="I33" i="1"/>
  <c r="H33" i="1"/>
  <c r="G33" i="1"/>
  <c r="F33" i="1"/>
  <c r="N12" i="1"/>
  <c r="M12" i="1"/>
  <c r="L12" i="1"/>
  <c r="O12" i="1" s="1"/>
  <c r="F22" i="4" s="1"/>
  <c r="I12" i="1"/>
  <c r="H12" i="1"/>
  <c r="G12" i="1"/>
  <c r="F12" i="1"/>
  <c r="N46" i="1"/>
  <c r="M46" i="1"/>
  <c r="L46" i="1"/>
  <c r="O46" i="1" s="1"/>
  <c r="I46" i="1"/>
  <c r="H46" i="1"/>
  <c r="G46" i="1"/>
  <c r="F46" i="1"/>
  <c r="F7" i="1"/>
  <c r="G7" i="1"/>
  <c r="H7" i="1"/>
  <c r="I7" i="1"/>
  <c r="L7" i="1"/>
  <c r="O7" i="1" s="1"/>
  <c r="M7" i="1"/>
  <c r="N7" i="1"/>
  <c r="F8" i="1"/>
  <c r="G8" i="1"/>
  <c r="H8" i="1"/>
  <c r="I8" i="1"/>
  <c r="L8" i="1"/>
  <c r="O8" i="1" s="1"/>
  <c r="M8" i="1"/>
  <c r="N8" i="1"/>
  <c r="F9" i="1"/>
  <c r="G9" i="1"/>
  <c r="H9" i="1"/>
  <c r="I9" i="1"/>
  <c r="L9" i="1"/>
  <c r="O9" i="1" s="1"/>
  <c r="M9" i="1"/>
  <c r="N9" i="1"/>
  <c r="F10" i="1"/>
  <c r="G10" i="1"/>
  <c r="H10" i="1"/>
  <c r="I10" i="1"/>
  <c r="L10" i="1"/>
  <c r="O10" i="1" s="1"/>
  <c r="M10" i="1"/>
  <c r="N10" i="1"/>
  <c r="F11" i="1"/>
  <c r="G11" i="1"/>
  <c r="H11" i="1"/>
  <c r="I11" i="1"/>
  <c r="L11" i="1"/>
  <c r="O11" i="1" s="1"/>
  <c r="M11" i="1"/>
  <c r="N11" i="1"/>
  <c r="F13" i="1"/>
  <c r="G13" i="1"/>
  <c r="H13" i="1"/>
  <c r="I13" i="1"/>
  <c r="L13" i="1"/>
  <c r="O13" i="1" s="1"/>
  <c r="M13" i="1"/>
  <c r="N13" i="1"/>
  <c r="F14" i="1"/>
  <c r="G14" i="1"/>
  <c r="H14" i="1"/>
  <c r="I14" i="1"/>
  <c r="L14" i="1"/>
  <c r="O14" i="1" s="1"/>
  <c r="M14" i="1"/>
  <c r="N14" i="1"/>
  <c r="F15" i="1"/>
  <c r="G15" i="1"/>
  <c r="H15" i="1"/>
  <c r="I15" i="1"/>
  <c r="L15" i="1"/>
  <c r="O15" i="1" s="1"/>
  <c r="M15" i="1"/>
  <c r="N15" i="1"/>
  <c r="F17" i="1"/>
  <c r="G17" i="1"/>
  <c r="H17" i="1"/>
  <c r="I17" i="1"/>
  <c r="L17" i="1"/>
  <c r="O17" i="1" s="1"/>
  <c r="M17" i="1"/>
  <c r="N17" i="1"/>
  <c r="F18" i="1"/>
  <c r="G18" i="1"/>
  <c r="H18" i="1"/>
  <c r="I18" i="1"/>
  <c r="L18" i="1"/>
  <c r="O18" i="1" s="1"/>
  <c r="M18" i="1"/>
  <c r="N18" i="1"/>
  <c r="F20" i="1"/>
  <c r="G20" i="1"/>
  <c r="H20" i="1"/>
  <c r="I20" i="1"/>
  <c r="L20" i="1"/>
  <c r="O20" i="1" s="1"/>
  <c r="M20" i="1"/>
  <c r="N20" i="1"/>
  <c r="F21" i="1"/>
  <c r="G21" i="1"/>
  <c r="H21" i="1"/>
  <c r="I21" i="1"/>
  <c r="L21" i="1"/>
  <c r="O21" i="1" s="1"/>
  <c r="M21" i="1"/>
  <c r="N21" i="1"/>
  <c r="F22" i="1"/>
  <c r="G22" i="1"/>
  <c r="H22" i="1"/>
  <c r="I22" i="1"/>
  <c r="L22" i="1"/>
  <c r="O22" i="1" s="1"/>
  <c r="M22" i="1"/>
  <c r="N22" i="1"/>
  <c r="F23" i="1"/>
  <c r="G23" i="1"/>
  <c r="H23" i="1"/>
  <c r="I23" i="1"/>
  <c r="L23" i="1"/>
  <c r="O23" i="1" s="1"/>
  <c r="M23" i="1"/>
  <c r="N23" i="1"/>
  <c r="F24" i="1"/>
  <c r="G24" i="1"/>
  <c r="H24" i="1"/>
  <c r="I24" i="1"/>
  <c r="L24" i="1"/>
  <c r="O24" i="1" s="1"/>
  <c r="M24" i="1"/>
  <c r="N24" i="1"/>
  <c r="F25" i="1"/>
  <c r="G25" i="1"/>
  <c r="H25" i="1"/>
  <c r="I25" i="1"/>
  <c r="L25" i="1"/>
  <c r="O25" i="1" s="1"/>
  <c r="M25" i="1"/>
  <c r="N25" i="1"/>
  <c r="F26" i="1"/>
  <c r="G26" i="1"/>
  <c r="H26" i="1"/>
  <c r="I26" i="1"/>
  <c r="L26" i="1"/>
  <c r="O26" i="1" s="1"/>
  <c r="M26" i="1"/>
  <c r="N26" i="1"/>
  <c r="F27" i="1"/>
  <c r="G27" i="1"/>
  <c r="H27" i="1"/>
  <c r="I27" i="1"/>
  <c r="L27" i="1"/>
  <c r="O27" i="1" s="1"/>
  <c r="M27" i="1"/>
  <c r="N27" i="1"/>
  <c r="F28" i="1"/>
  <c r="G28" i="1"/>
  <c r="H28" i="1"/>
  <c r="I28" i="1"/>
  <c r="L28" i="1"/>
  <c r="O28" i="1" s="1"/>
  <c r="F21" i="4" s="1"/>
  <c r="G21" i="4" s="1"/>
  <c r="M28" i="1"/>
  <c r="N28" i="1"/>
  <c r="F30" i="1"/>
  <c r="G30" i="1"/>
  <c r="H30" i="1"/>
  <c r="I30" i="1"/>
  <c r="L30" i="1"/>
  <c r="O30" i="1" s="1"/>
  <c r="M30" i="1"/>
  <c r="N30" i="1"/>
  <c r="F31" i="1"/>
  <c r="G31" i="1"/>
  <c r="H31" i="1"/>
  <c r="I31" i="1"/>
  <c r="L31" i="1"/>
  <c r="O31" i="1" s="1"/>
  <c r="M31" i="1"/>
  <c r="N31" i="1"/>
  <c r="F32" i="1"/>
  <c r="G32" i="1"/>
  <c r="H32" i="1"/>
  <c r="I32" i="1"/>
  <c r="L32" i="1"/>
  <c r="O32" i="1" s="1"/>
  <c r="M32" i="1"/>
  <c r="N32" i="1"/>
  <c r="F34" i="1"/>
  <c r="G34" i="1"/>
  <c r="H34" i="1"/>
  <c r="I34" i="1"/>
  <c r="L34" i="1"/>
  <c r="O34" i="1" s="1"/>
  <c r="M34" i="1"/>
  <c r="N34" i="1"/>
  <c r="F35" i="1"/>
  <c r="G35" i="1"/>
  <c r="H35" i="1"/>
  <c r="I35" i="1"/>
  <c r="L35" i="1"/>
  <c r="O35" i="1" s="1"/>
  <c r="M35" i="1"/>
  <c r="N35" i="1"/>
  <c r="F36" i="1"/>
  <c r="G36" i="1"/>
  <c r="H36" i="1"/>
  <c r="I36" i="1"/>
  <c r="L36" i="1"/>
  <c r="O36" i="1" s="1"/>
  <c r="M36" i="1"/>
  <c r="N36" i="1"/>
  <c r="F37" i="1"/>
  <c r="G37" i="1"/>
  <c r="H37" i="1"/>
  <c r="I37" i="1"/>
  <c r="L37" i="1"/>
  <c r="O37" i="1" s="1"/>
  <c r="M37" i="1"/>
  <c r="N37" i="1"/>
  <c r="F38" i="1"/>
  <c r="G38" i="1"/>
  <c r="H38" i="1"/>
  <c r="I38" i="1"/>
  <c r="L38" i="1"/>
  <c r="O38" i="1" s="1"/>
  <c r="M38" i="1"/>
  <c r="N38" i="1"/>
  <c r="F41" i="1"/>
  <c r="G41" i="1"/>
  <c r="H41" i="1"/>
  <c r="I41" i="1"/>
  <c r="L41" i="1"/>
  <c r="O41" i="1" s="1"/>
  <c r="M41" i="1"/>
  <c r="N41" i="1"/>
  <c r="F42" i="1"/>
  <c r="G42" i="1"/>
  <c r="H42" i="1"/>
  <c r="I42" i="1"/>
  <c r="L42" i="1"/>
  <c r="O42" i="1" s="1"/>
  <c r="M42" i="1"/>
  <c r="N42" i="1"/>
  <c r="F43" i="1"/>
  <c r="G43" i="1"/>
  <c r="H43" i="1"/>
  <c r="I43" i="1"/>
  <c r="L43" i="1"/>
  <c r="O43" i="1" s="1"/>
  <c r="M43" i="1"/>
  <c r="N43" i="1"/>
  <c r="F44" i="1"/>
  <c r="G44" i="1"/>
  <c r="H44" i="1"/>
  <c r="I44" i="1"/>
  <c r="L44" i="1"/>
  <c r="O44" i="1" s="1"/>
  <c r="M44" i="1"/>
  <c r="N44" i="1"/>
  <c r="F45" i="1"/>
  <c r="G45" i="1"/>
  <c r="H45" i="1"/>
  <c r="I45" i="1"/>
  <c r="L45" i="1"/>
  <c r="O45" i="1" s="1"/>
  <c r="M45" i="1"/>
  <c r="N45" i="1"/>
  <c r="F47" i="1"/>
  <c r="G47" i="1"/>
  <c r="H47" i="1"/>
  <c r="I47" i="1"/>
  <c r="L47" i="1"/>
  <c r="O47" i="1" s="1"/>
  <c r="M47" i="1"/>
  <c r="N47" i="1"/>
  <c r="F48" i="1"/>
  <c r="G48" i="1"/>
  <c r="H48" i="1"/>
  <c r="I48" i="1"/>
  <c r="L48" i="1"/>
  <c r="O48" i="1" s="1"/>
  <c r="M48" i="1"/>
  <c r="N48" i="1"/>
  <c r="F49" i="1"/>
  <c r="G49" i="1"/>
  <c r="H49" i="1"/>
  <c r="I49" i="1"/>
  <c r="L49" i="1"/>
  <c r="O49" i="1" s="1"/>
  <c r="M49" i="1"/>
  <c r="N49" i="1"/>
  <c r="F50" i="1"/>
  <c r="G50" i="1"/>
  <c r="H50" i="1"/>
  <c r="I50" i="1"/>
  <c r="L50" i="1"/>
  <c r="O50" i="1" s="1"/>
  <c r="M50" i="1"/>
  <c r="N50" i="1"/>
  <c r="F51" i="1"/>
  <c r="G51" i="1"/>
  <c r="H51" i="1"/>
  <c r="I51" i="1"/>
  <c r="L51" i="1"/>
  <c r="O51" i="1" s="1"/>
  <c r="F23" i="4" s="1"/>
  <c r="M51" i="1"/>
  <c r="N51" i="1"/>
  <c r="F52" i="1"/>
  <c r="G52" i="1"/>
  <c r="H52" i="1"/>
  <c r="I52" i="1"/>
  <c r="L52" i="1"/>
  <c r="O52" i="1" s="1"/>
  <c r="M52" i="1"/>
  <c r="N52" i="1"/>
  <c r="F53" i="1"/>
  <c r="G53" i="1"/>
  <c r="H53" i="1"/>
  <c r="I53" i="1"/>
  <c r="L53" i="1"/>
  <c r="O53" i="1" s="1"/>
  <c r="F20" i="4" s="1"/>
  <c r="G20" i="4" s="1"/>
  <c r="M53" i="1"/>
  <c r="N53" i="1"/>
  <c r="F54" i="1"/>
  <c r="G54" i="1"/>
  <c r="H54" i="1"/>
  <c r="I54" i="1"/>
  <c r="L54" i="1"/>
  <c r="O54" i="1" s="1"/>
  <c r="M54" i="1"/>
  <c r="N54" i="1"/>
  <c r="F55" i="1"/>
  <c r="G55" i="1"/>
  <c r="H55" i="1"/>
  <c r="I55" i="1"/>
  <c r="L55" i="1"/>
  <c r="O55" i="1" s="1"/>
  <c r="M55" i="1"/>
  <c r="N55" i="1"/>
  <c r="F56" i="1"/>
  <c r="G56" i="1"/>
  <c r="H56" i="1"/>
  <c r="I56" i="1"/>
  <c r="L56" i="1"/>
  <c r="O56" i="1" s="1"/>
  <c r="M56" i="1"/>
  <c r="N56" i="1"/>
  <c r="N6" i="1"/>
  <c r="M6" i="1"/>
  <c r="L6" i="1"/>
  <c r="O6" i="1" s="1"/>
  <c r="I6" i="1"/>
  <c r="H6" i="1"/>
  <c r="G6" i="1"/>
  <c r="F6" i="1"/>
  <c r="G22" i="4" l="1"/>
  <c r="G23" i="4" l="1"/>
  <c r="AE58" i="1" l="1"/>
  <c r="G26" i="2" s="1"/>
  <c r="X58" i="1"/>
  <c r="G18" i="2" s="1"/>
  <c r="F12" i="4" s="1"/>
  <c r="AC58" i="1"/>
  <c r="G24" i="2" s="1"/>
  <c r="AF58" i="1"/>
  <c r="G27" i="2" s="1"/>
  <c r="W58" i="1"/>
  <c r="G17" i="2" s="1"/>
  <c r="AA58" i="1"/>
  <c r="G22" i="2" s="1"/>
  <c r="F18" i="4" s="1"/>
  <c r="S58" i="1"/>
  <c r="G11" i="2" s="1"/>
  <c r="P58" i="1"/>
  <c r="G7" i="2" s="1"/>
  <c r="V58" i="1"/>
  <c r="G15" i="2" s="1"/>
  <c r="Z58" i="1"/>
  <c r="G20" i="2" s="1"/>
  <c r="R58" i="1"/>
  <c r="G10" i="2" s="1"/>
  <c r="F11" i="4" s="1"/>
  <c r="AD58" i="1"/>
  <c r="G25" i="2" s="1"/>
  <c r="U58" i="1"/>
  <c r="G14" i="2" s="1"/>
  <c r="Y58" i="1"/>
  <c r="G19" i="2" s="1"/>
  <c r="AB58" i="1"/>
  <c r="G23" i="2" s="1"/>
  <c r="Q58" i="1"/>
  <c r="G8" i="2" s="1"/>
  <c r="T58" i="1"/>
  <c r="G12" i="2" s="1"/>
  <c r="G18" i="4" l="1"/>
  <c r="G11" i="4"/>
  <c r="F13" i="4"/>
  <c r="G13" i="4" s="1"/>
  <c r="G12" i="4"/>
  <c r="F16" i="4"/>
  <c r="G16" i="4" s="1"/>
  <c r="G24" i="4" l="1"/>
</calcChain>
</file>

<file path=xl/sharedStrings.xml><?xml version="1.0" encoding="utf-8"?>
<sst xmlns="http://schemas.openxmlformats.org/spreadsheetml/2006/main" count="408" uniqueCount="219">
  <si>
    <t>Type</t>
  </si>
  <si>
    <t>Description</t>
  </si>
  <si>
    <t>Base Unit Cost</t>
  </si>
  <si>
    <t>Traffic Control</t>
  </si>
  <si>
    <t>Construction Management</t>
  </si>
  <si>
    <t>Mobilization</t>
  </si>
  <si>
    <t>Contingency</t>
  </si>
  <si>
    <t>Unit</t>
  </si>
  <si>
    <t>Striping</t>
  </si>
  <si>
    <t>Thermoplastic Shoulder Stripe (4")</t>
  </si>
  <si>
    <t>Color Epoxy</t>
  </si>
  <si>
    <t>Painted Curb</t>
  </si>
  <si>
    <t>Thermoplastic Pavement Legend</t>
  </si>
  <si>
    <t>LF</t>
  </si>
  <si>
    <t>SF</t>
  </si>
  <si>
    <t>Each</t>
  </si>
  <si>
    <t>Per Intersection</t>
  </si>
  <si>
    <t>Per Crosswalk</t>
  </si>
  <si>
    <t>Per Approach</t>
  </si>
  <si>
    <t>Thermoplastic Bicycle Lane Line (6")</t>
  </si>
  <si>
    <t>Channelization Line (8")</t>
  </si>
  <si>
    <t>Limit Line/Crosswalk Stripe (12")</t>
  </si>
  <si>
    <t>Asphalt Patch at New Curb</t>
  </si>
  <si>
    <t>Concrete Curb</t>
  </si>
  <si>
    <t>Asphalt Curb</t>
  </si>
  <si>
    <t>Concrete Curb &amp; Gutter</t>
  </si>
  <si>
    <t>Concrete Sidewalk</t>
  </si>
  <si>
    <t>ADA Curb Ramp</t>
  </si>
  <si>
    <t>Raised Intersection</t>
  </si>
  <si>
    <t>Raised Crosswalk</t>
  </si>
  <si>
    <t>Neighborhood Traffic Circle</t>
  </si>
  <si>
    <t>Landscaping - Shrubs &amp; Groundcover only</t>
  </si>
  <si>
    <t>Soil Preparation and Fine Grading</t>
  </si>
  <si>
    <t>Trees</t>
  </si>
  <si>
    <t>Tree Grates</t>
  </si>
  <si>
    <t>Soft Hit Posts</t>
  </si>
  <si>
    <t>Bicycle Detection - Loops</t>
  </si>
  <si>
    <t>Bicycle Detection - Video</t>
  </si>
  <si>
    <t>Bicycle Signal Head</t>
  </si>
  <si>
    <t>Bike/Ped Push Button</t>
  </si>
  <si>
    <t>New Traffic Signal</t>
  </si>
  <si>
    <t>Protected Turn Phasing</t>
  </si>
  <si>
    <t>Pedestrian Hybrid Beacon</t>
  </si>
  <si>
    <t>Rectangular Rapid Flashing Beacon</t>
  </si>
  <si>
    <t>Signing</t>
  </si>
  <si>
    <t>Civil</t>
  </si>
  <si>
    <t>Other</t>
  </si>
  <si>
    <t>Standard Sign</t>
  </si>
  <si>
    <t>Custom Wayfinding Sign</t>
  </si>
  <si>
    <t>Green Thermoplastic</t>
  </si>
  <si>
    <t xml:space="preserve">Thermoplastic Bicycle Boulevard Legend </t>
  </si>
  <si>
    <t xml:space="preserve">Thermoplastic Bicycle Lane Legend or Sharrow </t>
  </si>
  <si>
    <t>Asphalt Patch</t>
  </si>
  <si>
    <t>Decomposed Granite Shoulder</t>
  </si>
  <si>
    <t xml:space="preserve">Landscape Planter Box </t>
  </si>
  <si>
    <t>Pedestrian Signal Head</t>
  </si>
  <si>
    <t>Pedestrian Scale Pole</t>
  </si>
  <si>
    <t>Trenching/Conduit/Conductors for Lighting</t>
  </si>
  <si>
    <t>Signal Foundation for Type 1 Standard</t>
  </si>
  <si>
    <t>Signal Type 1 Standard</t>
  </si>
  <si>
    <t>UNIT COSTS</t>
  </si>
  <si>
    <t>FACILITY COSTS</t>
  </si>
  <si>
    <t>Value</t>
  </si>
  <si>
    <t>Category</t>
  </si>
  <si>
    <t>Measurement</t>
  </si>
  <si>
    <t>Soft Cost</t>
  </si>
  <si>
    <t>Environmental Support</t>
  </si>
  <si>
    <t>Utility Contingency</t>
  </si>
  <si>
    <t>Drainage Contingency</t>
  </si>
  <si>
    <t>Notes</t>
  </si>
  <si>
    <t>Signals/Electrical</t>
  </si>
  <si>
    <t>Notes:</t>
  </si>
  <si>
    <t>Units</t>
  </si>
  <si>
    <t>Applied to "Civil" elements in "UnitCosts" tab</t>
  </si>
  <si>
    <t>per mile</t>
  </si>
  <si>
    <t>Construction Cost (Low)</t>
  </si>
  <si>
    <t>Construction Cost (High)</t>
  </si>
  <si>
    <t xml:space="preserve">Class I Shared Use Path - Extension </t>
  </si>
  <si>
    <t xml:space="preserve">Class I Shared Use Path - Widening </t>
  </si>
  <si>
    <t>Class II Bike Lane - Signing and striping</t>
  </si>
  <si>
    <t>Class III Bikeway</t>
  </si>
  <si>
    <t>Class III Bikeway - Bike Boulevard</t>
  </si>
  <si>
    <t>Class III Bikeway - Bike Route</t>
  </si>
  <si>
    <t>Leading Pedestrian/Bicycle Interval</t>
  </si>
  <si>
    <t>Bicycle Box</t>
  </si>
  <si>
    <t>Sidewalk - 5 foot wide</t>
  </si>
  <si>
    <t>Sidewalk - 10 foot wide</t>
  </si>
  <si>
    <t>per intersection</t>
  </si>
  <si>
    <t>Multimodal wayfinding</t>
  </si>
  <si>
    <t>Landscaping - Trees and groundcover</t>
  </si>
  <si>
    <t>Class II Bike Lane - Green bike lane with conflict striping</t>
  </si>
  <si>
    <t>Class II Bike Lane - Buffered bike lane</t>
  </si>
  <si>
    <t>Bioswale</t>
  </si>
  <si>
    <t>Permeable Pavers</t>
  </si>
  <si>
    <t>Class IV Separated Bike Lane - Barrier separation</t>
  </si>
  <si>
    <t>Class IV Separated Bike Lane - Median separation</t>
  </si>
  <si>
    <t>Class IV Separated Bike Lane - Grade separation</t>
  </si>
  <si>
    <t>Class IV Separated Bike Lane - Parking separation</t>
  </si>
  <si>
    <t>High Visibility Crosswalk</t>
  </si>
  <si>
    <t>Project:</t>
  </si>
  <si>
    <t>Prepared by:</t>
  </si>
  <si>
    <t>Date:</t>
  </si>
  <si>
    <t>Item #</t>
  </si>
  <si>
    <t>Unit Cost</t>
  </si>
  <si>
    <t>INPUTS</t>
  </si>
  <si>
    <t>Adjusted Cost includes default soft costs and contingencies identified in "Inputs" tab. These values can be adjusted by changing the global input value in the "Inputs" tab or unhiding columns F through M on this sheet and manually entering new values for individual items.</t>
  </si>
  <si>
    <t>These are planning level conceptual estimates. Unit costs vary depending on the context.</t>
  </si>
  <si>
    <t>Median Refuge Island</t>
  </si>
  <si>
    <t>Facility / Description</t>
  </si>
  <si>
    <r>
      <t xml:space="preserve">Maintenance Cost </t>
    </r>
    <r>
      <rPr>
        <sz val="10"/>
        <color theme="1"/>
        <rFont val="Century Gothic"/>
        <family val="2"/>
      </rPr>
      <t>(Annual)</t>
    </r>
  </si>
  <si>
    <t>Class I Bikeway</t>
  </si>
  <si>
    <t>$8,500-$13,500</t>
  </si>
  <si>
    <t>Class II Bikeway</t>
  </si>
  <si>
    <t>$2,000-$3,000</t>
  </si>
  <si>
    <t>$2,500-$3,500</t>
  </si>
  <si>
    <t>$3,000-$4,000</t>
  </si>
  <si>
    <t>$1,000-$2,000</t>
  </si>
  <si>
    <t>$1,500-$4,000</t>
  </si>
  <si>
    <t>Class IV Separated Bikeway</t>
  </si>
  <si>
    <t>$6,000-$8,500</t>
  </si>
  <si>
    <t>Crosswalk - high visibility crosswalk</t>
  </si>
  <si>
    <t>Streetscape</t>
  </si>
  <si>
    <t>Pedestian scale lighting</t>
  </si>
  <si>
    <t xml:space="preserve">Adjusted Cost </t>
  </si>
  <si>
    <t>Facility / Streetscape Element</t>
  </si>
  <si>
    <t>Intersections per mile</t>
  </si>
  <si>
    <t>Feet per mile</t>
  </si>
  <si>
    <t>Feet between intersections</t>
  </si>
  <si>
    <t>16' wide, 60' long</t>
  </si>
  <si>
    <t>complete w/ flange &amp; bolts</t>
  </si>
  <si>
    <t>foundation and luminaire w/ pullbox</t>
  </si>
  <si>
    <t>aka HAWK High Intensity Activated Crosswalk, installation for a three lane cross-section</t>
  </si>
  <si>
    <t>installation for a three lane cross-section</t>
  </si>
  <si>
    <t>51 Sq Ft Each; spaced every 250 feet, at least 2 per block</t>
  </si>
  <si>
    <t>14 Sq Ft each; spaced every 250 feet, at least 2 per block</t>
  </si>
  <si>
    <t>Green Thermoplastic Bicycle Lane Legend or Sharrow</t>
  </si>
  <si>
    <t>includes base, spaced every six feet</t>
  </si>
  <si>
    <t>foundation and luminaire w/ pullbox, poles spaces every 150 feet</t>
  </si>
  <si>
    <t>Spaced every 25 feet</t>
  </si>
  <si>
    <t>with water reservoir, two planters per block</t>
  </si>
  <si>
    <t>Average 5-yr life for thermoplastic</t>
  </si>
  <si>
    <t>San Leandro (2018)</t>
  </si>
  <si>
    <t>Newark (2017)</t>
  </si>
  <si>
    <t>Bike Rack (typical inverted u-rack)</t>
  </si>
  <si>
    <t>Dublin (2014)</t>
  </si>
  <si>
    <t>Albany (2012)</t>
  </si>
  <si>
    <t>Fremont (2012)</t>
  </si>
  <si>
    <t>Pleasanton (2010)</t>
  </si>
  <si>
    <t>Alameda (2010)</t>
  </si>
  <si>
    <t>Cost</t>
  </si>
  <si>
    <t>Quantity</t>
  </si>
  <si>
    <t>Facility Costs From Other Plans</t>
  </si>
  <si>
    <t>Roadway Lighting Pole</t>
  </si>
  <si>
    <t>Total Estimated Cost (High) applies Adjusted Cost, which includes soft costs for engineering and design support as well as contingency.</t>
  </si>
  <si>
    <t>Total Estimated Cost (Low) applies Base Unit Cost.</t>
  </si>
  <si>
    <t>Facilities</t>
  </si>
  <si>
    <t>Class I Shared Use Path – Extension</t>
  </si>
  <si>
    <t>Class I Shared Use Path – Widening</t>
  </si>
  <si>
    <t xml:space="preserve">Class II Bike Lane </t>
  </si>
  <si>
    <t xml:space="preserve">Class II Buffered Bike Lane </t>
  </si>
  <si>
    <t xml:space="preserve">Class II Green Bike Lane </t>
  </si>
  <si>
    <t xml:space="preserve">Class III Bike Route </t>
  </si>
  <si>
    <t>Class III Bike Boulevard</t>
  </si>
  <si>
    <t>Class IV Separated Bikeway - Median</t>
  </si>
  <si>
    <t>Class IV Separated Bikeway - Soft Hit Posts</t>
  </si>
  <si>
    <t>Class IV Separated Bikeway - Raised Bike Lane</t>
  </si>
  <si>
    <t>Class IV Separated Bikeway - Parking Protected Bike Lane</t>
  </si>
  <si>
    <t xml:space="preserve">Sidewalk - 5-foot </t>
  </si>
  <si>
    <t xml:space="preserve">Sidewalk - 10-foot </t>
  </si>
  <si>
    <t>High Visibility Crosswalks</t>
  </si>
  <si>
    <t>Landscaping - Trees and Groundcover</t>
  </si>
  <si>
    <t>Multimodal Wayfinding</t>
  </si>
  <si>
    <t>Pedestrian Scale Lighting</t>
  </si>
  <si>
    <t>Facilities Drop Down List</t>
  </si>
  <si>
    <r>
      <t xml:space="preserve">Cost Range 2019 $ </t>
    </r>
    <r>
      <rPr>
        <sz val="10"/>
        <color theme="1"/>
        <rFont val="Century Gothic"/>
        <family val="2"/>
      </rPr>
      <t>(per mile or installation)</t>
    </r>
  </si>
  <si>
    <t>Design Support</t>
  </si>
  <si>
    <t>Engineering Support</t>
  </si>
  <si>
    <t>Plans, Specifications &amp; Estimates (PS&amp;E)</t>
  </si>
  <si>
    <t>Preliminary Engineering</t>
  </si>
  <si>
    <t>$15,000-$30,000</t>
  </si>
  <si>
    <t>$150,000-$320,000</t>
  </si>
  <si>
    <t>$85,000-$180,000</t>
  </si>
  <si>
    <t>$40,000-$85,000</t>
  </si>
  <si>
    <t>$1,000,000-$2,200,000</t>
  </si>
  <si>
    <t>$260,000-$560,000</t>
  </si>
  <si>
    <t>$125,000-$265,000</t>
  </si>
  <si>
    <t>$115,000-$235,000</t>
  </si>
  <si>
    <t>$360,000-$760,000</t>
  </si>
  <si>
    <t>$305,000-$640,000</t>
  </si>
  <si>
    <t>$105,000-$215,000</t>
  </si>
  <si>
    <t>Project Description</t>
  </si>
  <si>
    <t>Project Elements</t>
  </si>
  <si>
    <t>Project Cost Summary</t>
  </si>
  <si>
    <t>ATP Network Cost Estimating Tool</t>
  </si>
  <si>
    <t>Introduction</t>
  </si>
  <si>
    <t>User Instructions</t>
  </si>
  <si>
    <t>ProjectCostEstimate_Template</t>
  </si>
  <si>
    <t>Insert the project name, a brief project description, and the name of the person preparing the cost estimate.</t>
  </si>
  <si>
    <t>Use the drop down list in the "Description" column to select the appropriate facility or project elements. The "Unit" and "Unit Cost" will adjust automatically.</t>
  </si>
  <si>
    <t>Insert the length of the facility or the number of units in the "Quantity" column. The "Total Cost" will update automatically.</t>
  </si>
  <si>
    <t>If you have more facilities or project elements than are currently shown in the template, you can select a row, copy the row, and insert to create additional fields.</t>
  </si>
  <si>
    <t>If you have fewer facilities or project elements than are currently shown in the template, you can delete the extra rows or put a 0 in the "Unit" column.</t>
  </si>
  <si>
    <t>The Project Cost Summary updates automatically and reflects the sum of the individual facility and project element costs.</t>
  </si>
  <si>
    <t xml:space="preserve">The print settings are set to export the Project Cost Summary. </t>
  </si>
  <si>
    <t>Includes a complete list of the individual project elements organized by type (e.g., striping, signals/electrical).</t>
  </si>
  <si>
    <t>The "Base Unit Cost" column reflects recent bid data (as of late 2018).</t>
  </si>
  <si>
    <r>
      <t xml:space="preserve">The soft costs can be adjusted for individual project elements by modifying the associated cell. They can also be adjusted globally by updating the relevant value in the </t>
    </r>
    <r>
      <rPr>
        <i/>
        <sz val="11"/>
        <color theme="1"/>
        <rFont val="Century Gothic"/>
        <family val="2"/>
      </rPr>
      <t xml:space="preserve">Inputs </t>
    </r>
    <r>
      <rPr>
        <sz val="11"/>
        <color theme="1"/>
        <rFont val="Century Gothic"/>
        <family val="2"/>
      </rPr>
      <t>tab.</t>
    </r>
  </si>
  <si>
    <t>FacilityCosts</t>
  </si>
  <si>
    <t>UnitCosts</t>
  </si>
  <si>
    <t>As presented in the Plan</t>
  </si>
  <si>
    <t>Includes the maintenance costs and construction cost range for bikeway facilities and various streetscape elements.</t>
  </si>
  <si>
    <t>The "Construction Cost (Low)" column reflects the facility/streetscape cost with the application of the "Base Unit Cost" without soft costs or contingencies applied</t>
  </si>
  <si>
    <t xml:space="preserve">The "Adjusted Cost" column reflects the "Base Unit Cost" with the application of soft costs and contingencies for various factors (e.g., mobilization, traffic control). </t>
  </si>
  <si>
    <t>The "Construction Cost (High)" column reflects the facility/streetscape cost with the application of the "Adjusted Cost" with all soft costs and contingencies applied</t>
  </si>
  <si>
    <r>
      <t xml:space="preserve">The assumptions behind the costs for the facilities and streetscape elements are presented in the </t>
    </r>
    <r>
      <rPr>
        <i/>
        <sz val="11"/>
        <color theme="1"/>
        <rFont val="Century Gothic"/>
        <family val="2"/>
      </rPr>
      <t xml:space="preserve">UnitCosts </t>
    </r>
    <r>
      <rPr>
        <sz val="11"/>
        <color theme="1"/>
        <rFont val="Century Gothic"/>
        <family val="2"/>
      </rPr>
      <t xml:space="preserve">tab. Assumptions (e.g., number of standard signs per mile, number of high visibility crossings per mile, linear feet of green paint) can be modified to better reflect the proposed project by changing the value in the relevant cell within the </t>
    </r>
    <r>
      <rPr>
        <i/>
        <sz val="11"/>
        <color theme="1"/>
        <rFont val="Century Gothic"/>
        <family val="2"/>
      </rPr>
      <t xml:space="preserve">UnitCosts </t>
    </r>
    <r>
      <rPr>
        <sz val="11"/>
        <color theme="1"/>
        <rFont val="Century Gothic"/>
        <family val="2"/>
      </rPr>
      <t>tab.</t>
    </r>
  </si>
  <si>
    <t>Inputs</t>
  </si>
  <si>
    <r>
      <t xml:space="preserve">Includes the global inputs used for the soft costs and contingencies as well as the facility drop down list that is reflected in the </t>
    </r>
    <r>
      <rPr>
        <i/>
        <sz val="11"/>
        <color theme="1"/>
        <rFont val="Century Gothic"/>
        <family val="2"/>
      </rPr>
      <t>ProjectCostEstimate_Template.</t>
    </r>
  </si>
  <si>
    <r>
      <t xml:space="preserve">Changing the input "Value" within this tab will result in a global update to the values reflected in the </t>
    </r>
    <r>
      <rPr>
        <i/>
        <sz val="11"/>
        <color theme="1"/>
        <rFont val="Century Gothic"/>
        <family val="2"/>
      </rPr>
      <t xml:space="preserve">UnitCosts </t>
    </r>
    <r>
      <rPr>
        <sz val="11"/>
        <color theme="1"/>
        <rFont val="Century Gothic"/>
        <family val="2"/>
      </rPr>
      <t>tab and the resulting "Adjusted Cost" for each facility/project element.</t>
    </r>
  </si>
  <si>
    <t>This cost estimating tool is intended to provide planning level cost estimates for bicycle and pedestrian facilities. The tool is intended to be flexible to allow the user to utilize the predefined inputs and assumptions or to modify these values to better reflect anticipated unit costs, soft costs and contingencies, and facility types.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</si>
</sst>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_);_(&quot;$&quot;* \(#,##0.0\);_(&quot;$&quot;* &quot;-&quot;??_);_(@_)"/>
    <numFmt numFmtId="165" formatCode="_(&quot;$&quot;* #,##0_);_(&quot;$&quot;* \(#,##0\);_(&quot;$&quot;* &quot;-&quot;??_);_(@_)"/>
  </numFmts>
  <fonts count="12" x14ac:knownFonts="1">
    <font>
      <sz val="11"/>
      <color theme="1"/>
      <name val="Calibri"/>
      <family val="2"/>
      <scheme val="minor"/>
    </font>
    <font>
      <sz val="11"/>
      <color theme="1"/>
      <name val="Calibri"/>
      <family val="2"/>
      <scheme val="minor"/>
    </font>
    <font>
      <sz val="10"/>
      <name val="Arial"/>
      <family val="2"/>
    </font>
    <font>
      <sz val="10"/>
      <color theme="1"/>
      <name val="Century Gothic"/>
      <family val="2"/>
    </font>
    <font>
      <b/>
      <sz val="10"/>
      <color theme="1"/>
      <name val="Century Gothic"/>
      <family val="2"/>
    </font>
    <font>
      <b/>
      <sz val="11"/>
      <color theme="1"/>
      <name val="Century Gothic"/>
      <family val="2"/>
    </font>
    <font>
      <b/>
      <sz val="14"/>
      <color theme="1"/>
      <name val="Century Gothic"/>
      <family val="2"/>
    </font>
    <font>
      <sz val="11"/>
      <color theme="1"/>
      <name val="Century Gothic"/>
      <family val="2"/>
    </font>
    <font>
      <sz val="11"/>
      <name val="Century Gothic"/>
      <family val="2"/>
    </font>
    <font>
      <i/>
      <sz val="11"/>
      <color theme="1"/>
      <name val="Century Gothic"/>
      <family val="2"/>
    </font>
    <font>
      <b/>
      <sz val="13"/>
      <color theme="1"/>
      <name val="Century Gothic"/>
      <family val="2"/>
    </font>
    <font>
      <sz val="13"/>
      <color theme="1"/>
      <name val="Century Gothic"/>
      <family val="2"/>
    </font>
  </fonts>
  <fills count="5">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8" tint="0.79998168889431442"/>
        <bgColor indexed="64"/>
      </patternFill>
    </fill>
  </fills>
  <borders count="1">
    <border>
      <left/>
      <right/>
      <top/>
      <bottom/>
      <diagonal/>
    </border>
  </borders>
  <cellStyleXfs count="5">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cellStyleXfs>
  <cellXfs count="76">
    <xf numFmtId="0" fontId="0" fillId="0" borderId="0" xfId="0"/>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xf numFmtId="0" fontId="0" fillId="0" borderId="0" xfId="0" applyFont="1" applyFill="1" applyBorder="1" applyAlignment="1">
      <alignment horizontal="right"/>
    </xf>
    <xf numFmtId="0" fontId="0" fillId="0" borderId="0" xfId="0" applyFont="1" applyFill="1" applyBorder="1" applyAlignment="1">
      <alignment horizontal="left"/>
    </xf>
    <xf numFmtId="0" fontId="3" fillId="0" borderId="0" xfId="0" applyFont="1" applyAlignment="1">
      <alignment vertical="center" wrapText="1"/>
    </xf>
    <xf numFmtId="0" fontId="3" fillId="0" borderId="0" xfId="0" applyFont="1" applyAlignment="1">
      <alignment horizontal="right" vertical="center" wrapText="1"/>
    </xf>
    <xf numFmtId="0" fontId="4" fillId="2" borderId="0" xfId="0" applyFont="1" applyFill="1" applyAlignment="1">
      <alignment vertical="center" wrapText="1"/>
    </xf>
    <xf numFmtId="0" fontId="3" fillId="2" borderId="0" xfId="0" applyFont="1" applyFill="1" applyAlignment="1">
      <alignment horizontal="right" vertical="center" wrapText="1"/>
    </xf>
    <xf numFmtId="0" fontId="4" fillId="2" borderId="0" xfId="0" applyFont="1" applyFill="1" applyAlignment="1">
      <alignment horizontal="right" vertical="center" wrapText="1"/>
    </xf>
    <xf numFmtId="0" fontId="5" fillId="0" borderId="0" xfId="0" applyFont="1" applyFill="1" applyBorder="1"/>
    <xf numFmtId="0" fontId="6" fillId="0" borderId="0" xfId="0" applyFont="1" applyFill="1" applyBorder="1"/>
    <xf numFmtId="0" fontId="7" fillId="0" borderId="0" xfId="0" applyFont="1" applyFill="1" applyBorder="1"/>
    <xf numFmtId="0" fontId="7" fillId="0" borderId="0" xfId="0" applyFont="1" applyFill="1" applyBorder="1" applyAlignment="1">
      <alignment horizontal="right" indent="1"/>
    </xf>
    <xf numFmtId="0" fontId="7" fillId="0" borderId="0" xfId="0" applyFont="1"/>
    <xf numFmtId="3" fontId="7" fillId="0" borderId="0" xfId="0" quotePrefix="1" applyNumberFormat="1" applyFont="1"/>
    <xf numFmtId="165" fontId="7" fillId="0" borderId="0" xfId="1" applyNumberFormat="1" applyFont="1"/>
    <xf numFmtId="0" fontId="5" fillId="0" borderId="0" xfId="0" applyFont="1"/>
    <xf numFmtId="0" fontId="5" fillId="0" borderId="0" xfId="0" applyFont="1" applyAlignment="1">
      <alignment horizontal="right"/>
    </xf>
    <xf numFmtId="0" fontId="6" fillId="0" borderId="0" xfId="0" applyFont="1" applyFill="1" applyBorder="1" applyAlignment="1"/>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Fill="1" applyBorder="1" applyAlignment="1">
      <alignment wrapText="1"/>
    </xf>
    <xf numFmtId="0" fontId="7" fillId="0" borderId="0" xfId="2" applyFont="1" applyFill="1" applyBorder="1" applyAlignment="1">
      <alignment horizontal="left" wrapText="1"/>
    </xf>
    <xf numFmtId="165" fontId="7" fillId="0" borderId="0" xfId="3" applyNumberFormat="1" applyFont="1" applyFill="1" applyBorder="1" applyAlignment="1"/>
    <xf numFmtId="0" fontId="7" fillId="0" borderId="0" xfId="2" applyFont="1" applyFill="1" applyBorder="1" applyAlignment="1">
      <alignment horizontal="left"/>
    </xf>
    <xf numFmtId="9" fontId="7" fillId="0" borderId="0" xfId="0" applyNumberFormat="1" applyFont="1" applyFill="1" applyBorder="1" applyAlignment="1"/>
    <xf numFmtId="165" fontId="7" fillId="0" borderId="0" xfId="1" applyNumberFormat="1" applyFont="1" applyFill="1" applyBorder="1" applyAlignment="1">
      <alignment horizontal="right"/>
    </xf>
    <xf numFmtId="1" fontId="7" fillId="0" borderId="0" xfId="1" applyNumberFormat="1" applyFont="1" applyFill="1" applyBorder="1" applyAlignment="1">
      <alignment horizontal="right"/>
    </xf>
    <xf numFmtId="0" fontId="8" fillId="0" borderId="0" xfId="2" applyFont="1" applyFill="1" applyBorder="1" applyAlignment="1">
      <alignment wrapText="1"/>
    </xf>
    <xf numFmtId="164" fontId="8" fillId="0" borderId="0" xfId="3" applyNumberFormat="1" applyFont="1" applyFill="1" applyBorder="1" applyAlignment="1"/>
    <xf numFmtId="0" fontId="8" fillId="0" borderId="0" xfId="2" applyFont="1" applyFill="1" applyBorder="1" applyAlignment="1">
      <alignment horizontal="left"/>
    </xf>
    <xf numFmtId="0" fontId="8" fillId="0" borderId="0" xfId="4" applyFont="1" applyFill="1" applyBorder="1" applyAlignment="1" applyProtection="1">
      <alignment horizontal="left" wrapText="1"/>
      <protection locked="0"/>
    </xf>
    <xf numFmtId="0" fontId="8" fillId="0" borderId="0" xfId="4" applyFont="1" applyFill="1" applyBorder="1" applyAlignment="1" applyProtection="1">
      <alignment horizontal="left"/>
      <protection locked="0"/>
    </xf>
    <xf numFmtId="0" fontId="8" fillId="0" borderId="0" xfId="4" applyFont="1" applyFill="1" applyBorder="1" applyAlignment="1">
      <alignment horizontal="left" wrapText="1"/>
    </xf>
    <xf numFmtId="0" fontId="8" fillId="0" borderId="0" xfId="4" applyFont="1" applyFill="1" applyBorder="1" applyAlignment="1">
      <alignment horizontal="left"/>
    </xf>
    <xf numFmtId="165" fontId="8" fillId="0" borderId="0" xfId="3" applyNumberFormat="1" applyFont="1" applyFill="1" applyBorder="1" applyAlignment="1"/>
    <xf numFmtId="0" fontId="8" fillId="0" borderId="0" xfId="2" applyFont="1" applyFill="1" applyBorder="1" applyAlignment="1">
      <alignment horizontal="left" wrapText="1"/>
    </xf>
    <xf numFmtId="0" fontId="9" fillId="0" borderId="0" xfId="0" applyFont="1" applyFill="1" applyBorder="1" applyAlignment="1"/>
    <xf numFmtId="0" fontId="5" fillId="2" borderId="0" xfId="0" applyFont="1" applyFill="1" applyAlignment="1">
      <alignment vertical="center" wrapText="1"/>
    </xf>
    <xf numFmtId="0" fontId="7" fillId="0" borderId="0" xfId="0" applyFont="1" applyAlignment="1">
      <alignment horizontal="right"/>
    </xf>
    <xf numFmtId="0" fontId="5" fillId="0" borderId="0" xfId="0" applyFont="1" applyAlignment="1"/>
    <xf numFmtId="0" fontId="5" fillId="0" borderId="0" xfId="0" applyFont="1" applyAlignment="1">
      <alignment horizontal="left"/>
    </xf>
    <xf numFmtId="0" fontId="7" fillId="0" borderId="0" xfId="0" applyFont="1" applyAlignment="1"/>
    <xf numFmtId="3" fontId="7" fillId="0" borderId="0" xfId="0" applyNumberFormat="1" applyFont="1" applyFill="1" applyBorder="1" applyAlignment="1">
      <alignment horizontal="right"/>
    </xf>
    <xf numFmtId="0" fontId="7" fillId="0" borderId="0" xfId="0" applyFont="1" applyAlignment="1">
      <alignment horizontal="left"/>
    </xf>
    <xf numFmtId="9" fontId="7" fillId="0" borderId="0" xfId="0" applyNumberFormat="1" applyFont="1" applyAlignment="1">
      <alignment horizontal="right"/>
    </xf>
    <xf numFmtId="165" fontId="3" fillId="2" borderId="0" xfId="1" applyNumberFormat="1" applyFont="1" applyFill="1" applyAlignment="1">
      <alignment horizontal="right" vertical="center" wrapText="1"/>
    </xf>
    <xf numFmtId="165" fontId="7" fillId="0" borderId="0" xfId="1" applyNumberFormat="1" applyFont="1" applyAlignment="1">
      <alignment horizontal="right"/>
    </xf>
    <xf numFmtId="3" fontId="7" fillId="0" borderId="0" xfId="0" applyNumberFormat="1" applyFont="1" applyFill="1" applyBorder="1"/>
    <xf numFmtId="0" fontId="4" fillId="2" borderId="0" xfId="0" applyFont="1" applyFill="1" applyAlignment="1">
      <alignment vertical="center"/>
    </xf>
    <xf numFmtId="165" fontId="5" fillId="0" borderId="0" xfId="1" applyNumberFormat="1" applyFont="1" applyFill="1" applyBorder="1" applyAlignment="1">
      <alignment horizontal="right"/>
    </xf>
    <xf numFmtId="0" fontId="7" fillId="4" borderId="0" xfId="0" applyFont="1" applyFill="1"/>
    <xf numFmtId="0" fontId="5" fillId="3" borderId="0" xfId="0" applyFont="1" applyFill="1" applyAlignment="1">
      <alignment vertical="center" wrapText="1"/>
    </xf>
    <xf numFmtId="0" fontId="10" fillId="2" borderId="0" xfId="0" applyFont="1" applyFill="1" applyAlignment="1">
      <alignment vertical="center" wrapText="1"/>
    </xf>
    <xf numFmtId="0" fontId="11" fillId="0" borderId="0" xfId="0" applyFont="1"/>
    <xf numFmtId="0" fontId="3" fillId="0" borderId="0" xfId="0" applyFont="1" applyFill="1" applyAlignment="1">
      <alignment horizontal="right" vertical="center" wrapText="1"/>
    </xf>
    <xf numFmtId="165" fontId="7" fillId="0" borderId="0" xfId="0" applyNumberFormat="1" applyFont="1" applyFill="1" applyBorder="1" applyAlignment="1">
      <alignment horizontal="right"/>
    </xf>
    <xf numFmtId="0" fontId="5" fillId="2" borderId="0" xfId="0" applyFont="1" applyFill="1" applyAlignment="1">
      <alignment horizontal="right" vertical="center" wrapText="1"/>
    </xf>
    <xf numFmtId="165" fontId="5" fillId="2" borderId="0" xfId="1" applyNumberFormat="1" applyFont="1" applyFill="1" applyAlignment="1">
      <alignment vertical="center"/>
    </xf>
    <xf numFmtId="0" fontId="5" fillId="0" borderId="0" xfId="0" applyFont="1" applyAlignment="1">
      <alignment vertical="center"/>
    </xf>
    <xf numFmtId="0" fontId="6" fillId="0" borderId="0" xfId="0" applyFont="1" applyAlignment="1"/>
    <xf numFmtId="0" fontId="11" fillId="0" borderId="0" xfId="0" applyFont="1" applyFill="1"/>
    <xf numFmtId="0" fontId="10" fillId="0" borderId="0" xfId="0" applyFont="1" applyFill="1" applyAlignment="1">
      <alignment vertical="center"/>
    </xf>
    <xf numFmtId="0" fontId="9" fillId="0" borderId="0" xfId="0" applyFont="1"/>
    <xf numFmtId="0" fontId="7" fillId="0" borderId="0" xfId="0" applyFont="1" applyAlignment="1">
      <alignment wrapText="1"/>
    </xf>
    <xf numFmtId="0" fontId="11" fillId="0" borderId="0" xfId="0" applyFont="1" applyFill="1" applyAlignment="1">
      <alignment horizontal="left" vertical="center" wrapText="1"/>
    </xf>
    <xf numFmtId="0" fontId="5" fillId="2" borderId="0" xfId="0" applyFont="1" applyFill="1" applyAlignment="1">
      <alignment horizontal="right" vertical="center"/>
    </xf>
    <xf numFmtId="0" fontId="6" fillId="0" borderId="0" xfId="0" applyFont="1" applyAlignment="1">
      <alignment horizontal="center"/>
    </xf>
    <xf numFmtId="0" fontId="7" fillId="3" borderId="0" xfId="0" applyFont="1" applyFill="1" applyAlignment="1">
      <alignment horizontal="left" vertical="top" wrapText="1"/>
    </xf>
    <xf numFmtId="0" fontId="11" fillId="2" borderId="0" xfId="0" applyFont="1" applyFill="1" applyAlignment="1">
      <alignment horizontal="left" vertical="center" wrapText="1"/>
    </xf>
    <xf numFmtId="0" fontId="7" fillId="0" borderId="0" xfId="0" applyFont="1" applyAlignment="1">
      <alignment horizontal="left"/>
    </xf>
    <xf numFmtId="14" fontId="7" fillId="0" borderId="0" xfId="0" applyNumberFormat="1" applyFont="1" applyAlignment="1">
      <alignment horizontal="left"/>
    </xf>
    <xf numFmtId="0" fontId="5" fillId="3" borderId="0" xfId="0" applyFont="1" applyFill="1" applyAlignment="1">
      <alignment horizontal="left" vertical="center" wrapText="1"/>
    </xf>
  </cellXfs>
  <cellStyles count="5">
    <cellStyle name="Currency" xfId="1" builtinId="4"/>
    <cellStyle name="Currency 2" xfId="3"/>
    <cellStyle name="Normal" xfId="0" builtinId="0"/>
    <cellStyle name="Normal 2" xfId="2"/>
    <cellStyle name="Normal 2 2" xfId="4"/>
  </cellStyles>
  <dxfs count="5">
    <dxf>
      <fill>
        <patternFill>
          <bgColor theme="0" tint="-0.14996795556505021"/>
        </patternFill>
      </fill>
    </dxf>
    <dxf>
      <fill>
        <patternFill>
          <bgColor theme="0" tint="-0.14996795556505021"/>
        </patternFill>
      </fill>
    </dxf>
    <dxf>
      <font>
        <b val="0"/>
        <i val="0"/>
        <strike val="0"/>
        <condense val="0"/>
        <extend val="0"/>
        <u val="none"/>
        <color indexed="12"/>
      </font>
      <fill>
        <patternFill>
          <bgColor indexed="22"/>
        </patternFill>
      </fill>
      <border>
        <left/>
        <right/>
        <top/>
        <bottom/>
      </border>
    </dxf>
    <dxf>
      <font>
        <b val="0"/>
        <i val="0"/>
        <strike val="0"/>
        <condense val="0"/>
        <extend val="0"/>
        <u val="none"/>
        <color indexed="12"/>
      </font>
      <fill>
        <patternFill>
          <bgColor indexed="22"/>
        </patternFill>
      </fill>
      <border>
        <left/>
        <right/>
        <top/>
        <bottom/>
      </border>
    </dxf>
    <dxf>
      <font>
        <b val="0"/>
        <i val="0"/>
        <strike val="0"/>
        <condense val="0"/>
        <extend val="0"/>
        <u val="none"/>
        <color indexed="12"/>
      </font>
      <fill>
        <patternFill>
          <bgColor indexed="22"/>
        </patternFill>
      </fill>
      <border>
        <left/>
        <right/>
        <top/>
        <bottom/>
      </border>
    </dxf>
  </dxfs>
  <tableStyles count="0" defaultTableStyle="TableStyleMedium2" defaultPivotStyle="PivotStyleLight16"/>
  <colors>
    <mruColors>
      <color rgb="FF008576"/>
      <color rgb="FF75FFEF"/>
      <color rgb="FF47FFE9"/>
      <color rgb="FF00B49F"/>
      <color rgb="FF00D0B7"/>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5294</xdr:rowOff>
    </xdr:from>
    <xdr:to>
      <xdr:col>1</xdr:col>
      <xdr:colOff>866775</xdr:colOff>
      <xdr:row>1</xdr:row>
      <xdr:rowOff>657225</xdr:rowOff>
    </xdr:to>
    <xdr:pic>
      <xdr:nvPicPr>
        <xdr:cNvPr id="2" name="Picture 1">
          <a:extLst>
            <a:ext uri="{FF2B5EF4-FFF2-40B4-BE49-F238E27FC236}">
              <a16:creationId xmlns="" xmlns:a16="http://schemas.microsoft.com/office/drawing/2014/main" id="{1963A501-4B11-48A8-9B3E-0238B65D84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91031"/>
          <a:ext cx="733425" cy="647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5294</xdr:rowOff>
    </xdr:from>
    <xdr:to>
      <xdr:col>1</xdr:col>
      <xdr:colOff>866775</xdr:colOff>
      <xdr:row>1</xdr:row>
      <xdr:rowOff>657225</xdr:rowOff>
    </xdr:to>
    <xdr:pic>
      <xdr:nvPicPr>
        <xdr:cNvPr id="4" name="Picture 3">
          <a:extLst>
            <a:ext uri="{FF2B5EF4-FFF2-40B4-BE49-F238E27FC236}">
              <a16:creationId xmlns="" xmlns:a16="http://schemas.microsoft.com/office/drawing/2014/main" id="{4DB0143B-2941-4CA3-8740-C8068E891F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14844"/>
          <a:ext cx="733425" cy="651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3"/>
  <sheetViews>
    <sheetView topLeftCell="A4" workbookViewId="0">
      <selection activeCell="B29" sqref="B29"/>
    </sheetView>
  </sheetViews>
  <sheetFormatPr defaultColWidth="9" defaultRowHeight="16.5" x14ac:dyDescent="0.3"/>
  <cols>
    <col min="1" max="1" width="9" style="15"/>
    <col min="2" max="2" width="175.5703125" style="15" customWidth="1"/>
    <col min="3" max="3" width="66" style="15" customWidth="1"/>
    <col min="4" max="4" width="18.28515625" style="15" customWidth="1"/>
    <col min="5" max="5" width="11.42578125" style="15" customWidth="1"/>
    <col min="6" max="6" width="15.140625" style="15" customWidth="1"/>
    <col min="7" max="7" width="19.42578125" style="15" customWidth="1"/>
    <col min="8" max="16384" width="9" style="15"/>
  </cols>
  <sheetData>
    <row r="2" spans="2:7" ht="52.5" customHeight="1" x14ac:dyDescent="0.3"/>
    <row r="4" spans="2:7" ht="18.75" x14ac:dyDescent="0.3">
      <c r="B4" s="63" t="s">
        <v>193</v>
      </c>
      <c r="C4" s="63"/>
      <c r="D4" s="63"/>
      <c r="E4" s="63"/>
      <c r="F4" s="63"/>
      <c r="G4" s="63"/>
    </row>
    <row r="6" spans="2:7" s="64" customFormat="1" x14ac:dyDescent="0.25">
      <c r="B6" s="65" t="s">
        <v>194</v>
      </c>
      <c r="C6" s="68"/>
      <c r="D6" s="68"/>
      <c r="E6" s="68"/>
      <c r="F6" s="68"/>
      <c r="G6" s="68"/>
    </row>
    <row r="7" spans="2:7" s="18" customFormat="1" ht="33" x14ac:dyDescent="0.3">
      <c r="B7" s="67" t="s">
        <v>218</v>
      </c>
    </row>
    <row r="9" spans="2:7" x14ac:dyDescent="0.3">
      <c r="B9" s="65" t="s">
        <v>195</v>
      </c>
    </row>
    <row r="10" spans="2:7" x14ac:dyDescent="0.3">
      <c r="B10" s="66" t="s">
        <v>196</v>
      </c>
    </row>
    <row r="11" spans="2:7" x14ac:dyDescent="0.3">
      <c r="B11" s="15" t="s">
        <v>197</v>
      </c>
    </row>
    <row r="12" spans="2:7" x14ac:dyDescent="0.3">
      <c r="B12" s="15" t="s">
        <v>198</v>
      </c>
    </row>
    <row r="13" spans="2:7" x14ac:dyDescent="0.3">
      <c r="B13" s="15" t="s">
        <v>199</v>
      </c>
    </row>
    <row r="14" spans="2:7" x14ac:dyDescent="0.3">
      <c r="B14" s="15" t="s">
        <v>200</v>
      </c>
    </row>
    <row r="15" spans="2:7" x14ac:dyDescent="0.3">
      <c r="B15" s="15" t="s">
        <v>201</v>
      </c>
    </row>
    <row r="16" spans="2:7" x14ac:dyDescent="0.3">
      <c r="B16" s="15" t="s">
        <v>202</v>
      </c>
    </row>
    <row r="17" spans="2:2" x14ac:dyDescent="0.3">
      <c r="B17" s="15" t="s">
        <v>203</v>
      </c>
    </row>
    <row r="19" spans="2:2" x14ac:dyDescent="0.3">
      <c r="B19" s="66" t="s">
        <v>208</v>
      </c>
    </row>
    <row r="20" spans="2:2" x14ac:dyDescent="0.3">
      <c r="B20" s="15" t="s">
        <v>204</v>
      </c>
    </row>
    <row r="21" spans="2:2" x14ac:dyDescent="0.3">
      <c r="B21" s="15" t="s">
        <v>205</v>
      </c>
    </row>
    <row r="22" spans="2:2" x14ac:dyDescent="0.3">
      <c r="B22" s="15" t="s">
        <v>212</v>
      </c>
    </row>
    <row r="23" spans="2:2" x14ac:dyDescent="0.3">
      <c r="B23" s="15" t="s">
        <v>206</v>
      </c>
    </row>
    <row r="25" spans="2:2" x14ac:dyDescent="0.3">
      <c r="B25" s="66" t="s">
        <v>207</v>
      </c>
    </row>
    <row r="26" spans="2:2" x14ac:dyDescent="0.3">
      <c r="B26" s="15" t="s">
        <v>210</v>
      </c>
    </row>
    <row r="27" spans="2:2" x14ac:dyDescent="0.3">
      <c r="B27" s="15" t="s">
        <v>211</v>
      </c>
    </row>
    <row r="28" spans="2:2" x14ac:dyDescent="0.3">
      <c r="B28" s="15" t="s">
        <v>213</v>
      </c>
    </row>
    <row r="29" spans="2:2" ht="27.95" customHeight="1" x14ac:dyDescent="0.3">
      <c r="B29" s="67" t="s">
        <v>214</v>
      </c>
    </row>
    <row r="31" spans="2:2" x14ac:dyDescent="0.3">
      <c r="B31" s="66" t="s">
        <v>215</v>
      </c>
    </row>
    <row r="32" spans="2:2" x14ac:dyDescent="0.3">
      <c r="B32" s="15" t="s">
        <v>216</v>
      </c>
    </row>
    <row r="33" spans="2:2" x14ac:dyDescent="0.3">
      <c r="B33" s="15" t="s">
        <v>217</v>
      </c>
    </row>
  </sheetData>
  <mergeCells count="1">
    <mergeCell ref="C6:G6"/>
  </mergeCells>
  <pageMargins left="0.7" right="0.7" top="0.75" bottom="0.75" header="0.3" footer="0.3"/>
  <pageSetup scale="8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5"/>
  <sheetViews>
    <sheetView tabSelected="1" workbookViewId="0">
      <selection activeCell="C6" sqref="C6:G6"/>
    </sheetView>
  </sheetViews>
  <sheetFormatPr defaultColWidth="9" defaultRowHeight="16.5" x14ac:dyDescent="0.3"/>
  <cols>
    <col min="1" max="1" width="9" style="15"/>
    <col min="2" max="2" width="15" style="15" customWidth="1"/>
    <col min="3" max="3" width="66" style="15" customWidth="1"/>
    <col min="4" max="4" width="18.28515625" style="15" customWidth="1"/>
    <col min="5" max="5" width="11.42578125" style="15" customWidth="1"/>
    <col min="6" max="6" width="15.140625" style="15" customWidth="1"/>
    <col min="7" max="7" width="19.42578125" style="15" customWidth="1"/>
    <col min="8" max="16384" width="9" style="15"/>
  </cols>
  <sheetData>
    <row r="2" spans="2:7" ht="52.5" customHeight="1" x14ac:dyDescent="0.3"/>
    <row r="3" spans="2:7" ht="18.75" x14ac:dyDescent="0.3">
      <c r="B3" s="70" t="s">
        <v>193</v>
      </c>
      <c r="C3" s="70"/>
      <c r="D3" s="70"/>
      <c r="E3" s="70"/>
      <c r="F3" s="70"/>
      <c r="G3" s="70"/>
    </row>
    <row r="5" spans="2:7" s="57" customFormat="1" x14ac:dyDescent="0.25">
      <c r="B5" s="56" t="s">
        <v>99</v>
      </c>
      <c r="C5" s="72"/>
      <c r="D5" s="72"/>
      <c r="E5" s="72"/>
      <c r="F5" s="72"/>
      <c r="G5" s="72"/>
    </row>
    <row r="6" spans="2:7" s="57" customFormat="1" ht="60.75" customHeight="1" x14ac:dyDescent="0.25">
      <c r="B6" s="55" t="s">
        <v>190</v>
      </c>
      <c r="C6" s="71"/>
      <c r="D6" s="71"/>
      <c r="E6" s="71"/>
      <c r="F6" s="71"/>
      <c r="G6" s="71"/>
    </row>
    <row r="7" spans="2:7" x14ac:dyDescent="0.3">
      <c r="B7" s="18" t="s">
        <v>100</v>
      </c>
      <c r="C7" s="73"/>
      <c r="D7" s="73"/>
      <c r="E7" s="73"/>
      <c r="F7" s="73"/>
      <c r="G7" s="73"/>
    </row>
    <row r="8" spans="2:7" x14ac:dyDescent="0.3">
      <c r="B8" s="18" t="s">
        <v>101</v>
      </c>
      <c r="C8" s="74"/>
      <c r="D8" s="73"/>
      <c r="E8" s="73"/>
      <c r="F8" s="73"/>
      <c r="G8" s="73"/>
    </row>
    <row r="9" spans="2:7" x14ac:dyDescent="0.3">
      <c r="B9" s="41" t="s">
        <v>102</v>
      </c>
      <c r="C9" s="41" t="s">
        <v>1</v>
      </c>
      <c r="D9" s="41" t="s">
        <v>72</v>
      </c>
      <c r="E9" s="60" t="s">
        <v>150</v>
      </c>
      <c r="F9" s="60" t="s">
        <v>103</v>
      </c>
      <c r="G9" s="60" t="s">
        <v>149</v>
      </c>
    </row>
    <row r="10" spans="2:7" x14ac:dyDescent="0.3">
      <c r="B10" s="75" t="s">
        <v>155</v>
      </c>
      <c r="C10" s="75"/>
      <c r="D10" s="75"/>
      <c r="E10" s="75"/>
      <c r="F10" s="75"/>
      <c r="G10" s="75"/>
    </row>
    <row r="11" spans="2:7" x14ac:dyDescent="0.3">
      <c r="B11" s="47">
        <v>1</v>
      </c>
      <c r="C11" s="15" t="s">
        <v>156</v>
      </c>
      <c r="D11" s="15" t="s">
        <v>74</v>
      </c>
      <c r="E11" s="54">
        <v>0</v>
      </c>
      <c r="F11" s="29">
        <f>VLOOKUP(C11,FacilityCosts!$B$6:$G$27,6,FALSE)</f>
        <v>2169169.2172800009</v>
      </c>
      <c r="G11" s="17">
        <f>F11*E11</f>
        <v>0</v>
      </c>
    </row>
    <row r="12" spans="2:7" x14ac:dyDescent="0.3">
      <c r="B12" s="47">
        <f>B11+1</f>
        <v>2</v>
      </c>
      <c r="C12" s="15" t="s">
        <v>158</v>
      </c>
      <c r="D12" s="15" t="s">
        <v>74</v>
      </c>
      <c r="E12" s="54">
        <v>0</v>
      </c>
      <c r="F12" s="29">
        <f>VLOOKUP(C12,FacilityCosts!$B$6:$G$27,6,FALSE)</f>
        <v>86082.497280000025</v>
      </c>
      <c r="G12" s="17">
        <f t="shared" ref="G12:G23" si="0">F12*E12</f>
        <v>0</v>
      </c>
    </row>
    <row r="13" spans="2:7" x14ac:dyDescent="0.3">
      <c r="B13" s="47">
        <f t="shared" ref="B13:B18" si="1">B12+1</f>
        <v>3</v>
      </c>
      <c r="C13" s="15" t="s">
        <v>159</v>
      </c>
      <c r="D13" s="15" t="s">
        <v>74</v>
      </c>
      <c r="E13" s="54">
        <v>0</v>
      </c>
      <c r="F13" s="29">
        <f>VLOOKUP(C13,FacilityCosts!$B$6:$G$27,6,FALSE)</f>
        <v>182453.05728000007</v>
      </c>
      <c r="G13" s="17">
        <f t="shared" si="0"/>
        <v>0</v>
      </c>
    </row>
    <row r="14" spans="2:7" x14ac:dyDescent="0.3">
      <c r="B14" s="47">
        <f t="shared" si="1"/>
        <v>4</v>
      </c>
      <c r="C14" s="15" t="s">
        <v>162</v>
      </c>
      <c r="D14" s="15" t="s">
        <v>74</v>
      </c>
      <c r="E14" s="54">
        <v>0</v>
      </c>
      <c r="F14" s="29">
        <f>VLOOKUP(C14,FacilityCosts!$B$6:$G$27,6,FALSE)</f>
        <v>264051.2908800001</v>
      </c>
      <c r="G14" s="17">
        <f t="shared" si="0"/>
        <v>0</v>
      </c>
    </row>
    <row r="15" spans="2:7" x14ac:dyDescent="0.3">
      <c r="B15" s="47">
        <f t="shared" si="1"/>
        <v>5</v>
      </c>
      <c r="C15" s="15" t="s">
        <v>164</v>
      </c>
      <c r="D15" s="15" t="s">
        <v>74</v>
      </c>
      <c r="E15" s="54">
        <v>0</v>
      </c>
      <c r="F15" s="29">
        <f>VLOOKUP(C15,FacilityCosts!$B$6:$G$27,6,FALSE)</f>
        <v>237273.07968000008</v>
      </c>
      <c r="G15" s="17">
        <f t="shared" ref="G15" si="2">F15*E15</f>
        <v>0</v>
      </c>
    </row>
    <row r="16" spans="2:7" x14ac:dyDescent="0.3">
      <c r="B16" s="47">
        <f t="shared" si="1"/>
        <v>6</v>
      </c>
      <c r="C16" s="15" t="s">
        <v>166</v>
      </c>
      <c r="D16" s="15" t="s">
        <v>74</v>
      </c>
      <c r="E16" s="54">
        <v>0</v>
      </c>
      <c r="F16" s="29">
        <f>VLOOKUP(C16,FacilityCosts!$B$6:$G$27,6,FALSE)</f>
        <v>215909.81568000006</v>
      </c>
      <c r="G16" s="17">
        <f t="shared" si="0"/>
        <v>0</v>
      </c>
    </row>
    <row r="17" spans="2:7" x14ac:dyDescent="0.3">
      <c r="B17" s="47">
        <f t="shared" si="1"/>
        <v>7</v>
      </c>
      <c r="C17" s="15" t="s">
        <v>167</v>
      </c>
      <c r="D17" s="15" t="s">
        <v>74</v>
      </c>
      <c r="E17" s="54">
        <v>0</v>
      </c>
      <c r="F17" s="29">
        <f>VLOOKUP(C17,FacilityCosts!$B$6:$G$27,6,FALSE)</f>
        <v>1204632.0000000005</v>
      </c>
      <c r="G17" s="17">
        <f t="shared" ref="G17" si="3">F17*E17</f>
        <v>0</v>
      </c>
    </row>
    <row r="18" spans="2:7" x14ac:dyDescent="0.3">
      <c r="B18" s="47">
        <f t="shared" si="1"/>
        <v>8</v>
      </c>
      <c r="C18" s="15" t="s">
        <v>172</v>
      </c>
      <c r="D18" s="15" t="s">
        <v>74</v>
      </c>
      <c r="E18" s="54">
        <v>0</v>
      </c>
      <c r="F18" s="29">
        <f>VLOOKUP(C18,FacilityCosts!$B$6:$G$27,6,FALSE)</f>
        <v>704246.40000000037</v>
      </c>
      <c r="G18" s="17">
        <f t="shared" si="0"/>
        <v>0</v>
      </c>
    </row>
    <row r="19" spans="2:7" x14ac:dyDescent="0.3">
      <c r="B19" s="75" t="s">
        <v>191</v>
      </c>
      <c r="C19" s="75"/>
      <c r="D19" s="75"/>
      <c r="E19" s="75"/>
      <c r="F19" s="75"/>
      <c r="G19" s="75"/>
    </row>
    <row r="20" spans="2:7" x14ac:dyDescent="0.3">
      <c r="B20" s="47">
        <f>B18+1</f>
        <v>9</v>
      </c>
      <c r="C20" s="15" t="s">
        <v>47</v>
      </c>
      <c r="D20" s="15" t="str">
        <f>VLOOKUP(C20,UnitCosts!$C$6:$O$56,2,FALSE)</f>
        <v>Each</v>
      </c>
      <c r="E20" s="54">
        <v>0</v>
      </c>
      <c r="F20" s="29">
        <f>VLOOKUP(C20,UnitCosts!$C$6:$O$56,13,FALSE)</f>
        <v>947.70000000000039</v>
      </c>
      <c r="G20" s="17">
        <f>F20*E20</f>
        <v>0</v>
      </c>
    </row>
    <row r="21" spans="2:7" x14ac:dyDescent="0.3">
      <c r="B21" s="47">
        <f>B20+1</f>
        <v>10</v>
      </c>
      <c r="C21" s="15" t="s">
        <v>27</v>
      </c>
      <c r="D21" s="15" t="str">
        <f>VLOOKUP(C21,UnitCosts!$C$6:$O$56,2,FALSE)</f>
        <v>Each</v>
      </c>
      <c r="E21" s="54">
        <v>0</v>
      </c>
      <c r="F21" s="29">
        <f>VLOOKUP(C21,UnitCosts!$C$6:$O$56,13,FALSE)</f>
        <v>4738.5000000000018</v>
      </c>
      <c r="G21" s="17">
        <f>F21*E21</f>
        <v>0</v>
      </c>
    </row>
    <row r="22" spans="2:7" x14ac:dyDescent="0.3">
      <c r="B22" s="47">
        <f t="shared" ref="B22:B23" si="4">B21+1</f>
        <v>11</v>
      </c>
      <c r="C22" s="15" t="s">
        <v>28</v>
      </c>
      <c r="D22" s="15" t="str">
        <f>VLOOKUP(C22,UnitCosts!$C$6:$O$56,2,FALSE)</f>
        <v>Per Intersection</v>
      </c>
      <c r="E22" s="54">
        <v>0</v>
      </c>
      <c r="F22" s="29">
        <f>VLOOKUP(C22,UnitCosts!$C$6:$O$56,13,FALSE)</f>
        <v>157950.00000000006</v>
      </c>
      <c r="G22" s="17">
        <f t="shared" si="0"/>
        <v>0</v>
      </c>
    </row>
    <row r="23" spans="2:7" x14ac:dyDescent="0.3">
      <c r="B23" s="47">
        <f t="shared" si="4"/>
        <v>12</v>
      </c>
      <c r="C23" s="15" t="s">
        <v>36</v>
      </c>
      <c r="D23" s="15" t="str">
        <f>VLOOKUP(C23,UnitCosts!$C$6:$O$56,2,FALSE)</f>
        <v>Per Approach</v>
      </c>
      <c r="E23" s="54">
        <v>0</v>
      </c>
      <c r="F23" s="29">
        <f>VLOOKUP(C23,UnitCosts!$C$6:$O$56,13,FALSE)</f>
        <v>2106.0000000000009</v>
      </c>
      <c r="G23" s="17">
        <f t="shared" si="0"/>
        <v>0</v>
      </c>
    </row>
    <row r="24" spans="2:7" s="62" customFormat="1" ht="29.25" customHeight="1" x14ac:dyDescent="0.25">
      <c r="B24" s="69" t="s">
        <v>192</v>
      </c>
      <c r="C24" s="69"/>
      <c r="D24" s="69"/>
      <c r="E24" s="69"/>
      <c r="F24" s="69"/>
      <c r="G24" s="61">
        <f>SUM(G10:G23)</f>
        <v>0</v>
      </c>
    </row>
    <row r="25" spans="2:7" s="18" customFormat="1" ht="14.25" x14ac:dyDescent="0.2"/>
  </sheetData>
  <mergeCells count="8">
    <mergeCell ref="B24:F24"/>
    <mergeCell ref="B3:G3"/>
    <mergeCell ref="C6:G6"/>
    <mergeCell ref="C5:G5"/>
    <mergeCell ref="C7:G7"/>
    <mergeCell ref="C8:G8"/>
    <mergeCell ref="B19:G19"/>
    <mergeCell ref="B10:G10"/>
  </mergeCells>
  <pageMargins left="0.7" right="0.7" top="0.75" bottom="0.75" header="0.3" footer="0.3"/>
  <pageSetup scale="85"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Inputs!$B$19:$B$35</xm:f>
          </x14:formula1>
          <xm:sqref>C11:C18</xm:sqref>
        </x14:dataValidation>
        <x14:dataValidation type="list" allowBlank="1" showInputMessage="1" showErrorMessage="1">
          <x14:formula1>
            <xm:f>UnitCosts!$C$6:$C$56</xm:f>
          </x14:formula1>
          <xm:sqref>C20:C23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63"/>
  <sheetViews>
    <sheetView topLeftCell="M1" zoomScale="70" zoomScaleNormal="70" workbookViewId="0">
      <selection activeCell="AE7" sqref="AE7"/>
    </sheetView>
  </sheetViews>
  <sheetFormatPr defaultColWidth="9" defaultRowHeight="15" x14ac:dyDescent="0.25"/>
  <cols>
    <col min="1" max="1" width="9" style="1"/>
    <col min="2" max="2" width="17.7109375" style="3" customWidth="1"/>
    <col min="3" max="3" width="55.85546875" style="3" customWidth="1"/>
    <col min="4" max="4" width="15.28515625" style="5" bestFit="1" customWidth="1"/>
    <col min="5" max="5" width="12.5703125" style="3" bestFit="1" customWidth="1"/>
    <col min="6" max="6" width="12.42578125" style="3" bestFit="1" customWidth="1"/>
    <col min="7" max="7" width="10" style="3" bestFit="1" customWidth="1"/>
    <col min="8" max="8" width="16.42578125" style="3" bestFit="1" customWidth="1"/>
    <col min="9" max="9" width="17.85546875" style="3" bestFit="1" customWidth="1"/>
    <col min="10" max="10" width="10.7109375" style="3" bestFit="1" customWidth="1"/>
    <col min="11" max="11" width="15.28515625" style="3" bestFit="1" customWidth="1"/>
    <col min="12" max="12" width="13.42578125" style="3" bestFit="1" customWidth="1"/>
    <col min="13" max="14" width="16" style="3" bestFit="1" customWidth="1"/>
    <col min="15" max="15" width="14.28515625" style="4" bestFit="1" customWidth="1"/>
    <col min="16" max="27" width="13.7109375" style="4" customWidth="1"/>
    <col min="28" max="29" width="13.7109375" style="2" customWidth="1"/>
    <col min="30" max="32" width="13.7109375" style="1" customWidth="1"/>
    <col min="33" max="33" width="102.7109375" style="5" customWidth="1"/>
    <col min="34" max="34" width="9" style="1"/>
    <col min="35" max="35" width="11.140625" style="1" bestFit="1" customWidth="1"/>
    <col min="36" max="16384" width="9" style="1"/>
  </cols>
  <sheetData>
    <row r="2" spans="2:33" ht="18.75" x14ac:dyDescent="0.3">
      <c r="B2" s="20" t="s">
        <v>60</v>
      </c>
      <c r="C2" s="21"/>
      <c r="D2" s="22"/>
      <c r="E2" s="21"/>
      <c r="F2" s="21"/>
      <c r="G2" s="21"/>
      <c r="H2" s="21"/>
      <c r="I2" s="21"/>
      <c r="J2" s="21"/>
      <c r="K2" s="21"/>
      <c r="L2" s="21"/>
      <c r="M2" s="21"/>
      <c r="N2" s="21"/>
      <c r="O2" s="23"/>
      <c r="P2" s="23"/>
      <c r="Q2" s="23"/>
      <c r="R2" s="23"/>
      <c r="S2" s="23"/>
      <c r="T2" s="23"/>
      <c r="U2" s="23"/>
      <c r="V2" s="23"/>
      <c r="W2" s="23"/>
      <c r="X2" s="23"/>
      <c r="Y2" s="23"/>
      <c r="Z2" s="23"/>
      <c r="AA2" s="23"/>
      <c r="AB2" s="24"/>
      <c r="AC2" s="24"/>
      <c r="AD2" s="13"/>
      <c r="AE2" s="13"/>
      <c r="AF2" s="13"/>
      <c r="AG2" s="22"/>
    </row>
    <row r="3" spans="2:33" ht="18.75" x14ac:dyDescent="0.3">
      <c r="B3" s="20"/>
      <c r="C3" s="21"/>
      <c r="D3" s="22"/>
      <c r="E3" s="21"/>
      <c r="F3" s="21"/>
      <c r="G3" s="21"/>
      <c r="H3" s="21"/>
      <c r="I3" s="21"/>
      <c r="J3" s="21"/>
      <c r="K3" s="21"/>
      <c r="L3" s="21"/>
      <c r="M3" s="21"/>
      <c r="N3" s="21"/>
      <c r="O3" s="23"/>
      <c r="P3" s="23"/>
      <c r="Q3" s="23"/>
      <c r="R3" s="23"/>
      <c r="S3" s="23"/>
      <c r="T3" s="23"/>
      <c r="U3" s="23"/>
      <c r="V3" s="23"/>
      <c r="W3" s="23"/>
      <c r="X3" s="23"/>
      <c r="Y3" s="23"/>
      <c r="Z3" s="23"/>
      <c r="AA3" s="23"/>
      <c r="AB3" s="24"/>
      <c r="AC3" s="24"/>
      <c r="AD3" s="13"/>
      <c r="AE3" s="13"/>
      <c r="AF3" s="13"/>
      <c r="AG3" s="22"/>
    </row>
    <row r="4" spans="2:33" s="3" customFormat="1" ht="109.9" customHeight="1" x14ac:dyDescent="0.25">
      <c r="B4" s="41"/>
      <c r="C4" s="41"/>
      <c r="D4" s="41"/>
      <c r="E4" s="41"/>
      <c r="F4" s="41"/>
      <c r="G4" s="41"/>
      <c r="H4" s="41"/>
      <c r="I4" s="41"/>
      <c r="J4" s="41"/>
      <c r="K4" s="41"/>
      <c r="L4" s="41"/>
      <c r="M4" s="41"/>
      <c r="N4" s="41"/>
      <c r="O4" s="41" t="s">
        <v>124</v>
      </c>
      <c r="P4" s="41" t="s">
        <v>77</v>
      </c>
      <c r="Q4" s="41" t="s">
        <v>78</v>
      </c>
      <c r="R4" s="41" t="s">
        <v>79</v>
      </c>
      <c r="S4" s="41" t="s">
        <v>91</v>
      </c>
      <c r="T4" s="41" t="s">
        <v>90</v>
      </c>
      <c r="U4" s="41" t="s">
        <v>82</v>
      </c>
      <c r="V4" s="41" t="s">
        <v>81</v>
      </c>
      <c r="W4" s="41" t="s">
        <v>94</v>
      </c>
      <c r="X4" s="41" t="s">
        <v>95</v>
      </c>
      <c r="Y4" s="41" t="s">
        <v>96</v>
      </c>
      <c r="Z4" s="41" t="s">
        <v>97</v>
      </c>
      <c r="AA4" s="41" t="s">
        <v>85</v>
      </c>
      <c r="AB4" s="41" t="s">
        <v>86</v>
      </c>
      <c r="AC4" s="41" t="s">
        <v>120</v>
      </c>
      <c r="AD4" s="41" t="s">
        <v>89</v>
      </c>
      <c r="AE4" s="41" t="s">
        <v>88</v>
      </c>
      <c r="AF4" s="41" t="s">
        <v>122</v>
      </c>
      <c r="AG4" s="41"/>
    </row>
    <row r="5" spans="2:33" s="2" customFormat="1" ht="53.25" customHeight="1" x14ac:dyDescent="0.25">
      <c r="B5" s="41" t="s">
        <v>0</v>
      </c>
      <c r="C5" s="41" t="s">
        <v>1</v>
      </c>
      <c r="D5" s="41" t="s">
        <v>7</v>
      </c>
      <c r="E5" s="41" t="s">
        <v>2</v>
      </c>
      <c r="F5" s="41" t="s">
        <v>5</v>
      </c>
      <c r="G5" s="41" t="s">
        <v>3</v>
      </c>
      <c r="H5" s="41" t="s">
        <v>4</v>
      </c>
      <c r="I5" s="41" t="s">
        <v>66</v>
      </c>
      <c r="J5" s="41" t="s">
        <v>175</v>
      </c>
      <c r="K5" s="41" t="s">
        <v>176</v>
      </c>
      <c r="L5" s="41" t="s">
        <v>6</v>
      </c>
      <c r="M5" s="41" t="s">
        <v>67</v>
      </c>
      <c r="N5" s="41" t="s">
        <v>68</v>
      </c>
      <c r="O5" s="41" t="s">
        <v>123</v>
      </c>
      <c r="P5" s="41" t="s">
        <v>74</v>
      </c>
      <c r="Q5" s="41" t="s">
        <v>74</v>
      </c>
      <c r="R5" s="41" t="s">
        <v>74</v>
      </c>
      <c r="S5" s="41" t="s">
        <v>74</v>
      </c>
      <c r="T5" s="41" t="s">
        <v>74</v>
      </c>
      <c r="U5" s="41" t="s">
        <v>74</v>
      </c>
      <c r="V5" s="41" t="s">
        <v>74</v>
      </c>
      <c r="W5" s="41" t="s">
        <v>74</v>
      </c>
      <c r="X5" s="41" t="s">
        <v>74</v>
      </c>
      <c r="Y5" s="41" t="s">
        <v>74</v>
      </c>
      <c r="Z5" s="41" t="s">
        <v>74</v>
      </c>
      <c r="AA5" s="41" t="s">
        <v>74</v>
      </c>
      <c r="AB5" s="41" t="s">
        <v>74</v>
      </c>
      <c r="AC5" s="41" t="s">
        <v>87</v>
      </c>
      <c r="AD5" s="41" t="s">
        <v>74</v>
      </c>
      <c r="AE5" s="41" t="s">
        <v>74</v>
      </c>
      <c r="AF5" s="41" t="s">
        <v>74</v>
      </c>
      <c r="AG5" s="41" t="s">
        <v>69</v>
      </c>
    </row>
    <row r="6" spans="2:33" ht="16.5" x14ac:dyDescent="0.3">
      <c r="B6" s="21" t="s">
        <v>44</v>
      </c>
      <c r="C6" s="25" t="s">
        <v>47</v>
      </c>
      <c r="D6" s="27" t="s">
        <v>15</v>
      </c>
      <c r="E6" s="26">
        <v>450</v>
      </c>
      <c r="F6" s="28">
        <f>Inputs!$D$8</f>
        <v>0.05</v>
      </c>
      <c r="G6" s="28">
        <f>Inputs!$D$9</f>
        <v>0.05</v>
      </c>
      <c r="H6" s="28">
        <f>Inputs!$D$10</f>
        <v>0.1</v>
      </c>
      <c r="I6" s="28">
        <f>Inputs!$D$11</f>
        <v>0.1</v>
      </c>
      <c r="J6" s="28">
        <f>Inputs!$D$12</f>
        <v>0.15</v>
      </c>
      <c r="K6" s="28">
        <f>Inputs!$D$13</f>
        <v>0.1</v>
      </c>
      <c r="L6" s="28">
        <f>Inputs!$D$14</f>
        <v>0.3</v>
      </c>
      <c r="M6" s="28">
        <f>Inputs!$D$15</f>
        <v>0.1</v>
      </c>
      <c r="N6" s="28">
        <f>Inputs!$D$16</f>
        <v>0.3</v>
      </c>
      <c r="O6" s="29">
        <f>($E6*(1+$G6+$H6+$F6))*(1+$L6)*(1+$J6+$K6+$I6)</f>
        <v>947.70000000000039</v>
      </c>
      <c r="P6" s="30">
        <v>24</v>
      </c>
      <c r="Q6" s="30"/>
      <c r="R6" s="30">
        <v>24</v>
      </c>
      <c r="S6" s="30">
        <v>24</v>
      </c>
      <c r="T6" s="30">
        <v>24</v>
      </c>
      <c r="U6" s="30">
        <v>24</v>
      </c>
      <c r="V6" s="30"/>
      <c r="W6" s="30">
        <v>24</v>
      </c>
      <c r="X6" s="30">
        <v>24</v>
      </c>
      <c r="Y6" s="30">
        <v>24</v>
      </c>
      <c r="Z6" s="30">
        <v>48</v>
      </c>
      <c r="AA6" s="30"/>
      <c r="AB6" s="30"/>
      <c r="AC6" s="30"/>
      <c r="AD6" s="30"/>
      <c r="AE6" s="30"/>
      <c r="AF6" s="30"/>
      <c r="AG6" s="27"/>
    </row>
    <row r="7" spans="2:33" ht="16.5" x14ac:dyDescent="0.3">
      <c r="B7" s="21" t="s">
        <v>44</v>
      </c>
      <c r="C7" s="25" t="s">
        <v>48</v>
      </c>
      <c r="D7" s="27" t="s">
        <v>15</v>
      </c>
      <c r="E7" s="26">
        <v>900</v>
      </c>
      <c r="F7" s="28">
        <f>Inputs!$D$8</f>
        <v>0.05</v>
      </c>
      <c r="G7" s="28">
        <f>Inputs!$D$9</f>
        <v>0.05</v>
      </c>
      <c r="H7" s="28">
        <f>Inputs!$D$10</f>
        <v>0.1</v>
      </c>
      <c r="I7" s="28">
        <f>Inputs!$D$11</f>
        <v>0.1</v>
      </c>
      <c r="J7" s="28">
        <f>Inputs!$D$12</f>
        <v>0.15</v>
      </c>
      <c r="K7" s="28">
        <f>Inputs!$D$13</f>
        <v>0.1</v>
      </c>
      <c r="L7" s="28">
        <f>Inputs!$D$14</f>
        <v>0.3</v>
      </c>
      <c r="M7" s="28">
        <f>Inputs!$D$15</f>
        <v>0.1</v>
      </c>
      <c r="N7" s="28">
        <f>Inputs!$D$16</f>
        <v>0.3</v>
      </c>
      <c r="O7" s="29">
        <f t="shared" ref="O7:O58" si="0">($E7*(1+$G7+$H7+$F7))*(1+$L7)*(1+$J7+$K7+$I7)</f>
        <v>1895.4000000000008</v>
      </c>
      <c r="P7" s="30"/>
      <c r="Q7" s="30"/>
      <c r="R7" s="30"/>
      <c r="S7" s="30"/>
      <c r="T7" s="30"/>
      <c r="U7" s="30"/>
      <c r="V7" s="30">
        <v>24</v>
      </c>
      <c r="W7" s="30"/>
      <c r="X7" s="30"/>
      <c r="Y7" s="30"/>
      <c r="Z7" s="30"/>
      <c r="AA7" s="30"/>
      <c r="AB7" s="30"/>
      <c r="AC7" s="30"/>
      <c r="AD7" s="30"/>
      <c r="AE7" s="30">
        <f>ROUNDUP(Inputs!D5/Inputs!D6,0)*1</f>
        <v>9</v>
      </c>
      <c r="AF7" s="13"/>
      <c r="AG7" s="27"/>
    </row>
    <row r="8" spans="2:33" ht="16.5" x14ac:dyDescent="0.3">
      <c r="B8" s="21" t="s">
        <v>8</v>
      </c>
      <c r="C8" s="25" t="s">
        <v>19</v>
      </c>
      <c r="D8" s="27" t="s">
        <v>13</v>
      </c>
      <c r="E8" s="26">
        <v>2</v>
      </c>
      <c r="F8" s="28">
        <f>Inputs!$D$8</f>
        <v>0.05</v>
      </c>
      <c r="G8" s="28">
        <f>Inputs!$D$9</f>
        <v>0.05</v>
      </c>
      <c r="H8" s="28">
        <f>Inputs!$D$10</f>
        <v>0.1</v>
      </c>
      <c r="I8" s="28">
        <f>Inputs!$D$11</f>
        <v>0.1</v>
      </c>
      <c r="J8" s="28">
        <f>Inputs!$D$12</f>
        <v>0.15</v>
      </c>
      <c r="K8" s="28">
        <f>Inputs!$D$13</f>
        <v>0.1</v>
      </c>
      <c r="L8" s="28">
        <f>Inputs!$D$14</f>
        <v>0.3</v>
      </c>
      <c r="M8" s="28">
        <f>Inputs!$D$15</f>
        <v>0.1</v>
      </c>
      <c r="N8" s="28">
        <f>Inputs!$D$16</f>
        <v>0.3</v>
      </c>
      <c r="O8" s="29">
        <f t="shared" si="0"/>
        <v>4.2120000000000006</v>
      </c>
      <c r="P8" s="30">
        <f>Inputs!D5</f>
        <v>5280</v>
      </c>
      <c r="Q8" s="30"/>
      <c r="R8" s="30">
        <f>Inputs!D5*2</f>
        <v>10560</v>
      </c>
      <c r="S8" s="30">
        <f>Inputs!D5*3</f>
        <v>15840</v>
      </c>
      <c r="T8" s="30">
        <f>Inputs!D5*2</f>
        <v>10560</v>
      </c>
      <c r="U8" s="30"/>
      <c r="V8" s="30"/>
      <c r="W8" s="30">
        <f>Inputs!D5*3</f>
        <v>15840</v>
      </c>
      <c r="X8" s="30">
        <f>Inputs!D5*3</f>
        <v>15840</v>
      </c>
      <c r="Y8" s="30"/>
      <c r="Z8" s="30">
        <f>Inputs!D5*3</f>
        <v>15840</v>
      </c>
      <c r="AA8" s="30"/>
      <c r="AB8" s="30"/>
      <c r="AC8" s="30"/>
      <c r="AD8" s="30"/>
      <c r="AE8" s="30"/>
      <c r="AF8" s="13"/>
      <c r="AG8" s="27"/>
    </row>
    <row r="9" spans="2:33" ht="16.5" x14ac:dyDescent="0.3">
      <c r="B9" s="21" t="s">
        <v>8</v>
      </c>
      <c r="C9" s="25" t="s">
        <v>20</v>
      </c>
      <c r="D9" s="27" t="s">
        <v>13</v>
      </c>
      <c r="E9" s="26">
        <v>5</v>
      </c>
      <c r="F9" s="28">
        <f>Inputs!$D$8</f>
        <v>0.05</v>
      </c>
      <c r="G9" s="28">
        <f>Inputs!$D$9</f>
        <v>0.05</v>
      </c>
      <c r="H9" s="28">
        <f>Inputs!$D$10</f>
        <v>0.1</v>
      </c>
      <c r="I9" s="28">
        <f>Inputs!$D$11</f>
        <v>0.1</v>
      </c>
      <c r="J9" s="28">
        <f>Inputs!$D$12</f>
        <v>0.15</v>
      </c>
      <c r="K9" s="28">
        <f>Inputs!$D$13</f>
        <v>0.1</v>
      </c>
      <c r="L9" s="28">
        <f>Inputs!$D$14</f>
        <v>0.3</v>
      </c>
      <c r="M9" s="28">
        <f>Inputs!$D$15</f>
        <v>0.1</v>
      </c>
      <c r="N9" s="28">
        <f>Inputs!$D$16</f>
        <v>0.3</v>
      </c>
      <c r="O9" s="29">
        <f t="shared" si="0"/>
        <v>10.530000000000003</v>
      </c>
      <c r="P9" s="30"/>
      <c r="Q9" s="30"/>
      <c r="R9" s="30"/>
      <c r="S9" s="30"/>
      <c r="T9" s="30"/>
      <c r="U9" s="30"/>
      <c r="V9" s="30"/>
      <c r="W9" s="30"/>
      <c r="X9" s="30"/>
      <c r="Y9" s="30"/>
      <c r="Z9" s="30"/>
      <c r="AA9" s="30"/>
      <c r="AB9" s="30"/>
      <c r="AC9" s="30"/>
      <c r="AD9" s="30"/>
      <c r="AE9" s="30"/>
      <c r="AF9" s="13"/>
      <c r="AG9" s="27"/>
    </row>
    <row r="10" spans="2:33" ht="16.5" x14ac:dyDescent="0.3">
      <c r="B10" s="21" t="s">
        <v>8</v>
      </c>
      <c r="C10" s="25" t="s">
        <v>21</v>
      </c>
      <c r="D10" s="27" t="s">
        <v>13</v>
      </c>
      <c r="E10" s="26">
        <v>6.6</v>
      </c>
      <c r="F10" s="28">
        <f>Inputs!$D$8</f>
        <v>0.05</v>
      </c>
      <c r="G10" s="28">
        <f>Inputs!$D$9</f>
        <v>0.05</v>
      </c>
      <c r="H10" s="28">
        <f>Inputs!$D$10</f>
        <v>0.1</v>
      </c>
      <c r="I10" s="28">
        <f>Inputs!$D$11</f>
        <v>0.1</v>
      </c>
      <c r="J10" s="28">
        <f>Inputs!$D$12</f>
        <v>0.15</v>
      </c>
      <c r="K10" s="28">
        <f>Inputs!$D$13</f>
        <v>0.1</v>
      </c>
      <c r="L10" s="28">
        <f>Inputs!$D$14</f>
        <v>0.3</v>
      </c>
      <c r="M10" s="28">
        <f>Inputs!$D$15</f>
        <v>0.1</v>
      </c>
      <c r="N10" s="28">
        <f>Inputs!$D$16</f>
        <v>0.3</v>
      </c>
      <c r="O10" s="29">
        <f t="shared" si="0"/>
        <v>13.899600000000003</v>
      </c>
      <c r="P10" s="30"/>
      <c r="Q10" s="30"/>
      <c r="R10" s="30"/>
      <c r="S10" s="30"/>
      <c r="T10" s="30"/>
      <c r="U10" s="30"/>
      <c r="V10" s="30"/>
      <c r="W10" s="30"/>
      <c r="X10" s="30"/>
      <c r="Y10" s="30"/>
      <c r="Z10" s="30"/>
      <c r="AA10" s="30"/>
      <c r="AB10" s="30"/>
      <c r="AC10" s="30"/>
      <c r="AD10" s="30"/>
      <c r="AE10" s="30"/>
      <c r="AF10" s="13"/>
      <c r="AG10" s="27"/>
    </row>
    <row r="11" spans="2:33" ht="16.5" x14ac:dyDescent="0.3">
      <c r="B11" s="21" t="s">
        <v>8</v>
      </c>
      <c r="C11" s="25" t="s">
        <v>49</v>
      </c>
      <c r="D11" s="27" t="s">
        <v>14</v>
      </c>
      <c r="E11" s="26">
        <v>3.5</v>
      </c>
      <c r="F11" s="28">
        <f>Inputs!$D$8</f>
        <v>0.05</v>
      </c>
      <c r="G11" s="28">
        <f>Inputs!$D$9</f>
        <v>0.05</v>
      </c>
      <c r="H11" s="28">
        <f>Inputs!$D$10</f>
        <v>0.1</v>
      </c>
      <c r="I11" s="28">
        <f>Inputs!$D$11</f>
        <v>0.1</v>
      </c>
      <c r="J11" s="28">
        <f>Inputs!$D$12</f>
        <v>0.15</v>
      </c>
      <c r="K11" s="28">
        <f>Inputs!$D$13</f>
        <v>0.1</v>
      </c>
      <c r="L11" s="28">
        <f>Inputs!$D$14</f>
        <v>0.3</v>
      </c>
      <c r="M11" s="28">
        <f>Inputs!$D$15</f>
        <v>0.1</v>
      </c>
      <c r="N11" s="28">
        <f>Inputs!$D$16</f>
        <v>0.3</v>
      </c>
      <c r="O11" s="29">
        <f t="shared" si="0"/>
        <v>7.3710000000000031</v>
      </c>
      <c r="P11" s="30"/>
      <c r="Q11" s="30"/>
      <c r="R11" s="30"/>
      <c r="S11" s="30"/>
      <c r="T11" s="30">
        <f>Inputs!D5*6</f>
        <v>31680</v>
      </c>
      <c r="U11" s="30"/>
      <c r="V11" s="30"/>
      <c r="W11" s="30">
        <f>6*4*6*2*Inputs!D7</f>
        <v>2534.4</v>
      </c>
      <c r="X11" s="30"/>
      <c r="Y11" s="30"/>
      <c r="Z11" s="30">
        <f>6*4*6*2*Inputs!D7*3</f>
        <v>7603.2000000000007</v>
      </c>
      <c r="AA11" s="30"/>
      <c r="AB11" s="30"/>
      <c r="AC11" s="30"/>
      <c r="AD11" s="30"/>
      <c r="AE11" s="30"/>
      <c r="AF11" s="13"/>
      <c r="AG11" s="27"/>
    </row>
    <row r="12" spans="2:33" ht="16.5" x14ac:dyDescent="0.3">
      <c r="B12" s="21" t="s">
        <v>8</v>
      </c>
      <c r="C12" s="25" t="s">
        <v>84</v>
      </c>
      <c r="D12" s="27" t="s">
        <v>15</v>
      </c>
      <c r="E12" s="26">
        <f>12*12*E11</f>
        <v>504</v>
      </c>
      <c r="F12" s="28">
        <f>Inputs!$D$8</f>
        <v>0.05</v>
      </c>
      <c r="G12" s="28">
        <f>Inputs!$D$9</f>
        <v>0.05</v>
      </c>
      <c r="H12" s="28">
        <f>Inputs!$D$10</f>
        <v>0.1</v>
      </c>
      <c r="I12" s="28">
        <f>Inputs!$D$11</f>
        <v>0.1</v>
      </c>
      <c r="J12" s="28">
        <f>Inputs!$D$12</f>
        <v>0.15</v>
      </c>
      <c r="K12" s="28">
        <f>Inputs!$D$13</f>
        <v>0.1</v>
      </c>
      <c r="L12" s="28">
        <f>Inputs!$D$14</f>
        <v>0.3</v>
      </c>
      <c r="M12" s="28">
        <f>Inputs!$D$15</f>
        <v>0.1</v>
      </c>
      <c r="N12" s="28">
        <f>Inputs!$D$16</f>
        <v>0.3</v>
      </c>
      <c r="O12" s="29">
        <f t="shared" si="0"/>
        <v>1061.4240000000002</v>
      </c>
      <c r="P12" s="30"/>
      <c r="Q12" s="30"/>
      <c r="R12" s="30"/>
      <c r="S12" s="30"/>
      <c r="T12" s="30"/>
      <c r="U12" s="30"/>
      <c r="V12" s="30"/>
      <c r="W12" s="30"/>
      <c r="X12" s="30"/>
      <c r="Y12" s="30"/>
      <c r="Z12" s="30"/>
      <c r="AA12" s="30"/>
      <c r="AB12" s="30"/>
      <c r="AC12" s="30"/>
      <c r="AD12" s="30"/>
      <c r="AE12" s="30"/>
      <c r="AF12" s="13"/>
      <c r="AG12" s="27"/>
    </row>
    <row r="13" spans="2:33" ht="16.5" x14ac:dyDescent="0.3">
      <c r="B13" s="21" t="s">
        <v>8</v>
      </c>
      <c r="C13" s="31" t="s">
        <v>9</v>
      </c>
      <c r="D13" s="33" t="s">
        <v>13</v>
      </c>
      <c r="E13" s="32">
        <v>1.5</v>
      </c>
      <c r="F13" s="28">
        <f>Inputs!$D$8</f>
        <v>0.05</v>
      </c>
      <c r="G13" s="28">
        <f>Inputs!$D$9</f>
        <v>0.05</v>
      </c>
      <c r="H13" s="28">
        <f>Inputs!$D$10</f>
        <v>0.1</v>
      </c>
      <c r="I13" s="28">
        <f>Inputs!$D$11</f>
        <v>0.1</v>
      </c>
      <c r="J13" s="28">
        <f>Inputs!$D$12</f>
        <v>0.15</v>
      </c>
      <c r="K13" s="28">
        <f>Inputs!$D$13</f>
        <v>0.1</v>
      </c>
      <c r="L13" s="28">
        <f>Inputs!$D$14</f>
        <v>0.3</v>
      </c>
      <c r="M13" s="28">
        <f>Inputs!$D$15</f>
        <v>0.1</v>
      </c>
      <c r="N13" s="28">
        <f>Inputs!$D$16</f>
        <v>0.3</v>
      </c>
      <c r="O13" s="29">
        <f t="shared" si="0"/>
        <v>3.1590000000000007</v>
      </c>
      <c r="P13" s="30">
        <f>Inputs!D5*2</f>
        <v>10560</v>
      </c>
      <c r="Q13" s="30">
        <f>Inputs!D5</f>
        <v>5280</v>
      </c>
      <c r="R13" s="30">
        <f>Inputs!D5</f>
        <v>5280</v>
      </c>
      <c r="S13" s="30">
        <f>Inputs!D5</f>
        <v>5280</v>
      </c>
      <c r="T13" s="30">
        <f>Inputs!D5</f>
        <v>5280</v>
      </c>
      <c r="U13" s="30"/>
      <c r="V13" s="30"/>
      <c r="W13" s="30">
        <f>Inputs!D5*2</f>
        <v>10560</v>
      </c>
      <c r="X13" s="30">
        <f>Inputs!D5*2</f>
        <v>10560</v>
      </c>
      <c r="Y13" s="30">
        <f>Inputs!D5*2</f>
        <v>10560</v>
      </c>
      <c r="Z13" s="30">
        <f>Inputs!D5*2</f>
        <v>10560</v>
      </c>
      <c r="AA13" s="30"/>
      <c r="AB13" s="30"/>
      <c r="AC13" s="30"/>
      <c r="AD13" s="30"/>
      <c r="AE13" s="30"/>
      <c r="AF13" s="13"/>
      <c r="AG13" s="33"/>
    </row>
    <row r="14" spans="2:33" ht="16.5" x14ac:dyDescent="0.3">
      <c r="B14" s="21" t="s">
        <v>8</v>
      </c>
      <c r="C14" s="25" t="s">
        <v>10</v>
      </c>
      <c r="D14" s="27" t="s">
        <v>14</v>
      </c>
      <c r="E14" s="26">
        <v>6</v>
      </c>
      <c r="F14" s="28">
        <f>Inputs!$D$8</f>
        <v>0.05</v>
      </c>
      <c r="G14" s="28">
        <f>Inputs!$D$9</f>
        <v>0.05</v>
      </c>
      <c r="H14" s="28">
        <f>Inputs!$D$10</f>
        <v>0.1</v>
      </c>
      <c r="I14" s="28">
        <f>Inputs!$D$11</f>
        <v>0.1</v>
      </c>
      <c r="J14" s="28">
        <f>Inputs!$D$12</f>
        <v>0.15</v>
      </c>
      <c r="K14" s="28">
        <f>Inputs!$D$13</f>
        <v>0.1</v>
      </c>
      <c r="L14" s="28">
        <f>Inputs!$D$14</f>
        <v>0.3</v>
      </c>
      <c r="M14" s="28">
        <f>Inputs!$D$15</f>
        <v>0.1</v>
      </c>
      <c r="N14" s="28">
        <f>Inputs!$D$16</f>
        <v>0.3</v>
      </c>
      <c r="O14" s="29">
        <f t="shared" si="0"/>
        <v>12.636000000000003</v>
      </c>
      <c r="P14" s="30"/>
      <c r="Q14" s="30"/>
      <c r="R14" s="30"/>
      <c r="S14" s="30"/>
      <c r="T14" s="30"/>
      <c r="U14" s="30"/>
      <c r="V14" s="30"/>
      <c r="W14" s="30"/>
      <c r="X14" s="30"/>
      <c r="Y14" s="30"/>
      <c r="Z14" s="30"/>
      <c r="AA14" s="30"/>
      <c r="AB14" s="30"/>
      <c r="AC14" s="30"/>
      <c r="AD14" s="30"/>
      <c r="AE14" s="30"/>
      <c r="AF14" s="13"/>
      <c r="AG14" s="27"/>
    </row>
    <row r="15" spans="2:33" ht="16.5" x14ac:dyDescent="0.3">
      <c r="B15" s="21" t="s">
        <v>8</v>
      </c>
      <c r="C15" s="25" t="s">
        <v>11</v>
      </c>
      <c r="D15" s="27" t="s">
        <v>13</v>
      </c>
      <c r="E15" s="26">
        <v>2.5</v>
      </c>
      <c r="F15" s="28">
        <f>Inputs!$D$8</f>
        <v>0.05</v>
      </c>
      <c r="G15" s="28">
        <f>Inputs!$D$9</f>
        <v>0.05</v>
      </c>
      <c r="H15" s="28">
        <f>Inputs!$D$10</f>
        <v>0.1</v>
      </c>
      <c r="I15" s="28">
        <f>Inputs!$D$11</f>
        <v>0.1</v>
      </c>
      <c r="J15" s="28">
        <f>Inputs!$D$12</f>
        <v>0.15</v>
      </c>
      <c r="K15" s="28">
        <f>Inputs!$D$13</f>
        <v>0.1</v>
      </c>
      <c r="L15" s="28">
        <f>Inputs!$D$14</f>
        <v>0.3</v>
      </c>
      <c r="M15" s="28">
        <f>Inputs!$D$15</f>
        <v>0.1</v>
      </c>
      <c r="N15" s="28">
        <f>Inputs!$D$16</f>
        <v>0.3</v>
      </c>
      <c r="O15" s="29">
        <f t="shared" si="0"/>
        <v>5.2650000000000015</v>
      </c>
      <c r="P15" s="30"/>
      <c r="Q15" s="30"/>
      <c r="R15" s="30"/>
      <c r="S15" s="30"/>
      <c r="T15" s="30"/>
      <c r="U15" s="30"/>
      <c r="V15" s="30"/>
      <c r="W15" s="30"/>
      <c r="X15" s="30">
        <f>Inputs!D5*2</f>
        <v>10560</v>
      </c>
      <c r="Y15" s="30">
        <f>Inputs!D5*2</f>
        <v>10560</v>
      </c>
      <c r="Z15" s="30"/>
      <c r="AA15" s="30"/>
      <c r="AB15" s="30"/>
      <c r="AC15" s="30"/>
      <c r="AD15" s="30"/>
      <c r="AE15" s="30"/>
      <c r="AF15" s="13"/>
      <c r="AG15" s="27"/>
    </row>
    <row r="16" spans="2:33" ht="16.5" x14ac:dyDescent="0.3">
      <c r="B16" s="21" t="s">
        <v>8</v>
      </c>
      <c r="C16" s="25" t="s">
        <v>98</v>
      </c>
      <c r="D16" s="27" t="s">
        <v>15</v>
      </c>
      <c r="E16" s="26">
        <v>2000</v>
      </c>
      <c r="F16" s="28">
        <f>Inputs!$D$8</f>
        <v>0.05</v>
      </c>
      <c r="G16" s="28">
        <f>Inputs!$D$9</f>
        <v>0.05</v>
      </c>
      <c r="H16" s="28">
        <f>Inputs!$D$10</f>
        <v>0.1</v>
      </c>
      <c r="I16" s="28">
        <f>Inputs!$D$11</f>
        <v>0.1</v>
      </c>
      <c r="J16" s="28">
        <f>Inputs!$D$12</f>
        <v>0.15</v>
      </c>
      <c r="K16" s="28">
        <f>Inputs!$D$13</f>
        <v>0.1</v>
      </c>
      <c r="L16" s="28">
        <f>Inputs!$D$14</f>
        <v>0.3</v>
      </c>
      <c r="M16" s="28">
        <f>Inputs!$D$15</f>
        <v>0.1</v>
      </c>
      <c r="N16" s="28">
        <f>Inputs!$D$16</f>
        <v>0.3</v>
      </c>
      <c r="O16" s="29">
        <f t="shared" si="0"/>
        <v>4212.0000000000018</v>
      </c>
      <c r="P16" s="30">
        <f>Inputs!D7</f>
        <v>8.8000000000000007</v>
      </c>
      <c r="Q16" s="30">
        <f>Inputs!D7</f>
        <v>8.8000000000000007</v>
      </c>
      <c r="R16" s="30"/>
      <c r="S16" s="30"/>
      <c r="T16" s="30"/>
      <c r="U16" s="30"/>
      <c r="V16" s="30"/>
      <c r="W16" s="30"/>
      <c r="X16" s="30"/>
      <c r="Y16" s="30"/>
      <c r="Z16" s="30"/>
      <c r="AA16" s="30">
        <f>Inputs!D7</f>
        <v>8.8000000000000007</v>
      </c>
      <c r="AB16" s="30">
        <f>Inputs!D7</f>
        <v>8.8000000000000007</v>
      </c>
      <c r="AC16" s="30">
        <v>4</v>
      </c>
      <c r="AD16" s="30"/>
      <c r="AE16" s="30"/>
      <c r="AF16" s="13"/>
      <c r="AG16" s="27" t="s">
        <v>128</v>
      </c>
    </row>
    <row r="17" spans="2:33" ht="16.5" x14ac:dyDescent="0.3">
      <c r="B17" s="21" t="s">
        <v>8</v>
      </c>
      <c r="C17" s="25" t="s">
        <v>12</v>
      </c>
      <c r="D17" s="27" t="s">
        <v>14</v>
      </c>
      <c r="E17" s="26">
        <v>3.5</v>
      </c>
      <c r="F17" s="28">
        <f>Inputs!$D$8</f>
        <v>0.05</v>
      </c>
      <c r="G17" s="28">
        <f>Inputs!$D$9</f>
        <v>0.05</v>
      </c>
      <c r="H17" s="28">
        <f>Inputs!$D$10</f>
        <v>0.1</v>
      </c>
      <c r="I17" s="28">
        <f>Inputs!$D$11</f>
        <v>0.1</v>
      </c>
      <c r="J17" s="28">
        <f>Inputs!$D$12</f>
        <v>0.15</v>
      </c>
      <c r="K17" s="28">
        <f>Inputs!$D$13</f>
        <v>0.1</v>
      </c>
      <c r="L17" s="28">
        <f>Inputs!$D$14</f>
        <v>0.3</v>
      </c>
      <c r="M17" s="28">
        <f>Inputs!$D$15</f>
        <v>0.1</v>
      </c>
      <c r="N17" s="28">
        <f>Inputs!$D$16</f>
        <v>0.3</v>
      </c>
      <c r="O17" s="29">
        <f t="shared" si="0"/>
        <v>7.3710000000000031</v>
      </c>
      <c r="P17" s="30"/>
      <c r="Q17" s="30"/>
      <c r="R17" s="30"/>
      <c r="S17" s="30"/>
      <c r="T17" s="30"/>
      <c r="U17" s="30"/>
      <c r="V17" s="30"/>
      <c r="W17" s="30"/>
      <c r="X17" s="30"/>
      <c r="Y17" s="30"/>
      <c r="Z17" s="30"/>
      <c r="AA17" s="30"/>
      <c r="AB17" s="30"/>
      <c r="AC17" s="30"/>
      <c r="AD17" s="30"/>
      <c r="AE17" s="30"/>
      <c r="AF17" s="13"/>
      <c r="AG17" s="27" t="s">
        <v>140</v>
      </c>
    </row>
    <row r="18" spans="2:33" ht="16.5" x14ac:dyDescent="0.3">
      <c r="B18" s="21" t="s">
        <v>8</v>
      </c>
      <c r="C18" s="25" t="s">
        <v>50</v>
      </c>
      <c r="D18" s="27" t="s">
        <v>15</v>
      </c>
      <c r="E18" s="26">
        <f>ROUNDUP(51*E17,0)</f>
        <v>179</v>
      </c>
      <c r="F18" s="28">
        <f>Inputs!$D$8</f>
        <v>0.05</v>
      </c>
      <c r="G18" s="28">
        <f>Inputs!$D$9</f>
        <v>0.05</v>
      </c>
      <c r="H18" s="28">
        <f>Inputs!$D$10</f>
        <v>0.1</v>
      </c>
      <c r="I18" s="28">
        <f>Inputs!$D$11</f>
        <v>0.1</v>
      </c>
      <c r="J18" s="28">
        <f>Inputs!$D$12</f>
        <v>0.15</v>
      </c>
      <c r="K18" s="28">
        <f>Inputs!$D$13</f>
        <v>0.1</v>
      </c>
      <c r="L18" s="28">
        <f>Inputs!$D$14</f>
        <v>0.3</v>
      </c>
      <c r="M18" s="28">
        <f>Inputs!$D$15</f>
        <v>0.1</v>
      </c>
      <c r="N18" s="28">
        <f>Inputs!$D$16</f>
        <v>0.3</v>
      </c>
      <c r="O18" s="29">
        <f t="shared" si="0"/>
        <v>376.9740000000001</v>
      </c>
      <c r="P18" s="30"/>
      <c r="Q18" s="30"/>
      <c r="R18" s="30"/>
      <c r="S18" s="30"/>
      <c r="T18" s="30"/>
      <c r="U18" s="30">
        <f>Inputs!D5/250</f>
        <v>21.12</v>
      </c>
      <c r="V18" s="30">
        <f>Inputs!D5/250</f>
        <v>21.12</v>
      </c>
      <c r="W18" s="30"/>
      <c r="X18" s="30"/>
      <c r="Y18" s="30"/>
      <c r="Z18" s="30"/>
      <c r="AA18" s="30"/>
      <c r="AB18" s="30"/>
      <c r="AC18" s="30"/>
      <c r="AD18" s="30"/>
      <c r="AE18" s="30"/>
      <c r="AF18" s="13"/>
      <c r="AG18" s="27" t="s">
        <v>133</v>
      </c>
    </row>
    <row r="19" spans="2:33" ht="33" x14ac:dyDescent="0.3">
      <c r="B19" s="21" t="s">
        <v>8</v>
      </c>
      <c r="C19" s="25" t="s">
        <v>135</v>
      </c>
      <c r="D19" s="27" t="s">
        <v>15</v>
      </c>
      <c r="E19" s="26">
        <f>ROUNDUP(14*E11,0)</f>
        <v>49</v>
      </c>
      <c r="F19" s="28">
        <f>Inputs!$D$8</f>
        <v>0.05</v>
      </c>
      <c r="G19" s="28">
        <f>Inputs!$D$9</f>
        <v>0.05</v>
      </c>
      <c r="H19" s="28">
        <f>Inputs!$D$10</f>
        <v>0.1</v>
      </c>
      <c r="I19" s="28">
        <f>Inputs!$D$11</f>
        <v>0.1</v>
      </c>
      <c r="J19" s="28">
        <f>Inputs!$D$12</f>
        <v>0.15</v>
      </c>
      <c r="K19" s="28">
        <f>Inputs!$D$13</f>
        <v>0.1</v>
      </c>
      <c r="L19" s="28">
        <f>Inputs!$D$14</f>
        <v>0.3</v>
      </c>
      <c r="M19" s="28">
        <f>Inputs!$D$15</f>
        <v>0.1</v>
      </c>
      <c r="N19" s="28">
        <f>Inputs!$D$16</f>
        <v>0.3</v>
      </c>
      <c r="O19" s="29">
        <f t="shared" si="0"/>
        <v>103.19400000000002</v>
      </c>
      <c r="P19" s="30"/>
      <c r="Q19" s="30"/>
      <c r="R19" s="30"/>
      <c r="S19" s="30"/>
      <c r="T19" s="30">
        <f>Inputs!D5/250</f>
        <v>21.12</v>
      </c>
      <c r="U19" s="30"/>
      <c r="V19" s="30"/>
      <c r="W19" s="30"/>
      <c r="X19" s="30"/>
      <c r="Y19" s="30"/>
      <c r="Z19" s="30"/>
      <c r="AA19" s="30"/>
      <c r="AB19" s="30"/>
      <c r="AC19" s="30"/>
      <c r="AD19" s="30"/>
      <c r="AE19" s="30"/>
      <c r="AF19" s="13"/>
      <c r="AG19" s="27" t="s">
        <v>133</v>
      </c>
    </row>
    <row r="20" spans="2:33" ht="16.5" x14ac:dyDescent="0.3">
      <c r="B20" s="21" t="s">
        <v>8</v>
      </c>
      <c r="C20" s="25" t="s">
        <v>51</v>
      </c>
      <c r="D20" s="27" t="s">
        <v>15</v>
      </c>
      <c r="E20" s="26">
        <f>ROUNDUP(14*E17,0)</f>
        <v>49</v>
      </c>
      <c r="F20" s="28">
        <f>Inputs!$D$8</f>
        <v>0.05</v>
      </c>
      <c r="G20" s="28">
        <f>Inputs!$D$9</f>
        <v>0.05</v>
      </c>
      <c r="H20" s="28">
        <f>Inputs!$D$10</f>
        <v>0.1</v>
      </c>
      <c r="I20" s="28">
        <f>Inputs!$D$11</f>
        <v>0.1</v>
      </c>
      <c r="J20" s="28">
        <f>Inputs!$D$12</f>
        <v>0.15</v>
      </c>
      <c r="K20" s="28">
        <f>Inputs!$D$13</f>
        <v>0.1</v>
      </c>
      <c r="L20" s="28">
        <f>Inputs!$D$14</f>
        <v>0.3</v>
      </c>
      <c r="M20" s="28">
        <f>Inputs!$D$15</f>
        <v>0.1</v>
      </c>
      <c r="N20" s="28">
        <f>Inputs!$D$16</f>
        <v>0.3</v>
      </c>
      <c r="O20" s="29">
        <f t="shared" si="0"/>
        <v>103.19400000000002</v>
      </c>
      <c r="P20" s="30">
        <f>Inputs!D5/250</f>
        <v>21.12</v>
      </c>
      <c r="Q20" s="30">
        <f>Inputs!D5/250</f>
        <v>21.12</v>
      </c>
      <c r="R20" s="30">
        <f>Inputs!D5/250</f>
        <v>21.12</v>
      </c>
      <c r="S20" s="30">
        <f>Inputs!D5/250</f>
        <v>21.12</v>
      </c>
      <c r="T20" s="30"/>
      <c r="U20" s="30"/>
      <c r="V20" s="30"/>
      <c r="W20" s="30">
        <f>Inputs!D5/250</f>
        <v>21.12</v>
      </c>
      <c r="X20" s="30">
        <f>Inputs!D5/250</f>
        <v>21.12</v>
      </c>
      <c r="Y20" s="30">
        <f>Inputs!D5/250</f>
        <v>21.12</v>
      </c>
      <c r="Z20" s="30">
        <f>Inputs!D5/250</f>
        <v>21.12</v>
      </c>
      <c r="AA20" s="30"/>
      <c r="AB20" s="30"/>
      <c r="AC20" s="30"/>
      <c r="AD20" s="30"/>
      <c r="AE20" s="30"/>
      <c r="AF20" s="13"/>
      <c r="AG20" s="27" t="s">
        <v>134</v>
      </c>
    </row>
    <row r="21" spans="2:33" ht="16.5" x14ac:dyDescent="0.3">
      <c r="B21" s="21" t="s">
        <v>45</v>
      </c>
      <c r="C21" s="34" t="s">
        <v>22</v>
      </c>
      <c r="D21" s="27" t="s">
        <v>14</v>
      </c>
      <c r="E21" s="26">
        <v>6</v>
      </c>
      <c r="F21" s="28">
        <f>Inputs!$D$8</f>
        <v>0.05</v>
      </c>
      <c r="G21" s="28">
        <f>Inputs!$D$9</f>
        <v>0.05</v>
      </c>
      <c r="H21" s="28">
        <f>Inputs!$D$10</f>
        <v>0.1</v>
      </c>
      <c r="I21" s="28">
        <f>Inputs!$D$11</f>
        <v>0.1</v>
      </c>
      <c r="J21" s="28">
        <f>Inputs!$D$12</f>
        <v>0.15</v>
      </c>
      <c r="K21" s="28">
        <f>Inputs!$D$13</f>
        <v>0.1</v>
      </c>
      <c r="L21" s="28">
        <f>Inputs!$D$14</f>
        <v>0.3</v>
      </c>
      <c r="M21" s="28">
        <f>Inputs!$D$15</f>
        <v>0.1</v>
      </c>
      <c r="N21" s="28">
        <f>Inputs!$D$16</f>
        <v>0.3</v>
      </c>
      <c r="O21" s="29">
        <f t="shared" si="0"/>
        <v>12.636000000000003</v>
      </c>
      <c r="P21" s="30"/>
      <c r="Q21" s="30"/>
      <c r="R21" s="30"/>
      <c r="S21" s="30"/>
      <c r="T21" s="30"/>
      <c r="U21" s="30"/>
      <c r="V21" s="30"/>
      <c r="W21" s="30"/>
      <c r="X21" s="30"/>
      <c r="Y21" s="30"/>
      <c r="Z21" s="30"/>
      <c r="AA21" s="30"/>
      <c r="AB21" s="30"/>
      <c r="AC21" s="30"/>
      <c r="AD21" s="30"/>
      <c r="AE21" s="30"/>
      <c r="AF21" s="13"/>
      <c r="AG21" s="35"/>
    </row>
    <row r="22" spans="2:33" ht="16.5" x14ac:dyDescent="0.3">
      <c r="B22" s="21" t="s">
        <v>45</v>
      </c>
      <c r="C22" s="34" t="s">
        <v>52</v>
      </c>
      <c r="D22" s="27" t="s">
        <v>14</v>
      </c>
      <c r="E22" s="26">
        <v>9</v>
      </c>
      <c r="F22" s="28">
        <f>Inputs!$D$8</f>
        <v>0.05</v>
      </c>
      <c r="G22" s="28">
        <f>Inputs!$D$9</f>
        <v>0.05</v>
      </c>
      <c r="H22" s="28">
        <f>Inputs!$D$10</f>
        <v>0.1</v>
      </c>
      <c r="I22" s="28">
        <f>Inputs!$D$11</f>
        <v>0.1</v>
      </c>
      <c r="J22" s="28">
        <f>Inputs!$D$12</f>
        <v>0.15</v>
      </c>
      <c r="K22" s="28">
        <f>Inputs!$D$13</f>
        <v>0.1</v>
      </c>
      <c r="L22" s="28">
        <f>Inputs!$D$14</f>
        <v>0.3</v>
      </c>
      <c r="M22" s="28">
        <f>Inputs!$D$15</f>
        <v>0.1</v>
      </c>
      <c r="N22" s="28">
        <f>Inputs!$D$16</f>
        <v>0.3</v>
      </c>
      <c r="O22" s="29">
        <f t="shared" si="0"/>
        <v>18.954000000000004</v>
      </c>
      <c r="P22" s="30"/>
      <c r="Q22" s="30"/>
      <c r="R22" s="30"/>
      <c r="S22" s="30"/>
      <c r="T22" s="30"/>
      <c r="U22" s="30"/>
      <c r="V22" s="30"/>
      <c r="W22" s="30"/>
      <c r="X22" s="30"/>
      <c r="Y22" s="30"/>
      <c r="Z22" s="30"/>
      <c r="AA22" s="30"/>
      <c r="AB22" s="30"/>
      <c r="AC22" s="30"/>
      <c r="AD22" s="30"/>
      <c r="AE22" s="30"/>
      <c r="AF22" s="13"/>
      <c r="AG22" s="35"/>
    </row>
    <row r="23" spans="2:33" ht="16.5" x14ac:dyDescent="0.3">
      <c r="B23" s="21" t="s">
        <v>45</v>
      </c>
      <c r="C23" s="34" t="s">
        <v>53</v>
      </c>
      <c r="D23" s="27" t="s">
        <v>14</v>
      </c>
      <c r="E23" s="26">
        <v>2</v>
      </c>
      <c r="F23" s="28">
        <f>Inputs!$D$8</f>
        <v>0.05</v>
      </c>
      <c r="G23" s="28">
        <f>Inputs!$D$9</f>
        <v>0.05</v>
      </c>
      <c r="H23" s="28">
        <f>Inputs!$D$10</f>
        <v>0.1</v>
      </c>
      <c r="I23" s="28">
        <f>Inputs!$D$11</f>
        <v>0.1</v>
      </c>
      <c r="J23" s="28">
        <f>Inputs!$D$12</f>
        <v>0.15</v>
      </c>
      <c r="K23" s="28">
        <f>Inputs!$D$13</f>
        <v>0.1</v>
      </c>
      <c r="L23" s="28">
        <f>Inputs!$D$14</f>
        <v>0.3</v>
      </c>
      <c r="M23" s="28">
        <f>Inputs!$D$15</f>
        <v>0.1</v>
      </c>
      <c r="N23" s="28">
        <f>Inputs!$D$16</f>
        <v>0.3</v>
      </c>
      <c r="O23" s="29">
        <f t="shared" si="0"/>
        <v>4.2120000000000006</v>
      </c>
      <c r="P23" s="30">
        <f>Inputs!D5*2</f>
        <v>10560</v>
      </c>
      <c r="Q23" s="30">
        <f>Inputs!D5*2</f>
        <v>10560</v>
      </c>
      <c r="R23" s="30"/>
      <c r="S23" s="30"/>
      <c r="T23" s="30"/>
      <c r="U23" s="30"/>
      <c r="V23" s="30"/>
      <c r="W23" s="30"/>
      <c r="X23" s="30"/>
      <c r="Y23" s="30"/>
      <c r="Z23" s="30"/>
      <c r="AA23" s="30"/>
      <c r="AB23" s="30"/>
      <c r="AC23" s="30"/>
      <c r="AD23" s="30"/>
      <c r="AE23" s="30"/>
      <c r="AF23" s="13"/>
      <c r="AG23" s="35"/>
    </row>
    <row r="24" spans="2:33" ht="16.5" x14ac:dyDescent="0.3">
      <c r="B24" s="21" t="s">
        <v>45</v>
      </c>
      <c r="C24" s="36" t="s">
        <v>23</v>
      </c>
      <c r="D24" s="27" t="s">
        <v>13</v>
      </c>
      <c r="E24" s="26">
        <v>30</v>
      </c>
      <c r="F24" s="28">
        <f>Inputs!$D$8</f>
        <v>0.05</v>
      </c>
      <c r="G24" s="28">
        <f>Inputs!$D$9</f>
        <v>0.05</v>
      </c>
      <c r="H24" s="28">
        <f>Inputs!$D$10</f>
        <v>0.1</v>
      </c>
      <c r="I24" s="28">
        <f>Inputs!$D$11</f>
        <v>0.1</v>
      </c>
      <c r="J24" s="28">
        <f>Inputs!$D$12</f>
        <v>0.15</v>
      </c>
      <c r="K24" s="28">
        <f>Inputs!$D$13</f>
        <v>0.1</v>
      </c>
      <c r="L24" s="28">
        <f>Inputs!$D$14</f>
        <v>0.3</v>
      </c>
      <c r="M24" s="28">
        <f>Inputs!$D$15</f>
        <v>0.1</v>
      </c>
      <c r="N24" s="28">
        <f>Inputs!$D$16</f>
        <v>0.3</v>
      </c>
      <c r="O24" s="29">
        <f t="shared" si="0"/>
        <v>63.180000000000021</v>
      </c>
      <c r="P24" s="30"/>
      <c r="Q24" s="30"/>
      <c r="R24" s="30"/>
      <c r="S24" s="30"/>
      <c r="T24" s="30"/>
      <c r="U24" s="30"/>
      <c r="V24" s="30"/>
      <c r="W24" s="30"/>
      <c r="X24" s="30"/>
      <c r="Y24" s="30"/>
      <c r="Z24" s="30"/>
      <c r="AA24" s="30"/>
      <c r="AB24" s="30"/>
      <c r="AC24" s="30"/>
      <c r="AD24" s="30"/>
      <c r="AE24" s="30"/>
      <c r="AF24" s="13"/>
      <c r="AG24" s="37"/>
    </row>
    <row r="25" spans="2:33" ht="16.5" x14ac:dyDescent="0.3">
      <c r="B25" s="21" t="s">
        <v>45</v>
      </c>
      <c r="C25" s="31" t="s">
        <v>24</v>
      </c>
      <c r="D25" s="33" t="s">
        <v>13</v>
      </c>
      <c r="E25" s="38">
        <v>25</v>
      </c>
      <c r="F25" s="28">
        <f>Inputs!$D$8</f>
        <v>0.05</v>
      </c>
      <c r="G25" s="28">
        <f>Inputs!$D$9</f>
        <v>0.05</v>
      </c>
      <c r="H25" s="28">
        <f>Inputs!$D$10</f>
        <v>0.1</v>
      </c>
      <c r="I25" s="28">
        <f>Inputs!$D$11</f>
        <v>0.1</v>
      </c>
      <c r="J25" s="28">
        <f>Inputs!$D$12</f>
        <v>0.15</v>
      </c>
      <c r="K25" s="28">
        <f>Inputs!$D$13</f>
        <v>0.1</v>
      </c>
      <c r="L25" s="28">
        <f>Inputs!$D$14</f>
        <v>0.3</v>
      </c>
      <c r="M25" s="28">
        <f>Inputs!$D$15</f>
        <v>0.1</v>
      </c>
      <c r="N25" s="28">
        <f>Inputs!$D$16</f>
        <v>0.3</v>
      </c>
      <c r="O25" s="29">
        <f t="shared" si="0"/>
        <v>52.650000000000013</v>
      </c>
      <c r="P25" s="30"/>
      <c r="Q25" s="30"/>
      <c r="R25" s="30"/>
      <c r="S25" s="30"/>
      <c r="T25" s="30"/>
      <c r="U25" s="30"/>
      <c r="V25" s="30"/>
      <c r="W25" s="30"/>
      <c r="X25" s="30"/>
      <c r="Y25" s="30"/>
      <c r="Z25" s="30"/>
      <c r="AA25" s="30"/>
      <c r="AB25" s="30"/>
      <c r="AC25" s="30"/>
      <c r="AD25" s="30"/>
      <c r="AE25" s="30"/>
      <c r="AF25" s="13"/>
      <c r="AG25" s="33"/>
    </row>
    <row r="26" spans="2:33" ht="16.5" x14ac:dyDescent="0.3">
      <c r="B26" s="21" t="s">
        <v>45</v>
      </c>
      <c r="C26" s="36" t="s">
        <v>25</v>
      </c>
      <c r="D26" s="27" t="s">
        <v>13</v>
      </c>
      <c r="E26" s="26">
        <v>40</v>
      </c>
      <c r="F26" s="28">
        <f>Inputs!$D$8</f>
        <v>0.05</v>
      </c>
      <c r="G26" s="28">
        <f>Inputs!$D$9</f>
        <v>0.05</v>
      </c>
      <c r="H26" s="28">
        <f>Inputs!$D$10</f>
        <v>0.1</v>
      </c>
      <c r="I26" s="28">
        <f>Inputs!$D$11</f>
        <v>0.1</v>
      </c>
      <c r="J26" s="28">
        <f>Inputs!$D$12</f>
        <v>0.15</v>
      </c>
      <c r="K26" s="28">
        <f>Inputs!$D$13</f>
        <v>0.1</v>
      </c>
      <c r="L26" s="28">
        <f>Inputs!$D$14</f>
        <v>0.3</v>
      </c>
      <c r="M26" s="28">
        <f>Inputs!$D$15</f>
        <v>0.1</v>
      </c>
      <c r="N26" s="28">
        <f>Inputs!$D$16</f>
        <v>0.3</v>
      </c>
      <c r="O26" s="29">
        <f t="shared" si="0"/>
        <v>84.240000000000023</v>
      </c>
      <c r="P26" s="30"/>
      <c r="Q26" s="30"/>
      <c r="R26" s="30"/>
      <c r="S26" s="30"/>
      <c r="T26" s="30"/>
      <c r="U26" s="30"/>
      <c r="V26" s="30"/>
      <c r="W26" s="30"/>
      <c r="X26" s="30">
        <f>Inputs!D5</f>
        <v>5280</v>
      </c>
      <c r="Y26" s="30">
        <f>Inputs!D5</f>
        <v>5280</v>
      </c>
      <c r="Z26" s="30"/>
      <c r="AA26" s="30">
        <f>Inputs!D5</f>
        <v>5280</v>
      </c>
      <c r="AB26" s="30">
        <f>Inputs!D5</f>
        <v>5280</v>
      </c>
      <c r="AC26" s="30"/>
      <c r="AD26" s="30"/>
      <c r="AE26" s="30"/>
      <c r="AF26" s="13"/>
      <c r="AG26" s="37"/>
    </row>
    <row r="27" spans="2:33" ht="16.5" x14ac:dyDescent="0.3">
      <c r="B27" s="21" t="s">
        <v>45</v>
      </c>
      <c r="C27" s="36" t="s">
        <v>26</v>
      </c>
      <c r="D27" s="27" t="s">
        <v>14</v>
      </c>
      <c r="E27" s="26">
        <v>10</v>
      </c>
      <c r="F27" s="28">
        <f>Inputs!$D$8</f>
        <v>0.05</v>
      </c>
      <c r="G27" s="28">
        <f>Inputs!$D$9</f>
        <v>0.05</v>
      </c>
      <c r="H27" s="28">
        <f>Inputs!$D$10</f>
        <v>0.1</v>
      </c>
      <c r="I27" s="28">
        <f>Inputs!$D$11</f>
        <v>0.1</v>
      </c>
      <c r="J27" s="28">
        <f>Inputs!$D$12</f>
        <v>0.15</v>
      </c>
      <c r="K27" s="28">
        <f>Inputs!$D$13</f>
        <v>0.1</v>
      </c>
      <c r="L27" s="28">
        <f>Inputs!$D$14</f>
        <v>0.3</v>
      </c>
      <c r="M27" s="28">
        <f>Inputs!$D$15</f>
        <v>0.1</v>
      </c>
      <c r="N27" s="28">
        <f>Inputs!$D$16</f>
        <v>0.3</v>
      </c>
      <c r="O27" s="29">
        <f t="shared" si="0"/>
        <v>21.060000000000006</v>
      </c>
      <c r="P27" s="30"/>
      <c r="Q27" s="30"/>
      <c r="R27" s="30"/>
      <c r="S27" s="30"/>
      <c r="T27" s="30"/>
      <c r="U27" s="30"/>
      <c r="V27" s="30"/>
      <c r="W27" s="30"/>
      <c r="X27" s="30"/>
      <c r="Y27" s="30"/>
      <c r="Z27" s="30"/>
      <c r="AA27" s="30">
        <f>Inputs!D5*5</f>
        <v>26400</v>
      </c>
      <c r="AB27" s="30">
        <f>Inputs!D5*10</f>
        <v>52800</v>
      </c>
      <c r="AC27" s="30"/>
      <c r="AD27" s="30"/>
      <c r="AE27" s="30"/>
      <c r="AF27" s="13"/>
      <c r="AG27" s="37"/>
    </row>
    <row r="28" spans="2:33" ht="16.5" x14ac:dyDescent="0.3">
      <c r="B28" s="21" t="s">
        <v>45</v>
      </c>
      <c r="C28" s="36" t="s">
        <v>27</v>
      </c>
      <c r="D28" s="27" t="s">
        <v>15</v>
      </c>
      <c r="E28" s="26">
        <v>2250</v>
      </c>
      <c r="F28" s="28">
        <f>Inputs!$D$8</f>
        <v>0.05</v>
      </c>
      <c r="G28" s="28">
        <f>Inputs!$D$9</f>
        <v>0.05</v>
      </c>
      <c r="H28" s="28">
        <f>Inputs!$D$10</f>
        <v>0.1</v>
      </c>
      <c r="I28" s="28">
        <f>Inputs!$D$11</f>
        <v>0.1</v>
      </c>
      <c r="J28" s="28">
        <f>Inputs!$D$12</f>
        <v>0.15</v>
      </c>
      <c r="K28" s="28">
        <f>Inputs!$D$13</f>
        <v>0.1</v>
      </c>
      <c r="L28" s="28">
        <f>Inputs!$D$14</f>
        <v>0.3</v>
      </c>
      <c r="M28" s="28">
        <f>Inputs!$D$15</f>
        <v>0.1</v>
      </c>
      <c r="N28" s="28">
        <f>Inputs!$D$16</f>
        <v>0.3</v>
      </c>
      <c r="O28" s="29">
        <f t="shared" si="0"/>
        <v>4738.5000000000018</v>
      </c>
      <c r="P28" s="30">
        <f>Inputs!D7*4</f>
        <v>35.200000000000003</v>
      </c>
      <c r="Q28" s="30">
        <f>Inputs!D7*4</f>
        <v>35.200000000000003</v>
      </c>
      <c r="R28" s="30"/>
      <c r="S28" s="30"/>
      <c r="T28" s="30"/>
      <c r="U28" s="30"/>
      <c r="V28" s="30"/>
      <c r="W28" s="30"/>
      <c r="X28" s="30"/>
      <c r="Y28" s="30">
        <f>Inputs!D7*2</f>
        <v>17.600000000000001</v>
      </c>
      <c r="Z28" s="30"/>
      <c r="AA28" s="30">
        <f>Inputs!D7*4</f>
        <v>35.200000000000003</v>
      </c>
      <c r="AB28" s="30">
        <f>Inputs!D7*4</f>
        <v>35.200000000000003</v>
      </c>
      <c r="AC28" s="30"/>
      <c r="AD28" s="30"/>
      <c r="AE28" s="30"/>
      <c r="AF28" s="13"/>
      <c r="AG28" s="37"/>
    </row>
    <row r="29" spans="2:33" ht="16.5" x14ac:dyDescent="0.3">
      <c r="B29" s="21" t="s">
        <v>45</v>
      </c>
      <c r="C29" s="36" t="s">
        <v>107</v>
      </c>
      <c r="D29" s="27" t="s">
        <v>15</v>
      </c>
      <c r="E29" s="26">
        <v>3500</v>
      </c>
      <c r="F29" s="28">
        <f>Inputs!$D$8</f>
        <v>0.05</v>
      </c>
      <c r="G29" s="28">
        <f>Inputs!$D$9</f>
        <v>0.05</v>
      </c>
      <c r="H29" s="28">
        <f>Inputs!$D$10</f>
        <v>0.1</v>
      </c>
      <c r="I29" s="28">
        <f>Inputs!$D$11</f>
        <v>0.1</v>
      </c>
      <c r="J29" s="28">
        <f>Inputs!$D$12</f>
        <v>0.15</v>
      </c>
      <c r="K29" s="28">
        <f>Inputs!$D$13</f>
        <v>0.1</v>
      </c>
      <c r="L29" s="28">
        <f>Inputs!$D$14</f>
        <v>0.3</v>
      </c>
      <c r="M29" s="28">
        <f>Inputs!$D$15</f>
        <v>0.1</v>
      </c>
      <c r="N29" s="28">
        <f>Inputs!$D$16</f>
        <v>0.3</v>
      </c>
      <c r="O29" s="29">
        <f t="shared" si="0"/>
        <v>7371.0000000000027</v>
      </c>
      <c r="P29" s="30"/>
      <c r="Q29" s="30"/>
      <c r="R29" s="30"/>
      <c r="S29" s="30"/>
      <c r="T29" s="30"/>
      <c r="U29" s="30"/>
      <c r="V29" s="30"/>
      <c r="W29" s="30"/>
      <c r="X29" s="30"/>
      <c r="Y29" s="30"/>
      <c r="Z29" s="30"/>
      <c r="AA29" s="30"/>
      <c r="AB29" s="30"/>
      <c r="AC29" s="30"/>
      <c r="AD29" s="30"/>
      <c r="AE29" s="30"/>
      <c r="AF29" s="13"/>
      <c r="AG29" s="37"/>
    </row>
    <row r="30" spans="2:33" ht="16.5" x14ac:dyDescent="0.3">
      <c r="B30" s="21" t="s">
        <v>45</v>
      </c>
      <c r="C30" s="36" t="s">
        <v>28</v>
      </c>
      <c r="D30" s="27" t="s">
        <v>16</v>
      </c>
      <c r="E30" s="26">
        <v>75000</v>
      </c>
      <c r="F30" s="28">
        <f>Inputs!$D$8</f>
        <v>0.05</v>
      </c>
      <c r="G30" s="28">
        <f>Inputs!$D$9</f>
        <v>0.05</v>
      </c>
      <c r="H30" s="28">
        <f>Inputs!$D$10</f>
        <v>0.1</v>
      </c>
      <c r="I30" s="28">
        <f>Inputs!$D$11</f>
        <v>0.1</v>
      </c>
      <c r="J30" s="28">
        <f>Inputs!$D$12</f>
        <v>0.15</v>
      </c>
      <c r="K30" s="28">
        <f>Inputs!$D$13</f>
        <v>0.1</v>
      </c>
      <c r="L30" s="28">
        <f>Inputs!$D$14</f>
        <v>0.3</v>
      </c>
      <c r="M30" s="28">
        <f>Inputs!$D$15</f>
        <v>0.1</v>
      </c>
      <c r="N30" s="28">
        <f>Inputs!$D$16</f>
        <v>0.3</v>
      </c>
      <c r="O30" s="29">
        <f t="shared" si="0"/>
        <v>157950.00000000006</v>
      </c>
      <c r="P30" s="30"/>
      <c r="Q30" s="30"/>
      <c r="R30" s="30"/>
      <c r="S30" s="30"/>
      <c r="T30" s="30"/>
      <c r="U30" s="30"/>
      <c r="V30" s="30"/>
      <c r="W30" s="30"/>
      <c r="X30" s="30"/>
      <c r="Y30" s="30"/>
      <c r="Z30" s="30"/>
      <c r="AA30" s="30"/>
      <c r="AB30" s="30"/>
      <c r="AC30" s="30"/>
      <c r="AD30" s="30"/>
      <c r="AE30" s="30"/>
      <c r="AF30" s="13"/>
      <c r="AG30" s="37"/>
    </row>
    <row r="31" spans="2:33" ht="16.5" x14ac:dyDescent="0.3">
      <c r="B31" s="21" t="s">
        <v>45</v>
      </c>
      <c r="C31" s="36" t="s">
        <v>29</v>
      </c>
      <c r="D31" s="27" t="s">
        <v>17</v>
      </c>
      <c r="E31" s="26">
        <v>10000</v>
      </c>
      <c r="F31" s="28">
        <f>Inputs!$D$8</f>
        <v>0.05</v>
      </c>
      <c r="G31" s="28">
        <f>Inputs!$D$9</f>
        <v>0.05</v>
      </c>
      <c r="H31" s="28">
        <f>Inputs!$D$10</f>
        <v>0.1</v>
      </c>
      <c r="I31" s="28">
        <f>Inputs!$D$11</f>
        <v>0.1</v>
      </c>
      <c r="J31" s="28">
        <f>Inputs!$D$12</f>
        <v>0.15</v>
      </c>
      <c r="K31" s="28">
        <f>Inputs!$D$13</f>
        <v>0.1</v>
      </c>
      <c r="L31" s="28">
        <f>Inputs!$D$14</f>
        <v>0.3</v>
      </c>
      <c r="M31" s="28">
        <f>Inputs!$D$15</f>
        <v>0.1</v>
      </c>
      <c r="N31" s="28">
        <f>Inputs!$D$16</f>
        <v>0.3</v>
      </c>
      <c r="O31" s="29">
        <f t="shared" si="0"/>
        <v>21060.000000000007</v>
      </c>
      <c r="P31" s="30">
        <f>Inputs!D7</f>
        <v>8.8000000000000007</v>
      </c>
      <c r="Q31" s="30"/>
      <c r="R31" s="30"/>
      <c r="S31" s="30"/>
      <c r="T31" s="30"/>
      <c r="U31" s="30"/>
      <c r="V31" s="30">
        <f>ROUND(Inputs!D7/2,0)</f>
        <v>4</v>
      </c>
      <c r="W31" s="30"/>
      <c r="X31" s="30"/>
      <c r="Y31" s="30"/>
      <c r="Z31" s="30"/>
      <c r="AA31" s="30"/>
      <c r="AB31" s="30"/>
      <c r="AC31" s="30"/>
      <c r="AD31" s="30"/>
      <c r="AE31" s="30"/>
      <c r="AF31" s="13"/>
      <c r="AG31" s="37"/>
    </row>
    <row r="32" spans="2:33" ht="16.5" x14ac:dyDescent="0.3">
      <c r="B32" s="21" t="s">
        <v>45</v>
      </c>
      <c r="C32" s="36" t="s">
        <v>30</v>
      </c>
      <c r="D32" s="27" t="s">
        <v>16</v>
      </c>
      <c r="E32" s="26">
        <v>15000</v>
      </c>
      <c r="F32" s="28">
        <f>Inputs!$D$8</f>
        <v>0.05</v>
      </c>
      <c r="G32" s="28">
        <f>Inputs!$D$9</f>
        <v>0.05</v>
      </c>
      <c r="H32" s="28">
        <f>Inputs!$D$10</f>
        <v>0.1</v>
      </c>
      <c r="I32" s="28">
        <f>Inputs!$D$11</f>
        <v>0.1</v>
      </c>
      <c r="J32" s="28">
        <f>Inputs!$D$12</f>
        <v>0.15</v>
      </c>
      <c r="K32" s="28">
        <f>Inputs!$D$13</f>
        <v>0.1</v>
      </c>
      <c r="L32" s="28">
        <f>Inputs!$D$14</f>
        <v>0.3</v>
      </c>
      <c r="M32" s="28">
        <f>Inputs!$D$15</f>
        <v>0.1</v>
      </c>
      <c r="N32" s="28">
        <f>Inputs!$D$16</f>
        <v>0.3</v>
      </c>
      <c r="O32" s="29">
        <f t="shared" si="0"/>
        <v>31590.000000000011</v>
      </c>
      <c r="P32" s="30"/>
      <c r="Q32" s="30"/>
      <c r="R32" s="30"/>
      <c r="S32" s="30"/>
      <c r="T32" s="30"/>
      <c r="U32" s="30"/>
      <c r="V32" s="30">
        <f>ROUND(Inputs!D7/2,0)</f>
        <v>4</v>
      </c>
      <c r="W32" s="30"/>
      <c r="X32" s="30"/>
      <c r="Y32" s="30"/>
      <c r="Z32" s="30"/>
      <c r="AA32" s="30"/>
      <c r="AB32" s="30"/>
      <c r="AC32" s="30"/>
      <c r="AD32" s="30"/>
      <c r="AE32" s="30"/>
      <c r="AF32" s="13"/>
      <c r="AG32" s="37"/>
    </row>
    <row r="33" spans="2:33" ht="16.5" x14ac:dyDescent="0.3">
      <c r="B33" s="21" t="s">
        <v>46</v>
      </c>
      <c r="C33" s="36" t="s">
        <v>92</v>
      </c>
      <c r="D33" s="27" t="s">
        <v>14</v>
      </c>
      <c r="E33" s="26">
        <v>15</v>
      </c>
      <c r="F33" s="28">
        <f>Inputs!$D$8</f>
        <v>0.05</v>
      </c>
      <c r="G33" s="28">
        <f>Inputs!$D$9</f>
        <v>0.05</v>
      </c>
      <c r="H33" s="28">
        <f>Inputs!$D$10</f>
        <v>0.1</v>
      </c>
      <c r="I33" s="28">
        <f>Inputs!$D$11</f>
        <v>0.1</v>
      </c>
      <c r="J33" s="28">
        <f>Inputs!$D$12</f>
        <v>0.15</v>
      </c>
      <c r="K33" s="28">
        <f>Inputs!$D$13</f>
        <v>0.1</v>
      </c>
      <c r="L33" s="28">
        <f>Inputs!$D$14</f>
        <v>0.3</v>
      </c>
      <c r="M33" s="28">
        <f>Inputs!$D$15</f>
        <v>0.1</v>
      </c>
      <c r="N33" s="28">
        <f>Inputs!$D$16</f>
        <v>0.3</v>
      </c>
      <c r="O33" s="29">
        <f t="shared" si="0"/>
        <v>31.590000000000011</v>
      </c>
      <c r="P33" s="30"/>
      <c r="Q33" s="30"/>
      <c r="R33" s="30"/>
      <c r="S33" s="30"/>
      <c r="T33" s="30"/>
      <c r="U33" s="30"/>
      <c r="V33" s="30"/>
      <c r="W33" s="30"/>
      <c r="X33" s="30"/>
      <c r="Y33" s="30"/>
      <c r="Z33" s="30"/>
      <c r="AA33" s="30"/>
      <c r="AB33" s="30"/>
      <c r="AC33" s="30"/>
      <c r="AD33" s="30"/>
      <c r="AE33" s="30"/>
      <c r="AF33" s="13"/>
      <c r="AG33" s="37"/>
    </row>
    <row r="34" spans="2:33" ht="18" customHeight="1" x14ac:dyDescent="0.3">
      <c r="B34" s="21" t="s">
        <v>46</v>
      </c>
      <c r="C34" s="36" t="s">
        <v>54</v>
      </c>
      <c r="D34" s="27" t="s">
        <v>15</v>
      </c>
      <c r="E34" s="26">
        <v>300</v>
      </c>
      <c r="F34" s="28">
        <f>Inputs!$D$8</f>
        <v>0.05</v>
      </c>
      <c r="G34" s="28">
        <f>Inputs!$D$9</f>
        <v>0.05</v>
      </c>
      <c r="H34" s="28">
        <f>Inputs!$D$10</f>
        <v>0.1</v>
      </c>
      <c r="I34" s="28">
        <f>Inputs!$D$11</f>
        <v>0.1</v>
      </c>
      <c r="J34" s="28">
        <f>Inputs!$D$12</f>
        <v>0.15</v>
      </c>
      <c r="K34" s="28">
        <f>Inputs!$D$13</f>
        <v>0.1</v>
      </c>
      <c r="L34" s="28">
        <f>Inputs!$D$14</f>
        <v>0.3</v>
      </c>
      <c r="M34" s="28">
        <f>Inputs!$D$15</f>
        <v>0.1</v>
      </c>
      <c r="N34" s="28">
        <f>Inputs!$D$16</f>
        <v>0.3</v>
      </c>
      <c r="O34" s="29">
        <f t="shared" si="0"/>
        <v>631.80000000000018</v>
      </c>
      <c r="P34" s="30"/>
      <c r="Q34" s="30"/>
      <c r="R34" s="30"/>
      <c r="S34" s="30"/>
      <c r="T34" s="30"/>
      <c r="U34" s="30"/>
      <c r="V34" s="30"/>
      <c r="W34" s="30">
        <f>Inputs!D5/300</f>
        <v>17.600000000000001</v>
      </c>
      <c r="X34" s="30"/>
      <c r="Y34" s="30"/>
      <c r="Z34" s="30">
        <f>Inputs!D5/300</f>
        <v>17.600000000000001</v>
      </c>
      <c r="AA34" s="30"/>
      <c r="AB34" s="30"/>
      <c r="AC34" s="30"/>
      <c r="AD34" s="30">
        <f>Inputs!D5/300</f>
        <v>17.600000000000001</v>
      </c>
      <c r="AE34" s="30"/>
      <c r="AF34" s="13"/>
      <c r="AG34" s="37" t="s">
        <v>139</v>
      </c>
    </row>
    <row r="35" spans="2:33" ht="16.5" x14ac:dyDescent="0.3">
      <c r="B35" s="21" t="s">
        <v>46</v>
      </c>
      <c r="C35" s="34" t="s">
        <v>31</v>
      </c>
      <c r="D35" s="27" t="s">
        <v>14</v>
      </c>
      <c r="E35" s="26">
        <v>12</v>
      </c>
      <c r="F35" s="28">
        <f>Inputs!$D$8</f>
        <v>0.05</v>
      </c>
      <c r="G35" s="28">
        <f>Inputs!$D$9</f>
        <v>0.05</v>
      </c>
      <c r="H35" s="28">
        <f>Inputs!$D$10</f>
        <v>0.1</v>
      </c>
      <c r="I35" s="28">
        <f>Inputs!$D$11</f>
        <v>0.1</v>
      </c>
      <c r="J35" s="28">
        <f>Inputs!$D$12</f>
        <v>0.15</v>
      </c>
      <c r="K35" s="28">
        <f>Inputs!$D$13</f>
        <v>0.1</v>
      </c>
      <c r="L35" s="28">
        <f>Inputs!$D$14</f>
        <v>0.3</v>
      </c>
      <c r="M35" s="28">
        <f>Inputs!$D$15</f>
        <v>0.1</v>
      </c>
      <c r="N35" s="28">
        <f>Inputs!$D$16</f>
        <v>0.3</v>
      </c>
      <c r="O35" s="29">
        <f t="shared" si="0"/>
        <v>25.272000000000006</v>
      </c>
      <c r="P35" s="30">
        <f>Inputs!D5*4</f>
        <v>21120</v>
      </c>
      <c r="Q35" s="30">
        <f>Inputs!D5*2</f>
        <v>10560</v>
      </c>
      <c r="R35" s="30"/>
      <c r="S35" s="30"/>
      <c r="T35" s="30"/>
      <c r="U35" s="30"/>
      <c r="V35" s="30"/>
      <c r="W35" s="30"/>
      <c r="X35" s="30">
        <f>Inputs!D5</f>
        <v>5280</v>
      </c>
      <c r="Y35" s="30"/>
      <c r="Z35" s="30"/>
      <c r="AA35" s="30"/>
      <c r="AB35" s="30"/>
      <c r="AC35" s="30"/>
      <c r="AD35" s="30"/>
      <c r="AE35" s="30"/>
      <c r="AF35" s="13"/>
      <c r="AG35" s="35"/>
    </row>
    <row r="36" spans="2:33" ht="16.5" x14ac:dyDescent="0.3">
      <c r="B36" s="21" t="s">
        <v>46</v>
      </c>
      <c r="C36" s="34" t="s">
        <v>32</v>
      </c>
      <c r="D36" s="27" t="s">
        <v>14</v>
      </c>
      <c r="E36" s="26">
        <v>1</v>
      </c>
      <c r="F36" s="28">
        <f>Inputs!$D$8</f>
        <v>0.05</v>
      </c>
      <c r="G36" s="28">
        <f>Inputs!$D$9</f>
        <v>0.05</v>
      </c>
      <c r="H36" s="28">
        <f>Inputs!$D$10</f>
        <v>0.1</v>
      </c>
      <c r="I36" s="28">
        <f>Inputs!$D$11</f>
        <v>0.1</v>
      </c>
      <c r="J36" s="28">
        <f>Inputs!$D$12</f>
        <v>0.15</v>
      </c>
      <c r="K36" s="28">
        <f>Inputs!$D$13</f>
        <v>0.1</v>
      </c>
      <c r="L36" s="28">
        <f>Inputs!$D$14</f>
        <v>0.3</v>
      </c>
      <c r="M36" s="28">
        <f>Inputs!$D$15</f>
        <v>0.1</v>
      </c>
      <c r="N36" s="28">
        <f>Inputs!$D$16</f>
        <v>0.3</v>
      </c>
      <c r="O36" s="29">
        <f t="shared" si="0"/>
        <v>2.1060000000000003</v>
      </c>
      <c r="P36" s="30">
        <f>Inputs!D5*12</f>
        <v>63360</v>
      </c>
      <c r="Q36" s="30">
        <f>Inputs!D5*2</f>
        <v>10560</v>
      </c>
      <c r="R36" s="30"/>
      <c r="S36" s="30"/>
      <c r="T36" s="30"/>
      <c r="U36" s="30"/>
      <c r="V36" s="30"/>
      <c r="W36" s="30"/>
      <c r="X36" s="30"/>
      <c r="Y36" s="30"/>
      <c r="Z36" s="30"/>
      <c r="AA36" s="30"/>
      <c r="AB36" s="30"/>
      <c r="AC36" s="30"/>
      <c r="AD36" s="30"/>
      <c r="AE36" s="30"/>
      <c r="AF36" s="13"/>
      <c r="AG36" s="35"/>
    </row>
    <row r="37" spans="2:33" ht="16.5" x14ac:dyDescent="0.3">
      <c r="B37" s="21" t="s">
        <v>46</v>
      </c>
      <c r="C37" s="36" t="s">
        <v>33</v>
      </c>
      <c r="D37" s="27" t="s">
        <v>15</v>
      </c>
      <c r="E37" s="26">
        <v>800</v>
      </c>
      <c r="F37" s="28">
        <f>Inputs!$D$8</f>
        <v>0.05</v>
      </c>
      <c r="G37" s="28">
        <f>Inputs!$D$9</f>
        <v>0.05</v>
      </c>
      <c r="H37" s="28">
        <f>Inputs!$D$10</f>
        <v>0.1</v>
      </c>
      <c r="I37" s="28">
        <f>Inputs!$D$11</f>
        <v>0.1</v>
      </c>
      <c r="J37" s="28">
        <f>Inputs!$D$12</f>
        <v>0.15</v>
      </c>
      <c r="K37" s="28">
        <f>Inputs!$D$13</f>
        <v>0.1</v>
      </c>
      <c r="L37" s="28">
        <f>Inputs!$D$14</f>
        <v>0.3</v>
      </c>
      <c r="M37" s="28">
        <f>Inputs!$D$15</f>
        <v>0.1</v>
      </c>
      <c r="N37" s="28">
        <f>Inputs!$D$16</f>
        <v>0.3</v>
      </c>
      <c r="O37" s="29">
        <f t="shared" si="0"/>
        <v>1684.8000000000004</v>
      </c>
      <c r="P37" s="30"/>
      <c r="Q37" s="30"/>
      <c r="R37" s="30"/>
      <c r="S37" s="30"/>
      <c r="T37" s="30"/>
      <c r="U37" s="30"/>
      <c r="V37" s="30"/>
      <c r="W37" s="30"/>
      <c r="X37" s="30"/>
      <c r="Y37" s="30"/>
      <c r="Z37" s="30"/>
      <c r="AA37" s="30"/>
      <c r="AB37" s="30"/>
      <c r="AC37" s="30"/>
      <c r="AD37" s="30"/>
      <c r="AE37" s="30"/>
      <c r="AF37" s="13"/>
      <c r="AG37" s="37" t="s">
        <v>138</v>
      </c>
    </row>
    <row r="38" spans="2:33" ht="16.5" x14ac:dyDescent="0.3">
      <c r="B38" s="21" t="s">
        <v>46</v>
      </c>
      <c r="C38" s="36" t="s">
        <v>34</v>
      </c>
      <c r="D38" s="27" t="s">
        <v>15</v>
      </c>
      <c r="E38" s="26">
        <v>2100</v>
      </c>
      <c r="F38" s="28">
        <f>Inputs!$D$8</f>
        <v>0.05</v>
      </c>
      <c r="G38" s="28">
        <f>Inputs!$D$9</f>
        <v>0.05</v>
      </c>
      <c r="H38" s="28">
        <f>Inputs!$D$10</f>
        <v>0.1</v>
      </c>
      <c r="I38" s="28">
        <f>Inputs!$D$11</f>
        <v>0.1</v>
      </c>
      <c r="J38" s="28">
        <f>Inputs!$D$12</f>
        <v>0.15</v>
      </c>
      <c r="K38" s="28">
        <f>Inputs!$D$13</f>
        <v>0.1</v>
      </c>
      <c r="L38" s="28">
        <f>Inputs!$D$14</f>
        <v>0.3</v>
      </c>
      <c r="M38" s="28">
        <f>Inputs!$D$15</f>
        <v>0.1</v>
      </c>
      <c r="N38" s="28">
        <f>Inputs!$D$16</f>
        <v>0.3</v>
      </c>
      <c r="O38" s="29">
        <f t="shared" si="0"/>
        <v>4422.6000000000013</v>
      </c>
      <c r="P38" s="30"/>
      <c r="Q38" s="30"/>
      <c r="R38" s="30"/>
      <c r="S38" s="30"/>
      <c r="T38" s="30"/>
      <c r="U38" s="30"/>
      <c r="V38" s="30"/>
      <c r="W38" s="30"/>
      <c r="X38" s="30"/>
      <c r="Y38" s="30"/>
      <c r="Z38" s="30"/>
      <c r="AA38" s="30"/>
      <c r="AB38" s="30"/>
      <c r="AC38" s="30"/>
      <c r="AD38" s="30"/>
      <c r="AE38" s="30"/>
      <c r="AF38" s="13"/>
      <c r="AG38" s="37"/>
    </row>
    <row r="39" spans="2:33" ht="16.5" x14ac:dyDescent="0.3">
      <c r="B39" s="21" t="s">
        <v>46</v>
      </c>
      <c r="C39" s="36" t="s">
        <v>93</v>
      </c>
      <c r="D39" s="27" t="s">
        <v>14</v>
      </c>
      <c r="E39" s="26">
        <v>4.5</v>
      </c>
      <c r="F39" s="28">
        <f>Inputs!$D$8</f>
        <v>0.05</v>
      </c>
      <c r="G39" s="28">
        <f>Inputs!$D$9</f>
        <v>0.05</v>
      </c>
      <c r="H39" s="28">
        <f>Inputs!$D$10</f>
        <v>0.1</v>
      </c>
      <c r="I39" s="28">
        <f>Inputs!$D$11</f>
        <v>0.1</v>
      </c>
      <c r="J39" s="28">
        <f>Inputs!$D$12</f>
        <v>0.15</v>
      </c>
      <c r="K39" s="28">
        <f>Inputs!$D$13</f>
        <v>0.1</v>
      </c>
      <c r="L39" s="28">
        <f>Inputs!$D$14</f>
        <v>0.3</v>
      </c>
      <c r="M39" s="28">
        <f>Inputs!$D$15</f>
        <v>0.1</v>
      </c>
      <c r="N39" s="28">
        <f>Inputs!$D$16</f>
        <v>0.3</v>
      </c>
      <c r="O39" s="29">
        <f t="shared" si="0"/>
        <v>9.4770000000000021</v>
      </c>
      <c r="P39" s="30"/>
      <c r="Q39" s="30"/>
      <c r="R39" s="30"/>
      <c r="S39" s="30"/>
      <c r="T39" s="30"/>
      <c r="U39" s="30"/>
      <c r="V39" s="30"/>
      <c r="W39" s="30"/>
      <c r="X39" s="30"/>
      <c r="Y39" s="30"/>
      <c r="Z39" s="30"/>
      <c r="AA39" s="30"/>
      <c r="AB39" s="30"/>
      <c r="AC39" s="30"/>
      <c r="AD39" s="30"/>
      <c r="AE39" s="30"/>
      <c r="AF39" s="13"/>
      <c r="AG39" s="37"/>
    </row>
    <row r="40" spans="2:33" ht="13.35" customHeight="1" x14ac:dyDescent="0.3">
      <c r="B40" s="21" t="s">
        <v>46</v>
      </c>
      <c r="C40" s="36" t="s">
        <v>35</v>
      </c>
      <c r="D40" s="27" t="s">
        <v>15</v>
      </c>
      <c r="E40" s="26">
        <v>4.5</v>
      </c>
      <c r="F40" s="28">
        <f>Inputs!$D$8</f>
        <v>0.05</v>
      </c>
      <c r="G40" s="28">
        <f>Inputs!$D$9</f>
        <v>0.05</v>
      </c>
      <c r="H40" s="28">
        <f>Inputs!$D$10</f>
        <v>0.1</v>
      </c>
      <c r="I40" s="28">
        <f>Inputs!$D$11</f>
        <v>0.1</v>
      </c>
      <c r="J40" s="28">
        <f>Inputs!$D$12</f>
        <v>0.15</v>
      </c>
      <c r="K40" s="28">
        <f>Inputs!$D$13</f>
        <v>0.1</v>
      </c>
      <c r="L40" s="28">
        <f>Inputs!$D$14</f>
        <v>0.3</v>
      </c>
      <c r="M40" s="28">
        <f>Inputs!$D$15</f>
        <v>0.1</v>
      </c>
      <c r="N40" s="28">
        <f>Inputs!$D$16</f>
        <v>0.3</v>
      </c>
      <c r="O40" s="29">
        <f t="shared" si="0"/>
        <v>9.4770000000000021</v>
      </c>
      <c r="P40" s="30"/>
      <c r="Q40" s="30"/>
      <c r="R40" s="30"/>
      <c r="S40" s="30"/>
      <c r="T40" s="30"/>
      <c r="U40" s="30"/>
      <c r="V40" s="30"/>
      <c r="W40" s="30">
        <f>Inputs!D5/6</f>
        <v>880</v>
      </c>
      <c r="X40" s="30"/>
      <c r="Y40" s="30"/>
      <c r="Z40" s="30">
        <f>Inputs!D7*12</f>
        <v>105.60000000000001</v>
      </c>
      <c r="AA40" s="30"/>
      <c r="AB40" s="30"/>
      <c r="AC40" s="30"/>
      <c r="AD40" s="30"/>
      <c r="AE40" s="30"/>
      <c r="AF40" s="13"/>
      <c r="AG40" s="37" t="s">
        <v>136</v>
      </c>
    </row>
    <row r="41" spans="2:33" ht="13.35" customHeight="1" x14ac:dyDescent="0.3">
      <c r="B41" s="21" t="s">
        <v>46</v>
      </c>
      <c r="C41" s="36" t="s">
        <v>143</v>
      </c>
      <c r="D41" s="27" t="s">
        <v>15</v>
      </c>
      <c r="E41" s="26">
        <v>750</v>
      </c>
      <c r="F41" s="28">
        <f>Inputs!$D$8</f>
        <v>0.05</v>
      </c>
      <c r="G41" s="28">
        <f>Inputs!$D$9</f>
        <v>0.05</v>
      </c>
      <c r="H41" s="28">
        <f>Inputs!$D$10</f>
        <v>0.1</v>
      </c>
      <c r="I41" s="28">
        <f>Inputs!$D$11</f>
        <v>0.1</v>
      </c>
      <c r="J41" s="28">
        <f>Inputs!$D$12</f>
        <v>0.15</v>
      </c>
      <c r="K41" s="28">
        <f>Inputs!$D$13</f>
        <v>0.1</v>
      </c>
      <c r="L41" s="28">
        <f>Inputs!$D$14</f>
        <v>0.3</v>
      </c>
      <c r="M41" s="28">
        <f>Inputs!$D$15</f>
        <v>0.1</v>
      </c>
      <c r="N41" s="28">
        <f>Inputs!$D$16</f>
        <v>0.3</v>
      </c>
      <c r="O41" s="29">
        <f t="shared" si="0"/>
        <v>1579.5000000000005</v>
      </c>
      <c r="P41" s="30"/>
      <c r="Q41" s="30"/>
      <c r="R41" s="30"/>
      <c r="S41" s="30"/>
      <c r="T41" s="30"/>
      <c r="U41" s="30"/>
      <c r="V41" s="30"/>
      <c r="W41" s="30"/>
      <c r="X41" s="30"/>
      <c r="Y41" s="30"/>
      <c r="Z41" s="30"/>
      <c r="AA41" s="30"/>
      <c r="AB41" s="30"/>
      <c r="AC41" s="30"/>
      <c r="AD41" s="30"/>
      <c r="AE41" s="30"/>
      <c r="AF41" s="13"/>
      <c r="AG41" s="37" t="s">
        <v>136</v>
      </c>
    </row>
    <row r="42" spans="2:33" ht="16.5" x14ac:dyDescent="0.3">
      <c r="B42" s="21" t="s">
        <v>70</v>
      </c>
      <c r="C42" s="25" t="s">
        <v>36</v>
      </c>
      <c r="D42" s="27" t="s">
        <v>18</v>
      </c>
      <c r="E42" s="26">
        <v>1000</v>
      </c>
      <c r="F42" s="28">
        <f>Inputs!$D$8</f>
        <v>0.05</v>
      </c>
      <c r="G42" s="28">
        <f>Inputs!$D$9</f>
        <v>0.05</v>
      </c>
      <c r="H42" s="28">
        <f>Inputs!$D$10</f>
        <v>0.1</v>
      </c>
      <c r="I42" s="28">
        <f>Inputs!$D$11</f>
        <v>0.1</v>
      </c>
      <c r="J42" s="28">
        <f>Inputs!$D$12</f>
        <v>0.15</v>
      </c>
      <c r="K42" s="28">
        <f>Inputs!$D$13</f>
        <v>0.1</v>
      </c>
      <c r="L42" s="28">
        <f>Inputs!$D$14</f>
        <v>0.3</v>
      </c>
      <c r="M42" s="28">
        <f>Inputs!$D$15</f>
        <v>0.1</v>
      </c>
      <c r="N42" s="28">
        <f>Inputs!$D$16</f>
        <v>0.3</v>
      </c>
      <c r="O42" s="29">
        <f t="shared" si="0"/>
        <v>2106.0000000000009</v>
      </c>
      <c r="P42" s="30">
        <f>Inputs!D7*2</f>
        <v>17.600000000000001</v>
      </c>
      <c r="Q42" s="30"/>
      <c r="R42" s="30"/>
      <c r="S42" s="30">
        <f>Inputs!D7*4</f>
        <v>35.200000000000003</v>
      </c>
      <c r="T42" s="30"/>
      <c r="U42" s="30"/>
      <c r="V42" s="30"/>
      <c r="W42" s="30">
        <f>Inputs!D7*4</f>
        <v>35.200000000000003</v>
      </c>
      <c r="X42" s="30"/>
      <c r="Y42" s="30"/>
      <c r="Z42" s="30"/>
      <c r="AA42" s="30"/>
      <c r="AB42" s="30"/>
      <c r="AC42" s="30"/>
      <c r="AD42" s="30"/>
      <c r="AE42" s="30"/>
      <c r="AF42" s="13"/>
      <c r="AG42" s="27"/>
    </row>
    <row r="43" spans="2:33" ht="16.5" x14ac:dyDescent="0.3">
      <c r="B43" s="21" t="s">
        <v>70</v>
      </c>
      <c r="C43" s="25" t="s">
        <v>37</v>
      </c>
      <c r="D43" s="27" t="s">
        <v>16</v>
      </c>
      <c r="E43" s="26">
        <v>25000</v>
      </c>
      <c r="F43" s="28">
        <f>Inputs!$D$8</f>
        <v>0.05</v>
      </c>
      <c r="G43" s="28">
        <f>Inputs!$D$9</f>
        <v>0.05</v>
      </c>
      <c r="H43" s="28">
        <f>Inputs!$D$10</f>
        <v>0.1</v>
      </c>
      <c r="I43" s="28">
        <f>Inputs!$D$11</f>
        <v>0.1</v>
      </c>
      <c r="J43" s="28">
        <f>Inputs!$D$12</f>
        <v>0.15</v>
      </c>
      <c r="K43" s="28">
        <f>Inputs!$D$13</f>
        <v>0.1</v>
      </c>
      <c r="L43" s="28">
        <f>Inputs!$D$14</f>
        <v>0.3</v>
      </c>
      <c r="M43" s="28">
        <f>Inputs!$D$15</f>
        <v>0.1</v>
      </c>
      <c r="N43" s="28">
        <f>Inputs!$D$16</f>
        <v>0.3</v>
      </c>
      <c r="O43" s="29">
        <f t="shared" si="0"/>
        <v>52650.000000000015</v>
      </c>
      <c r="P43" s="30"/>
      <c r="Q43" s="30"/>
      <c r="R43" s="30"/>
      <c r="S43" s="30"/>
      <c r="T43" s="30"/>
      <c r="U43" s="30"/>
      <c r="V43" s="30"/>
      <c r="W43" s="30"/>
      <c r="X43" s="30"/>
      <c r="Y43" s="30"/>
      <c r="Z43" s="30"/>
      <c r="AA43" s="30"/>
      <c r="AB43" s="30"/>
      <c r="AC43" s="30"/>
      <c r="AD43" s="30"/>
      <c r="AE43" s="30"/>
      <c r="AF43" s="13"/>
      <c r="AG43" s="27"/>
    </row>
    <row r="44" spans="2:33" ht="16.5" x14ac:dyDescent="0.3">
      <c r="B44" s="21" t="s">
        <v>70</v>
      </c>
      <c r="C44" s="39" t="s">
        <v>38</v>
      </c>
      <c r="D44" s="27" t="s">
        <v>15</v>
      </c>
      <c r="E44" s="26">
        <v>12000</v>
      </c>
      <c r="F44" s="28">
        <f>Inputs!$D$8</f>
        <v>0.05</v>
      </c>
      <c r="G44" s="28">
        <f>Inputs!$D$9</f>
        <v>0.05</v>
      </c>
      <c r="H44" s="28">
        <f>Inputs!$D$10</f>
        <v>0.1</v>
      </c>
      <c r="I44" s="28">
        <f>Inputs!$D$11</f>
        <v>0.1</v>
      </c>
      <c r="J44" s="28">
        <f>Inputs!$D$12</f>
        <v>0.15</v>
      </c>
      <c r="K44" s="28">
        <f>Inputs!$D$13</f>
        <v>0.1</v>
      </c>
      <c r="L44" s="28">
        <f>Inputs!$D$14</f>
        <v>0.3</v>
      </c>
      <c r="M44" s="28">
        <f>Inputs!$D$15</f>
        <v>0.1</v>
      </c>
      <c r="N44" s="28">
        <f>Inputs!$D$16</f>
        <v>0.3</v>
      </c>
      <c r="O44" s="29">
        <f t="shared" si="0"/>
        <v>25272.000000000007</v>
      </c>
      <c r="P44" s="30"/>
      <c r="Q44" s="30"/>
      <c r="R44" s="30"/>
      <c r="S44" s="30"/>
      <c r="T44" s="30"/>
      <c r="U44" s="30"/>
      <c r="V44" s="30"/>
      <c r="W44" s="30"/>
      <c r="X44" s="30"/>
      <c r="Y44" s="30"/>
      <c r="Z44" s="30"/>
      <c r="AA44" s="30"/>
      <c r="AB44" s="30"/>
      <c r="AC44" s="30"/>
      <c r="AD44" s="30"/>
      <c r="AE44" s="30"/>
      <c r="AF44" s="13"/>
      <c r="AG44" s="33"/>
    </row>
    <row r="45" spans="2:33" ht="16.5" x14ac:dyDescent="0.3">
      <c r="B45" s="21" t="s">
        <v>70</v>
      </c>
      <c r="C45" s="39" t="s">
        <v>39</v>
      </c>
      <c r="D45" s="27" t="s">
        <v>15</v>
      </c>
      <c r="E45" s="26">
        <v>400</v>
      </c>
      <c r="F45" s="28">
        <f>Inputs!$D$8</f>
        <v>0.05</v>
      </c>
      <c r="G45" s="28">
        <f>Inputs!$D$9</f>
        <v>0.05</v>
      </c>
      <c r="H45" s="28">
        <f>Inputs!$D$10</f>
        <v>0.1</v>
      </c>
      <c r="I45" s="28">
        <f>Inputs!$D$11</f>
        <v>0.1</v>
      </c>
      <c r="J45" s="28">
        <f>Inputs!$D$12</f>
        <v>0.15</v>
      </c>
      <c r="K45" s="28">
        <f>Inputs!$D$13</f>
        <v>0.1</v>
      </c>
      <c r="L45" s="28">
        <f>Inputs!$D$14</f>
        <v>0.3</v>
      </c>
      <c r="M45" s="28">
        <f>Inputs!$D$15</f>
        <v>0.1</v>
      </c>
      <c r="N45" s="28">
        <f>Inputs!$D$16</f>
        <v>0.3</v>
      </c>
      <c r="O45" s="29">
        <f t="shared" si="0"/>
        <v>842.4000000000002</v>
      </c>
      <c r="P45" s="30">
        <f>Inputs!D7*2</f>
        <v>17.600000000000001</v>
      </c>
      <c r="Q45" s="30"/>
      <c r="R45" s="30"/>
      <c r="S45" s="30"/>
      <c r="T45" s="30"/>
      <c r="U45" s="30"/>
      <c r="V45" s="30"/>
      <c r="W45" s="30"/>
      <c r="X45" s="30"/>
      <c r="Y45" s="30"/>
      <c r="Z45" s="30"/>
      <c r="AA45" s="30"/>
      <c r="AB45" s="30"/>
      <c r="AC45" s="30"/>
      <c r="AD45" s="30"/>
      <c r="AE45" s="30"/>
      <c r="AF45" s="13"/>
      <c r="AG45" s="33"/>
    </row>
    <row r="46" spans="2:33" ht="16.5" x14ac:dyDescent="0.3">
      <c r="B46" s="21" t="s">
        <v>70</v>
      </c>
      <c r="C46" s="39" t="s">
        <v>83</v>
      </c>
      <c r="D46" s="27" t="s">
        <v>15</v>
      </c>
      <c r="E46" s="26">
        <v>400</v>
      </c>
      <c r="F46" s="28">
        <f>Inputs!$D$8</f>
        <v>0.05</v>
      </c>
      <c r="G46" s="28">
        <f>Inputs!$D$9</f>
        <v>0.05</v>
      </c>
      <c r="H46" s="28">
        <f>Inputs!$D$10</f>
        <v>0.1</v>
      </c>
      <c r="I46" s="28">
        <f>Inputs!$D$11</f>
        <v>0.1</v>
      </c>
      <c r="J46" s="28">
        <f>Inputs!$D$12</f>
        <v>0.15</v>
      </c>
      <c r="K46" s="28">
        <f>Inputs!$D$13</f>
        <v>0.1</v>
      </c>
      <c r="L46" s="28">
        <f>Inputs!$D$14</f>
        <v>0.3</v>
      </c>
      <c r="M46" s="28">
        <f>Inputs!$D$15</f>
        <v>0.1</v>
      </c>
      <c r="N46" s="28">
        <f>Inputs!$D$16</f>
        <v>0.3</v>
      </c>
      <c r="O46" s="29">
        <f t="shared" si="0"/>
        <v>842.4000000000002</v>
      </c>
      <c r="P46" s="30"/>
      <c r="Q46" s="30"/>
      <c r="R46" s="30"/>
      <c r="S46" s="30"/>
      <c r="T46" s="30"/>
      <c r="U46" s="30"/>
      <c r="V46" s="30"/>
      <c r="W46" s="30"/>
      <c r="X46" s="30"/>
      <c r="Y46" s="30"/>
      <c r="Z46" s="30"/>
      <c r="AA46" s="30"/>
      <c r="AB46" s="30"/>
      <c r="AC46" s="30"/>
      <c r="AD46" s="30"/>
      <c r="AE46" s="30"/>
      <c r="AF46" s="13"/>
      <c r="AG46" s="33"/>
    </row>
    <row r="47" spans="2:33" ht="16.5" x14ac:dyDescent="0.3">
      <c r="B47" s="21" t="s">
        <v>70</v>
      </c>
      <c r="C47" s="34" t="s">
        <v>40</v>
      </c>
      <c r="D47" s="27" t="s">
        <v>16</v>
      </c>
      <c r="E47" s="26">
        <v>250000</v>
      </c>
      <c r="F47" s="28">
        <f>Inputs!$D$8</f>
        <v>0.05</v>
      </c>
      <c r="G47" s="28">
        <f>Inputs!$D$9</f>
        <v>0.05</v>
      </c>
      <c r="H47" s="28">
        <f>Inputs!$D$10</f>
        <v>0.1</v>
      </c>
      <c r="I47" s="28">
        <f>Inputs!$D$11</f>
        <v>0.1</v>
      </c>
      <c r="J47" s="28">
        <f>Inputs!$D$12</f>
        <v>0.15</v>
      </c>
      <c r="K47" s="28">
        <f>Inputs!$D$13</f>
        <v>0.1</v>
      </c>
      <c r="L47" s="28">
        <f>Inputs!$D$14</f>
        <v>0.3</v>
      </c>
      <c r="M47" s="28">
        <f>Inputs!$D$15</f>
        <v>0.1</v>
      </c>
      <c r="N47" s="28">
        <f>Inputs!$D$16</f>
        <v>0.3</v>
      </c>
      <c r="O47" s="29">
        <f t="shared" si="0"/>
        <v>526500.00000000023</v>
      </c>
      <c r="P47" s="30"/>
      <c r="Q47" s="30"/>
      <c r="R47" s="30"/>
      <c r="S47" s="30"/>
      <c r="T47" s="30"/>
      <c r="U47" s="30"/>
      <c r="V47" s="30"/>
      <c r="W47" s="30"/>
      <c r="X47" s="30"/>
      <c r="Y47" s="30"/>
      <c r="Z47" s="30"/>
      <c r="AA47" s="30"/>
      <c r="AB47" s="30"/>
      <c r="AC47" s="30"/>
      <c r="AD47" s="30"/>
      <c r="AE47" s="30"/>
      <c r="AF47" s="13"/>
      <c r="AG47" s="35"/>
    </row>
    <row r="48" spans="2:33" ht="16.5" x14ac:dyDescent="0.3">
      <c r="B48" s="21" t="s">
        <v>70</v>
      </c>
      <c r="C48" s="25" t="s">
        <v>41</v>
      </c>
      <c r="D48" s="27" t="s">
        <v>18</v>
      </c>
      <c r="E48" s="26">
        <v>40000</v>
      </c>
      <c r="F48" s="28">
        <f>Inputs!$D$8</f>
        <v>0.05</v>
      </c>
      <c r="G48" s="28">
        <f>Inputs!$D$9</f>
        <v>0.05</v>
      </c>
      <c r="H48" s="28">
        <f>Inputs!$D$10</f>
        <v>0.1</v>
      </c>
      <c r="I48" s="28">
        <f>Inputs!$D$11</f>
        <v>0.1</v>
      </c>
      <c r="J48" s="28">
        <f>Inputs!$D$12</f>
        <v>0.15</v>
      </c>
      <c r="K48" s="28">
        <f>Inputs!$D$13</f>
        <v>0.1</v>
      </c>
      <c r="L48" s="28">
        <f>Inputs!$D$14</f>
        <v>0.3</v>
      </c>
      <c r="M48" s="28">
        <f>Inputs!$D$15</f>
        <v>0.1</v>
      </c>
      <c r="N48" s="28">
        <f>Inputs!$D$16</f>
        <v>0.3</v>
      </c>
      <c r="O48" s="29">
        <f t="shared" si="0"/>
        <v>84240.000000000029</v>
      </c>
      <c r="P48" s="30"/>
      <c r="Q48" s="30"/>
      <c r="R48" s="30"/>
      <c r="S48" s="30"/>
      <c r="T48" s="30"/>
      <c r="U48" s="30"/>
      <c r="V48" s="30"/>
      <c r="W48" s="30"/>
      <c r="X48" s="30"/>
      <c r="Y48" s="30"/>
      <c r="Z48" s="30"/>
      <c r="AA48" s="30"/>
      <c r="AB48" s="30"/>
      <c r="AC48" s="30"/>
      <c r="AD48" s="30"/>
      <c r="AE48" s="30"/>
      <c r="AF48" s="13"/>
      <c r="AG48" s="27"/>
    </row>
    <row r="49" spans="2:33" ht="16.5" x14ac:dyDescent="0.3">
      <c r="B49" s="21" t="s">
        <v>70</v>
      </c>
      <c r="C49" s="25" t="s">
        <v>55</v>
      </c>
      <c r="D49" s="27" t="s">
        <v>15</v>
      </c>
      <c r="E49" s="26">
        <v>500</v>
      </c>
      <c r="F49" s="28">
        <f>Inputs!$D$8</f>
        <v>0.05</v>
      </c>
      <c r="G49" s="28">
        <f>Inputs!$D$9</f>
        <v>0.05</v>
      </c>
      <c r="H49" s="28">
        <f>Inputs!$D$10</f>
        <v>0.1</v>
      </c>
      <c r="I49" s="28">
        <f>Inputs!$D$11</f>
        <v>0.1</v>
      </c>
      <c r="J49" s="28">
        <f>Inputs!$D$12</f>
        <v>0.15</v>
      </c>
      <c r="K49" s="28">
        <f>Inputs!$D$13</f>
        <v>0.1</v>
      </c>
      <c r="L49" s="28">
        <f>Inputs!$D$14</f>
        <v>0.3</v>
      </c>
      <c r="M49" s="28">
        <f>Inputs!$D$15</f>
        <v>0.1</v>
      </c>
      <c r="N49" s="28">
        <f>Inputs!$D$16</f>
        <v>0.3</v>
      </c>
      <c r="O49" s="29">
        <f t="shared" si="0"/>
        <v>1053.0000000000005</v>
      </c>
      <c r="P49" s="30"/>
      <c r="Q49" s="30"/>
      <c r="R49" s="30"/>
      <c r="S49" s="30"/>
      <c r="T49" s="30"/>
      <c r="U49" s="30"/>
      <c r="V49" s="30"/>
      <c r="W49" s="30"/>
      <c r="X49" s="30"/>
      <c r="Y49" s="30"/>
      <c r="Z49" s="30"/>
      <c r="AA49" s="30"/>
      <c r="AB49" s="30"/>
      <c r="AC49" s="30"/>
      <c r="AD49" s="30"/>
      <c r="AE49" s="30"/>
      <c r="AF49" s="13"/>
      <c r="AG49" s="27"/>
    </row>
    <row r="50" spans="2:33" ht="16.5" x14ac:dyDescent="0.3">
      <c r="B50" s="21" t="s">
        <v>70</v>
      </c>
      <c r="C50" s="25" t="s">
        <v>58</v>
      </c>
      <c r="D50" s="27" t="s">
        <v>15</v>
      </c>
      <c r="E50" s="26">
        <v>800</v>
      </c>
      <c r="F50" s="28">
        <f>Inputs!$D$8</f>
        <v>0.05</v>
      </c>
      <c r="G50" s="28">
        <f>Inputs!$D$9</f>
        <v>0.05</v>
      </c>
      <c r="H50" s="28">
        <f>Inputs!$D$10</f>
        <v>0.1</v>
      </c>
      <c r="I50" s="28">
        <f>Inputs!$D$11</f>
        <v>0.1</v>
      </c>
      <c r="J50" s="28">
        <f>Inputs!$D$12</f>
        <v>0.15</v>
      </c>
      <c r="K50" s="28">
        <f>Inputs!$D$13</f>
        <v>0.1</v>
      </c>
      <c r="L50" s="28">
        <f>Inputs!$D$14</f>
        <v>0.3</v>
      </c>
      <c r="M50" s="28">
        <f>Inputs!$D$15</f>
        <v>0.1</v>
      </c>
      <c r="N50" s="28">
        <f>Inputs!$D$16</f>
        <v>0.3</v>
      </c>
      <c r="O50" s="29">
        <f t="shared" si="0"/>
        <v>1684.8000000000004</v>
      </c>
      <c r="P50" s="30"/>
      <c r="Q50" s="30"/>
      <c r="R50" s="30"/>
      <c r="S50" s="30"/>
      <c r="T50" s="30"/>
      <c r="U50" s="30"/>
      <c r="V50" s="30"/>
      <c r="W50" s="30"/>
      <c r="X50" s="30"/>
      <c r="Y50" s="30"/>
      <c r="Z50" s="30"/>
      <c r="AA50" s="30"/>
      <c r="AB50" s="30"/>
      <c r="AC50" s="30"/>
      <c r="AD50" s="30"/>
      <c r="AE50" s="30"/>
      <c r="AF50" s="13"/>
      <c r="AG50" s="27"/>
    </row>
    <row r="51" spans="2:33" ht="17.45" customHeight="1" x14ac:dyDescent="0.3">
      <c r="B51" s="21" t="s">
        <v>70</v>
      </c>
      <c r="C51" s="25" t="s">
        <v>59</v>
      </c>
      <c r="D51" s="27" t="s">
        <v>15</v>
      </c>
      <c r="E51" s="26">
        <v>1200</v>
      </c>
      <c r="F51" s="28">
        <f>Inputs!$D$8</f>
        <v>0.05</v>
      </c>
      <c r="G51" s="28">
        <f>Inputs!$D$9</f>
        <v>0.05</v>
      </c>
      <c r="H51" s="28">
        <f>Inputs!$D$10</f>
        <v>0.1</v>
      </c>
      <c r="I51" s="28">
        <f>Inputs!$D$11</f>
        <v>0.1</v>
      </c>
      <c r="J51" s="28">
        <f>Inputs!$D$12</f>
        <v>0.15</v>
      </c>
      <c r="K51" s="28">
        <f>Inputs!$D$13</f>
        <v>0.1</v>
      </c>
      <c r="L51" s="28">
        <f>Inputs!$D$14</f>
        <v>0.3</v>
      </c>
      <c r="M51" s="28">
        <f>Inputs!$D$15</f>
        <v>0.1</v>
      </c>
      <c r="N51" s="28">
        <f>Inputs!$D$16</f>
        <v>0.3</v>
      </c>
      <c r="O51" s="29">
        <f t="shared" si="0"/>
        <v>2527.2000000000007</v>
      </c>
      <c r="P51" s="30"/>
      <c r="Q51" s="30"/>
      <c r="R51" s="30"/>
      <c r="S51" s="30"/>
      <c r="T51" s="30"/>
      <c r="U51" s="30"/>
      <c r="V51" s="30"/>
      <c r="W51" s="30"/>
      <c r="X51" s="30"/>
      <c r="Y51" s="30"/>
      <c r="Z51" s="30"/>
      <c r="AA51" s="30"/>
      <c r="AB51" s="30"/>
      <c r="AC51" s="30"/>
      <c r="AD51" s="30"/>
      <c r="AE51" s="30"/>
      <c r="AF51" s="13"/>
      <c r="AG51" s="27" t="s">
        <v>129</v>
      </c>
    </row>
    <row r="52" spans="2:33" ht="17.45" customHeight="1" x14ac:dyDescent="0.3">
      <c r="B52" s="21" t="s">
        <v>70</v>
      </c>
      <c r="C52" s="25" t="s">
        <v>56</v>
      </c>
      <c r="D52" s="27" t="s">
        <v>15</v>
      </c>
      <c r="E52" s="26">
        <v>8000</v>
      </c>
      <c r="F52" s="28">
        <f>Inputs!$D$8</f>
        <v>0.05</v>
      </c>
      <c r="G52" s="28">
        <f>Inputs!$D$9</f>
        <v>0.05</v>
      </c>
      <c r="H52" s="28">
        <f>Inputs!$D$10</f>
        <v>0.1</v>
      </c>
      <c r="I52" s="28">
        <f>Inputs!$D$11</f>
        <v>0.1</v>
      </c>
      <c r="J52" s="28">
        <f>Inputs!$D$12</f>
        <v>0.15</v>
      </c>
      <c r="K52" s="28">
        <f>Inputs!$D$13</f>
        <v>0.1</v>
      </c>
      <c r="L52" s="28">
        <f>Inputs!$D$14</f>
        <v>0.3</v>
      </c>
      <c r="M52" s="28">
        <f>Inputs!$D$15</f>
        <v>0.1</v>
      </c>
      <c r="N52" s="28">
        <f>Inputs!$D$16</f>
        <v>0.3</v>
      </c>
      <c r="O52" s="29">
        <f t="shared" si="0"/>
        <v>16848.000000000007</v>
      </c>
      <c r="P52" s="30">
        <f>Inputs!D5/150</f>
        <v>35.200000000000003</v>
      </c>
      <c r="Q52" s="30"/>
      <c r="R52" s="30"/>
      <c r="S52" s="30"/>
      <c r="T52" s="30"/>
      <c r="U52" s="30"/>
      <c r="V52" s="30"/>
      <c r="W52" s="30"/>
      <c r="X52" s="30"/>
      <c r="Y52" s="30"/>
      <c r="Z52" s="30"/>
      <c r="AA52" s="30"/>
      <c r="AB52" s="30"/>
      <c r="AC52" s="30"/>
      <c r="AD52" s="30"/>
      <c r="AE52" s="30"/>
      <c r="AF52" s="13">
        <f>Inputs!D5/150</f>
        <v>35.200000000000003</v>
      </c>
      <c r="AG52" s="27" t="s">
        <v>137</v>
      </c>
    </row>
    <row r="53" spans="2:33" ht="17.45" customHeight="1" x14ac:dyDescent="0.3">
      <c r="B53" s="21" t="s">
        <v>70</v>
      </c>
      <c r="C53" s="25" t="s">
        <v>152</v>
      </c>
      <c r="D53" s="27" t="s">
        <v>15</v>
      </c>
      <c r="E53" s="26">
        <v>6500</v>
      </c>
      <c r="F53" s="28">
        <f>Inputs!$D$8</f>
        <v>0.05</v>
      </c>
      <c r="G53" s="28">
        <f>Inputs!$D$9</f>
        <v>0.05</v>
      </c>
      <c r="H53" s="28">
        <f>Inputs!$D$10</f>
        <v>0.1</v>
      </c>
      <c r="I53" s="28">
        <f>Inputs!$D$11</f>
        <v>0.1</v>
      </c>
      <c r="J53" s="28">
        <f>Inputs!$D$12</f>
        <v>0.15</v>
      </c>
      <c r="K53" s="28">
        <f>Inputs!$D$13</f>
        <v>0.1</v>
      </c>
      <c r="L53" s="28">
        <f>Inputs!$D$14</f>
        <v>0.3</v>
      </c>
      <c r="M53" s="28">
        <f>Inputs!$D$15</f>
        <v>0.1</v>
      </c>
      <c r="N53" s="28">
        <f>Inputs!$D$16</f>
        <v>0.3</v>
      </c>
      <c r="O53" s="29">
        <f t="shared" si="0"/>
        <v>13689.000000000004</v>
      </c>
      <c r="P53" s="30"/>
      <c r="Q53" s="30"/>
      <c r="R53" s="30"/>
      <c r="S53" s="30"/>
      <c r="T53" s="30"/>
      <c r="U53" s="30"/>
      <c r="V53" s="30"/>
      <c r="W53" s="30"/>
      <c r="X53" s="30"/>
      <c r="Y53" s="30"/>
      <c r="Z53" s="30"/>
      <c r="AA53" s="30"/>
      <c r="AB53" s="30"/>
      <c r="AC53" s="30"/>
      <c r="AD53" s="30"/>
      <c r="AE53" s="30"/>
      <c r="AF53" s="13"/>
      <c r="AG53" s="27" t="s">
        <v>130</v>
      </c>
    </row>
    <row r="54" spans="2:33" ht="16.5" x14ac:dyDescent="0.3">
      <c r="B54" s="21" t="s">
        <v>70</v>
      </c>
      <c r="C54" s="25" t="s">
        <v>57</v>
      </c>
      <c r="D54" s="27" t="s">
        <v>13</v>
      </c>
      <c r="E54" s="26">
        <v>10</v>
      </c>
      <c r="F54" s="28">
        <f>Inputs!$D$8</f>
        <v>0.05</v>
      </c>
      <c r="G54" s="28">
        <f>Inputs!$D$9</f>
        <v>0.05</v>
      </c>
      <c r="H54" s="28">
        <f>Inputs!$D$10</f>
        <v>0.1</v>
      </c>
      <c r="I54" s="28">
        <f>Inputs!$D$11</f>
        <v>0.1</v>
      </c>
      <c r="J54" s="28">
        <f>Inputs!$D$12</f>
        <v>0.15</v>
      </c>
      <c r="K54" s="28">
        <f>Inputs!$D$13</f>
        <v>0.1</v>
      </c>
      <c r="L54" s="28">
        <f>Inputs!$D$14</f>
        <v>0.3</v>
      </c>
      <c r="M54" s="28">
        <f>Inputs!$D$15</f>
        <v>0.1</v>
      </c>
      <c r="N54" s="28">
        <f>Inputs!$D$16</f>
        <v>0.3</v>
      </c>
      <c r="O54" s="29">
        <f t="shared" si="0"/>
        <v>21.060000000000006</v>
      </c>
      <c r="P54" s="30">
        <f>Inputs!D5</f>
        <v>5280</v>
      </c>
      <c r="Q54" s="30"/>
      <c r="R54" s="30"/>
      <c r="S54" s="30"/>
      <c r="T54" s="30"/>
      <c r="U54" s="30"/>
      <c r="V54" s="30"/>
      <c r="W54" s="30"/>
      <c r="X54" s="30"/>
      <c r="Y54" s="30"/>
      <c r="Z54" s="30"/>
      <c r="AA54" s="30"/>
      <c r="AB54" s="30"/>
      <c r="AC54" s="30"/>
      <c r="AD54" s="30"/>
      <c r="AE54" s="30"/>
      <c r="AF54" s="51">
        <f>Inputs!D5</f>
        <v>5280</v>
      </c>
      <c r="AG54" s="27"/>
    </row>
    <row r="55" spans="2:33" ht="16.350000000000001" customHeight="1" x14ac:dyDescent="0.3">
      <c r="B55" s="21" t="s">
        <v>70</v>
      </c>
      <c r="C55" s="31" t="s">
        <v>42</v>
      </c>
      <c r="D55" s="33" t="s">
        <v>15</v>
      </c>
      <c r="E55" s="38">
        <v>80000</v>
      </c>
      <c r="F55" s="28">
        <f>Inputs!$D$8</f>
        <v>0.05</v>
      </c>
      <c r="G55" s="28">
        <f>Inputs!$D$9</f>
        <v>0.05</v>
      </c>
      <c r="H55" s="28">
        <f>Inputs!$D$10</f>
        <v>0.1</v>
      </c>
      <c r="I55" s="28">
        <f>Inputs!$D$11</f>
        <v>0.1</v>
      </c>
      <c r="J55" s="28">
        <f>Inputs!$D$12</f>
        <v>0.15</v>
      </c>
      <c r="K55" s="28">
        <f>Inputs!$D$13</f>
        <v>0.1</v>
      </c>
      <c r="L55" s="28">
        <f>Inputs!$D$14</f>
        <v>0.3</v>
      </c>
      <c r="M55" s="28">
        <f>Inputs!$D$15</f>
        <v>0.1</v>
      </c>
      <c r="N55" s="28">
        <f>Inputs!$D$16</f>
        <v>0.3</v>
      </c>
      <c r="O55" s="29">
        <f t="shared" si="0"/>
        <v>168480.00000000006</v>
      </c>
      <c r="P55" s="30"/>
      <c r="Q55" s="30"/>
      <c r="R55" s="30"/>
      <c r="S55" s="30"/>
      <c r="T55" s="30"/>
      <c r="U55" s="30"/>
      <c r="V55" s="30"/>
      <c r="W55" s="30"/>
      <c r="X55" s="30"/>
      <c r="Y55" s="30"/>
      <c r="Z55" s="30"/>
      <c r="AA55" s="30"/>
      <c r="AB55" s="30"/>
      <c r="AC55" s="30"/>
      <c r="AD55" s="30"/>
      <c r="AE55" s="30"/>
      <c r="AF55" s="13"/>
      <c r="AG55" s="33" t="s">
        <v>131</v>
      </c>
    </row>
    <row r="56" spans="2:33" ht="16.350000000000001" customHeight="1" x14ac:dyDescent="0.3">
      <c r="B56" s="21" t="s">
        <v>70</v>
      </c>
      <c r="C56" s="31" t="s">
        <v>43</v>
      </c>
      <c r="D56" s="33" t="s">
        <v>17</v>
      </c>
      <c r="E56" s="38">
        <v>25000</v>
      </c>
      <c r="F56" s="28">
        <f>Inputs!$D$8</f>
        <v>0.05</v>
      </c>
      <c r="G56" s="28">
        <f>Inputs!$D$9</f>
        <v>0.05</v>
      </c>
      <c r="H56" s="28">
        <f>Inputs!$D$10</f>
        <v>0.1</v>
      </c>
      <c r="I56" s="28">
        <f>Inputs!$D$11</f>
        <v>0.1</v>
      </c>
      <c r="J56" s="28">
        <f>Inputs!$D$12</f>
        <v>0.15</v>
      </c>
      <c r="K56" s="28">
        <f>Inputs!$D$13</f>
        <v>0.1</v>
      </c>
      <c r="L56" s="28">
        <f>Inputs!$D$14</f>
        <v>0.3</v>
      </c>
      <c r="M56" s="28">
        <f>Inputs!$D$15</f>
        <v>0.1</v>
      </c>
      <c r="N56" s="28">
        <f>Inputs!$D$16</f>
        <v>0.3</v>
      </c>
      <c r="O56" s="29">
        <f t="shared" si="0"/>
        <v>52650.000000000015</v>
      </c>
      <c r="P56" s="30">
        <f>Inputs!D7/2</f>
        <v>4.4000000000000004</v>
      </c>
      <c r="Q56" s="30"/>
      <c r="R56" s="30"/>
      <c r="S56" s="30"/>
      <c r="T56" s="30"/>
      <c r="U56" s="30"/>
      <c r="V56" s="30"/>
      <c r="W56" s="30"/>
      <c r="X56" s="30"/>
      <c r="Y56" s="30"/>
      <c r="Z56" s="30"/>
      <c r="AA56" s="30"/>
      <c r="AB56" s="30"/>
      <c r="AC56" s="30"/>
      <c r="AD56" s="30"/>
      <c r="AE56" s="30"/>
      <c r="AF56" s="13"/>
      <c r="AG56" s="33" t="s">
        <v>132</v>
      </c>
    </row>
    <row r="57" spans="2:33" ht="16.350000000000001" customHeight="1" x14ac:dyDescent="0.3">
      <c r="B57" s="13"/>
      <c r="C57" s="31"/>
      <c r="D57" s="33"/>
      <c r="E57" s="38"/>
      <c r="F57" s="28"/>
      <c r="G57" s="28"/>
      <c r="H57" s="28"/>
      <c r="I57" s="28"/>
      <c r="J57" s="28"/>
      <c r="K57" s="28"/>
      <c r="L57" s="28"/>
      <c r="M57" s="28"/>
      <c r="N57" s="28"/>
      <c r="O57" s="29">
        <f t="shared" si="0"/>
        <v>0</v>
      </c>
      <c r="P57" s="53">
        <f t="shared" ref="P57:AF57" si="1">SUMPRODUCT($E$6:$E$56,P6:P56)</f>
        <v>1029994.88</v>
      </c>
      <c r="Q57" s="53">
        <f t="shared" si="1"/>
        <v>264154.88</v>
      </c>
      <c r="R57" s="53">
        <f t="shared" si="1"/>
        <v>40874.879999999997</v>
      </c>
      <c r="S57" s="53">
        <f t="shared" si="1"/>
        <v>86634.880000000005</v>
      </c>
      <c r="T57" s="53">
        <f t="shared" si="1"/>
        <v>151754.88</v>
      </c>
      <c r="U57" s="53">
        <f t="shared" si="1"/>
        <v>14580.48</v>
      </c>
      <c r="V57" s="53">
        <f t="shared" si="1"/>
        <v>125380.48</v>
      </c>
      <c r="W57" s="53">
        <f t="shared" si="1"/>
        <v>112665.28</v>
      </c>
      <c r="X57" s="53">
        <f t="shared" si="1"/>
        <v>360314.88</v>
      </c>
      <c r="Y57" s="53">
        <f t="shared" si="1"/>
        <v>304874.88</v>
      </c>
      <c r="Z57" s="53">
        <f t="shared" si="1"/>
        <v>102521.28000000001</v>
      </c>
      <c r="AA57" s="53">
        <f t="shared" si="1"/>
        <v>572000</v>
      </c>
      <c r="AB57" s="53">
        <f t="shared" si="1"/>
        <v>836000</v>
      </c>
      <c r="AC57" s="53">
        <f t="shared" si="1"/>
        <v>8000</v>
      </c>
      <c r="AD57" s="53">
        <f t="shared" si="1"/>
        <v>5280</v>
      </c>
      <c r="AE57" s="53">
        <f t="shared" si="1"/>
        <v>8100</v>
      </c>
      <c r="AF57" s="53">
        <f t="shared" si="1"/>
        <v>334400</v>
      </c>
      <c r="AG57" s="33"/>
    </row>
    <row r="58" spans="2:33" ht="16.350000000000001" customHeight="1" x14ac:dyDescent="0.3">
      <c r="B58" s="13"/>
      <c r="C58" s="31"/>
      <c r="D58" s="33"/>
      <c r="E58" s="38"/>
      <c r="F58" s="28"/>
      <c r="G58" s="28"/>
      <c r="H58" s="28"/>
      <c r="I58" s="28"/>
      <c r="J58" s="28"/>
      <c r="K58" s="28"/>
      <c r="L58" s="28"/>
      <c r="M58" s="28"/>
      <c r="N58" s="28"/>
      <c r="O58" s="29">
        <f t="shared" si="0"/>
        <v>0</v>
      </c>
      <c r="P58" s="53">
        <f t="shared" ref="P58:AF58" si="2">SUMPRODUCT($O$6:$O$56,P6:P56)</f>
        <v>2169169.2172800009</v>
      </c>
      <c r="Q58" s="53">
        <f t="shared" si="2"/>
        <v>556310.17728000018</v>
      </c>
      <c r="R58" s="53">
        <f t="shared" si="2"/>
        <v>86082.497280000025</v>
      </c>
      <c r="S58" s="53">
        <f t="shared" si="2"/>
        <v>182453.05728000007</v>
      </c>
      <c r="T58" s="53">
        <f t="shared" si="2"/>
        <v>319595.7772800001</v>
      </c>
      <c r="U58" s="53">
        <f t="shared" si="2"/>
        <v>30706.490880000012</v>
      </c>
      <c r="V58" s="53">
        <f t="shared" si="2"/>
        <v>264051.2908800001</v>
      </c>
      <c r="W58" s="53">
        <f t="shared" si="2"/>
        <v>237273.07968000008</v>
      </c>
      <c r="X58" s="53">
        <f t="shared" si="2"/>
        <v>758823.13728000026</v>
      </c>
      <c r="Y58" s="53">
        <f t="shared" si="2"/>
        <v>642066.49728000024</v>
      </c>
      <c r="Z58" s="53">
        <f t="shared" si="2"/>
        <v>215909.81568000006</v>
      </c>
      <c r="AA58" s="53">
        <f t="shared" si="2"/>
        <v>1204632.0000000005</v>
      </c>
      <c r="AB58" s="53">
        <f t="shared" si="2"/>
        <v>1760616.0000000005</v>
      </c>
      <c r="AC58" s="53">
        <f t="shared" si="2"/>
        <v>16848.000000000007</v>
      </c>
      <c r="AD58" s="53">
        <f t="shared" si="2"/>
        <v>11119.680000000004</v>
      </c>
      <c r="AE58" s="53">
        <f t="shared" si="2"/>
        <v>17058.600000000006</v>
      </c>
      <c r="AF58" s="53">
        <f t="shared" si="2"/>
        <v>704246.40000000037</v>
      </c>
      <c r="AG58" s="33"/>
    </row>
    <row r="59" spans="2:33" ht="16.5" x14ac:dyDescent="0.3">
      <c r="B59" s="40" t="s">
        <v>71</v>
      </c>
      <c r="C59" s="13"/>
      <c r="D59" s="22"/>
      <c r="E59" s="21"/>
      <c r="F59" s="21"/>
      <c r="G59" s="21"/>
      <c r="H59" s="21"/>
      <c r="I59" s="21"/>
      <c r="J59" s="21"/>
      <c r="K59" s="21"/>
      <c r="L59" s="21"/>
      <c r="M59" s="21"/>
      <c r="N59" s="21"/>
      <c r="O59" s="23"/>
      <c r="P59" s="23"/>
      <c r="Q59" s="23"/>
      <c r="R59" s="23"/>
      <c r="S59" s="23"/>
      <c r="T59" s="23"/>
      <c r="U59" s="23"/>
      <c r="V59" s="23"/>
      <c r="W59" s="23"/>
      <c r="X59" s="23"/>
      <c r="Y59" s="23"/>
      <c r="Z59" s="23"/>
      <c r="AA59" s="23"/>
      <c r="AB59" s="24"/>
      <c r="AC59" s="24"/>
      <c r="AD59" s="13"/>
      <c r="AE59" s="13"/>
      <c r="AF59" s="13"/>
      <c r="AG59" s="22"/>
    </row>
    <row r="60" spans="2:33" ht="16.5" x14ac:dyDescent="0.3">
      <c r="B60" s="40" t="s">
        <v>106</v>
      </c>
      <c r="C60" s="13"/>
      <c r="D60" s="22"/>
      <c r="E60" s="21"/>
      <c r="F60" s="21"/>
      <c r="G60" s="21"/>
      <c r="H60" s="21"/>
      <c r="I60" s="21"/>
      <c r="J60" s="21"/>
      <c r="K60" s="21"/>
      <c r="L60" s="21"/>
      <c r="M60" s="21"/>
      <c r="N60" s="21"/>
      <c r="O60" s="23"/>
      <c r="P60" s="59"/>
      <c r="Q60" s="59"/>
      <c r="R60" s="59"/>
      <c r="S60" s="59"/>
      <c r="T60" s="23"/>
      <c r="U60" s="23"/>
      <c r="V60" s="23"/>
      <c r="W60" s="23"/>
      <c r="X60" s="23"/>
      <c r="Y60" s="23"/>
      <c r="Z60" s="23"/>
      <c r="AA60" s="23"/>
      <c r="AB60" s="24"/>
      <c r="AC60" s="24"/>
      <c r="AD60" s="13"/>
      <c r="AE60" s="13"/>
      <c r="AF60" s="13"/>
      <c r="AG60" s="22"/>
    </row>
    <row r="61" spans="2:33" ht="16.5" x14ac:dyDescent="0.3">
      <c r="B61" s="40" t="s">
        <v>105</v>
      </c>
      <c r="C61" s="13"/>
      <c r="D61" s="22"/>
      <c r="E61" s="21"/>
      <c r="F61" s="21"/>
      <c r="G61" s="21"/>
      <c r="H61" s="21"/>
      <c r="I61" s="21"/>
      <c r="J61" s="21"/>
      <c r="K61" s="21"/>
      <c r="L61" s="21"/>
      <c r="M61" s="21"/>
      <c r="N61" s="21"/>
      <c r="O61" s="23"/>
      <c r="P61" s="23"/>
      <c r="Q61" s="23"/>
      <c r="R61" s="23"/>
      <c r="S61" s="23"/>
      <c r="T61" s="23"/>
      <c r="U61" s="23"/>
      <c r="V61" s="23"/>
      <c r="W61" s="23"/>
      <c r="X61" s="23"/>
      <c r="Y61" s="23"/>
      <c r="Z61" s="23"/>
      <c r="AA61" s="23"/>
      <c r="AB61" s="24"/>
      <c r="AC61" s="24"/>
      <c r="AD61" s="13"/>
      <c r="AE61" s="13"/>
      <c r="AF61" s="13"/>
      <c r="AG61" s="22"/>
    </row>
    <row r="62" spans="2:33" x14ac:dyDescent="0.25">
      <c r="B62" s="40" t="s">
        <v>154</v>
      </c>
      <c r="C62" s="1"/>
    </row>
    <row r="63" spans="2:33" x14ac:dyDescent="0.25">
      <c r="B63" s="40" t="s">
        <v>153</v>
      </c>
    </row>
  </sheetData>
  <conditionalFormatting sqref="C6:D7 AC7">
    <cfRule type="expression" dxfId="4" priority="6" stopIfTrue="1">
      <formula>#REF!&gt;0</formula>
    </cfRule>
  </conditionalFormatting>
  <conditionalFormatting sqref="AG6:AG7">
    <cfRule type="expression" dxfId="3" priority="5" stopIfTrue="1">
      <formula>#REF!&gt;0</formula>
    </cfRule>
  </conditionalFormatting>
  <conditionalFormatting sqref="AB7">
    <cfRule type="expression" dxfId="2" priority="4" stopIfTrue="1">
      <formula>#REF!&gt;0</formula>
    </cfRule>
  </conditionalFormatting>
  <conditionalFormatting sqref="P6:AF56">
    <cfRule type="containsBlanks" dxfId="1" priority="3">
      <formula>LEN(TRIM(P6))=0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workbookViewId="0">
      <pane xSplit="3" ySplit="6" topLeftCell="H7" activePane="bottomRight" state="frozen"/>
      <selection pane="topRight" activeCell="D1" sqref="D1"/>
      <selection pane="bottomLeft" activeCell="A7" sqref="A7"/>
      <selection pane="bottomRight" activeCell="L10" sqref="L10"/>
    </sheetView>
  </sheetViews>
  <sheetFormatPr defaultColWidth="9" defaultRowHeight="16.5" x14ac:dyDescent="0.3"/>
  <cols>
    <col min="1" max="1" width="9" style="15"/>
    <col min="2" max="2" width="56" style="15" bestFit="1" customWidth="1"/>
    <col min="3" max="3" width="14.42578125" style="15" bestFit="1" customWidth="1"/>
    <col min="4" max="4" width="22.28515625" style="15" customWidth="1"/>
    <col min="5" max="8" width="22.42578125" style="15" customWidth="1"/>
    <col min="9" max="9" width="14.28515625" style="15" customWidth="1"/>
    <col min="10" max="10" width="14.5703125" style="15" customWidth="1"/>
    <col min="11" max="11" width="14.85546875" style="15" customWidth="1"/>
    <col min="12" max="12" width="14.28515625" style="15" customWidth="1"/>
    <col min="13" max="13" width="14.85546875" style="15" customWidth="1"/>
    <col min="14" max="14" width="14.7109375" style="15" customWidth="1"/>
    <col min="15" max="15" width="12" style="15" customWidth="1"/>
    <col min="16" max="16384" width="9" style="15"/>
  </cols>
  <sheetData>
    <row r="1" spans="2:15" s="13" customFormat="1" x14ac:dyDescent="0.3">
      <c r="L1" s="14"/>
    </row>
    <row r="2" spans="2:15" s="13" customFormat="1" ht="18.75" x14ac:dyDescent="0.3">
      <c r="B2" s="12" t="s">
        <v>61</v>
      </c>
      <c r="C2" s="11"/>
      <c r="L2" s="14"/>
    </row>
    <row r="4" spans="2:15" ht="39.75" x14ac:dyDescent="0.3">
      <c r="B4" s="8" t="s">
        <v>108</v>
      </c>
      <c r="C4" s="8" t="s">
        <v>72</v>
      </c>
      <c r="D4" s="8" t="s">
        <v>174</v>
      </c>
      <c r="E4" s="8" t="s">
        <v>109</v>
      </c>
      <c r="F4" s="8" t="s">
        <v>75</v>
      </c>
      <c r="G4" s="8" t="s">
        <v>76</v>
      </c>
      <c r="H4" s="9"/>
      <c r="I4" s="52" t="s">
        <v>151</v>
      </c>
      <c r="J4" s="8"/>
      <c r="K4" s="8"/>
      <c r="L4" s="8"/>
      <c r="M4" s="8"/>
      <c r="N4" s="8"/>
      <c r="O4" s="8"/>
    </row>
    <row r="5" spans="2:15" ht="25.5" x14ac:dyDescent="0.3">
      <c r="B5" s="8"/>
      <c r="C5" s="8"/>
      <c r="D5" s="8" t="s">
        <v>209</v>
      </c>
      <c r="E5" s="8"/>
      <c r="F5" s="9"/>
      <c r="G5" s="9"/>
      <c r="H5" s="9"/>
      <c r="I5" s="8" t="s">
        <v>141</v>
      </c>
      <c r="J5" s="8" t="s">
        <v>142</v>
      </c>
      <c r="K5" s="8" t="s">
        <v>144</v>
      </c>
      <c r="L5" s="8" t="s">
        <v>145</v>
      </c>
      <c r="M5" s="8" t="s">
        <v>146</v>
      </c>
      <c r="N5" s="8" t="s">
        <v>147</v>
      </c>
      <c r="O5" s="8" t="s">
        <v>148</v>
      </c>
    </row>
    <row r="6" spans="2:15" x14ac:dyDescent="0.3">
      <c r="B6" s="8" t="s">
        <v>110</v>
      </c>
      <c r="C6" s="8"/>
      <c r="D6" s="10"/>
      <c r="E6" s="10"/>
      <c r="F6" s="9"/>
      <c r="G6" s="9"/>
      <c r="H6" s="9"/>
      <c r="I6" s="8"/>
      <c r="J6" s="8"/>
      <c r="K6" s="8"/>
      <c r="L6" s="8"/>
      <c r="M6" s="8"/>
      <c r="N6" s="8"/>
      <c r="O6" s="8"/>
    </row>
    <row r="7" spans="2:15" x14ac:dyDescent="0.3">
      <c r="B7" s="45" t="s">
        <v>156</v>
      </c>
      <c r="C7" s="6" t="s">
        <v>74</v>
      </c>
      <c r="D7" s="7" t="s">
        <v>183</v>
      </c>
      <c r="E7" s="7" t="s">
        <v>111</v>
      </c>
      <c r="F7" s="50">
        <f>UnitCosts!P57</f>
        <v>1029994.88</v>
      </c>
      <c r="G7" s="50">
        <f>UnitCosts!P58</f>
        <v>2169169.2172800009</v>
      </c>
      <c r="H7" s="17"/>
      <c r="I7" s="17">
        <v>1125000</v>
      </c>
      <c r="J7" s="17">
        <v>1200000</v>
      </c>
      <c r="K7" s="17">
        <v>1000000</v>
      </c>
      <c r="L7" s="17">
        <v>1200000</v>
      </c>
      <c r="M7" s="17">
        <v>643000</v>
      </c>
      <c r="N7" s="17">
        <v>1200000</v>
      </c>
      <c r="O7" s="17">
        <v>880000</v>
      </c>
    </row>
    <row r="8" spans="2:15" x14ac:dyDescent="0.3">
      <c r="B8" s="45" t="s">
        <v>157</v>
      </c>
      <c r="C8" s="6" t="s">
        <v>74</v>
      </c>
      <c r="D8" s="7" t="s">
        <v>184</v>
      </c>
      <c r="E8" s="7" t="s">
        <v>111</v>
      </c>
      <c r="F8" s="50">
        <f>UnitCosts!Q57</f>
        <v>264154.88</v>
      </c>
      <c r="G8" s="50">
        <f>UnitCosts!Q58</f>
        <v>556310.17728000018</v>
      </c>
      <c r="H8" s="17"/>
      <c r="I8" s="17"/>
      <c r="J8" s="17"/>
      <c r="K8" s="17"/>
      <c r="L8" s="17"/>
      <c r="M8" s="17"/>
      <c r="N8" s="17"/>
      <c r="O8" s="17"/>
    </row>
    <row r="9" spans="2:15" x14ac:dyDescent="0.3">
      <c r="B9" s="8" t="s">
        <v>112</v>
      </c>
      <c r="C9" s="8"/>
      <c r="D9" s="9"/>
      <c r="E9" s="9"/>
      <c r="F9" s="49"/>
      <c r="G9" s="49"/>
      <c r="H9" s="17"/>
      <c r="I9" s="17"/>
      <c r="J9" s="17"/>
      <c r="K9" s="17"/>
      <c r="L9" s="17"/>
      <c r="M9" s="17"/>
      <c r="N9" s="17"/>
      <c r="O9" s="17"/>
    </row>
    <row r="10" spans="2:15" x14ac:dyDescent="0.3">
      <c r="B10" s="45" t="s">
        <v>158</v>
      </c>
      <c r="C10" s="6" t="s">
        <v>74</v>
      </c>
      <c r="D10" s="7" t="s">
        <v>182</v>
      </c>
      <c r="E10" s="7" t="s">
        <v>113</v>
      </c>
      <c r="F10" s="50">
        <f>UnitCosts!R57</f>
        <v>40874.879999999997</v>
      </c>
      <c r="G10" s="50">
        <f>UnitCosts!R58</f>
        <v>86082.497280000025</v>
      </c>
      <c r="H10" s="17"/>
      <c r="I10" s="17">
        <v>90000</v>
      </c>
      <c r="J10" s="17">
        <v>260000</v>
      </c>
      <c r="K10" s="17">
        <v>23200</v>
      </c>
      <c r="L10" s="17">
        <v>20000</v>
      </c>
      <c r="M10" s="17">
        <v>43000</v>
      </c>
      <c r="N10" s="17">
        <v>15000</v>
      </c>
      <c r="O10" s="17">
        <v>36000</v>
      </c>
    </row>
    <row r="11" spans="2:15" x14ac:dyDescent="0.3">
      <c r="B11" s="45" t="s">
        <v>159</v>
      </c>
      <c r="C11" s="6" t="s">
        <v>74</v>
      </c>
      <c r="D11" s="7" t="s">
        <v>181</v>
      </c>
      <c r="E11" s="7" t="s">
        <v>114</v>
      </c>
      <c r="F11" s="50">
        <f>UnitCosts!S57</f>
        <v>86634.880000000005</v>
      </c>
      <c r="G11" s="50">
        <f>UnitCosts!S58</f>
        <v>182453.05728000007</v>
      </c>
      <c r="H11" s="17"/>
      <c r="I11" s="17">
        <v>180000</v>
      </c>
      <c r="J11" s="17">
        <v>270000</v>
      </c>
      <c r="K11" s="17">
        <v>44300</v>
      </c>
      <c r="L11" s="17">
        <v>80000</v>
      </c>
      <c r="M11" s="17"/>
      <c r="N11" s="17">
        <v>70000</v>
      </c>
      <c r="O11" s="17">
        <v>75000</v>
      </c>
    </row>
    <row r="12" spans="2:15" x14ac:dyDescent="0.3">
      <c r="B12" s="45" t="s">
        <v>160</v>
      </c>
      <c r="C12" s="6" t="s">
        <v>74</v>
      </c>
      <c r="D12" s="7" t="s">
        <v>180</v>
      </c>
      <c r="E12" s="7" t="s">
        <v>115</v>
      </c>
      <c r="F12" s="50">
        <f>UnitCosts!T57</f>
        <v>151754.88</v>
      </c>
      <c r="G12" s="50">
        <f>UnitCosts!T58</f>
        <v>319595.7772800001</v>
      </c>
      <c r="H12" s="17"/>
      <c r="I12" s="17"/>
      <c r="J12" s="17"/>
      <c r="K12" s="17"/>
      <c r="L12" s="17"/>
      <c r="M12" s="17"/>
      <c r="N12" s="17"/>
      <c r="O12" s="17"/>
    </row>
    <row r="13" spans="2:15" x14ac:dyDescent="0.3">
      <c r="B13" s="8" t="s">
        <v>80</v>
      </c>
      <c r="C13" s="8"/>
      <c r="D13" s="9"/>
      <c r="E13" s="9"/>
      <c r="F13" s="49"/>
      <c r="G13" s="49"/>
      <c r="H13" s="17"/>
      <c r="I13" s="17"/>
      <c r="J13" s="17"/>
      <c r="K13" s="17"/>
      <c r="L13" s="17"/>
      <c r="M13" s="17"/>
      <c r="N13" s="17"/>
      <c r="O13" s="17"/>
    </row>
    <row r="14" spans="2:15" x14ac:dyDescent="0.3">
      <c r="B14" s="45" t="s">
        <v>161</v>
      </c>
      <c r="C14" s="6" t="s">
        <v>74</v>
      </c>
      <c r="D14" s="7" t="s">
        <v>179</v>
      </c>
      <c r="E14" s="7" t="s">
        <v>116</v>
      </c>
      <c r="F14" s="50">
        <f>UnitCosts!U57</f>
        <v>14580.48</v>
      </c>
      <c r="G14" s="50">
        <f>UnitCosts!U58</f>
        <v>30706.490880000012</v>
      </c>
      <c r="H14" s="17"/>
      <c r="I14" s="17">
        <v>20000</v>
      </c>
      <c r="J14" s="17">
        <v>65000</v>
      </c>
      <c r="K14" s="17">
        <v>19250</v>
      </c>
      <c r="L14" s="17">
        <v>15000</v>
      </c>
      <c r="M14" s="17">
        <v>8000</v>
      </c>
      <c r="N14" s="17">
        <v>7000</v>
      </c>
      <c r="O14" s="17">
        <v>12000</v>
      </c>
    </row>
    <row r="15" spans="2:15" x14ac:dyDescent="0.3">
      <c r="B15" s="45" t="s">
        <v>162</v>
      </c>
      <c r="C15" s="6" t="s">
        <v>74</v>
      </c>
      <c r="D15" s="58" t="s">
        <v>185</v>
      </c>
      <c r="E15" s="7" t="s">
        <v>117</v>
      </c>
      <c r="F15" s="50">
        <f>UnitCosts!V57</f>
        <v>125380.48</v>
      </c>
      <c r="G15" s="50">
        <f>UnitCosts!V58</f>
        <v>264051.2908800001</v>
      </c>
      <c r="H15" s="17"/>
      <c r="I15" s="17">
        <v>75000</v>
      </c>
      <c r="J15" s="17">
        <v>250000</v>
      </c>
      <c r="K15" s="17"/>
      <c r="L15" s="17">
        <v>250000</v>
      </c>
      <c r="M15" s="17"/>
      <c r="N15" s="17"/>
      <c r="O15" s="17"/>
    </row>
    <row r="16" spans="2:15" x14ac:dyDescent="0.3">
      <c r="B16" s="8" t="s">
        <v>118</v>
      </c>
      <c r="C16" s="8"/>
      <c r="D16" s="9"/>
      <c r="E16" s="9"/>
      <c r="F16" s="49"/>
      <c r="G16" s="49"/>
      <c r="H16" s="17"/>
      <c r="I16" s="17"/>
      <c r="J16" s="17"/>
      <c r="K16" s="17"/>
      <c r="L16" s="17"/>
      <c r="M16" s="17"/>
      <c r="N16" s="17"/>
      <c r="O16" s="17"/>
    </row>
    <row r="17" spans="2:15" x14ac:dyDescent="0.3">
      <c r="B17" s="45" t="s">
        <v>164</v>
      </c>
      <c r="C17" s="6" t="s">
        <v>74</v>
      </c>
      <c r="D17" s="58" t="s">
        <v>186</v>
      </c>
      <c r="E17" s="7" t="s">
        <v>119</v>
      </c>
      <c r="F17" s="50">
        <f>UnitCosts!W57</f>
        <v>112665.28</v>
      </c>
      <c r="G17" s="50">
        <f>UnitCosts!W58</f>
        <v>237273.07968000008</v>
      </c>
      <c r="H17" s="17"/>
      <c r="I17" s="17"/>
      <c r="J17" s="17">
        <v>423000</v>
      </c>
      <c r="K17" s="17"/>
      <c r="L17" s="17"/>
      <c r="M17" s="17"/>
      <c r="N17" s="17"/>
      <c r="O17" s="17"/>
    </row>
    <row r="18" spans="2:15" x14ac:dyDescent="0.3">
      <c r="B18" s="45" t="s">
        <v>163</v>
      </c>
      <c r="C18" s="6" t="s">
        <v>74</v>
      </c>
      <c r="D18" s="58" t="s">
        <v>187</v>
      </c>
      <c r="E18" s="7" t="s">
        <v>111</v>
      </c>
      <c r="F18" s="50">
        <f>UnitCosts!X57</f>
        <v>360314.88</v>
      </c>
      <c r="G18" s="50">
        <f>UnitCosts!X58</f>
        <v>758823.13728000026</v>
      </c>
      <c r="H18" s="17"/>
      <c r="I18" s="17">
        <v>600000</v>
      </c>
      <c r="J18" s="17"/>
      <c r="K18" s="17"/>
      <c r="L18" s="17"/>
      <c r="M18" s="17"/>
      <c r="N18" s="17"/>
      <c r="O18" s="17"/>
    </row>
    <row r="19" spans="2:15" x14ac:dyDescent="0.3">
      <c r="B19" s="45" t="s">
        <v>165</v>
      </c>
      <c r="C19" s="6" t="s">
        <v>74</v>
      </c>
      <c r="D19" s="58" t="s">
        <v>188</v>
      </c>
      <c r="E19" s="7" t="s">
        <v>111</v>
      </c>
      <c r="F19" s="50">
        <f>UnitCosts!Y57</f>
        <v>304874.88</v>
      </c>
      <c r="G19" s="50">
        <f>UnitCosts!Y58</f>
        <v>642066.49728000024</v>
      </c>
      <c r="H19" s="17"/>
      <c r="I19" s="17"/>
      <c r="J19" s="17"/>
      <c r="K19" s="17"/>
      <c r="L19" s="17"/>
      <c r="M19" s="17"/>
      <c r="N19" s="17"/>
      <c r="O19" s="17"/>
    </row>
    <row r="20" spans="2:15" x14ac:dyDescent="0.3">
      <c r="B20" s="45" t="s">
        <v>166</v>
      </c>
      <c r="C20" s="6" t="s">
        <v>74</v>
      </c>
      <c r="D20" s="58" t="s">
        <v>189</v>
      </c>
      <c r="E20" s="7" t="s">
        <v>119</v>
      </c>
      <c r="F20" s="50">
        <f>UnitCosts!Z57</f>
        <v>102521.28000000001</v>
      </c>
      <c r="G20" s="50">
        <f>UnitCosts!Z58</f>
        <v>215909.81568000006</v>
      </c>
      <c r="H20" s="17"/>
      <c r="I20" s="17"/>
      <c r="J20" s="17"/>
      <c r="K20" s="17"/>
      <c r="L20" s="17"/>
      <c r="M20" s="17"/>
      <c r="N20" s="17"/>
      <c r="O20" s="17"/>
    </row>
    <row r="21" spans="2:15" x14ac:dyDescent="0.3">
      <c r="B21" s="8" t="s">
        <v>121</v>
      </c>
      <c r="C21" s="8"/>
      <c r="D21" s="9"/>
      <c r="E21" s="9"/>
      <c r="F21" s="49"/>
      <c r="G21" s="49"/>
      <c r="H21" s="17"/>
      <c r="I21" s="17"/>
      <c r="J21" s="17"/>
      <c r="K21" s="17"/>
      <c r="L21" s="17"/>
      <c r="M21" s="17"/>
      <c r="N21" s="17"/>
      <c r="O21" s="17"/>
    </row>
    <row r="22" spans="2:15" x14ac:dyDescent="0.3">
      <c r="B22" s="45" t="s">
        <v>167</v>
      </c>
      <c r="C22" s="6" t="s">
        <v>74</v>
      </c>
      <c r="F22" s="50">
        <f>UnitCosts!AA57</f>
        <v>572000</v>
      </c>
      <c r="G22" s="50">
        <f>UnitCosts!AA58</f>
        <v>1204632.0000000005</v>
      </c>
      <c r="H22" s="17"/>
      <c r="I22" s="17"/>
      <c r="J22" s="17"/>
      <c r="K22" s="17"/>
      <c r="L22" s="17"/>
      <c r="M22" s="17"/>
      <c r="N22" s="17"/>
      <c r="O22" s="17"/>
    </row>
    <row r="23" spans="2:15" x14ac:dyDescent="0.3">
      <c r="B23" s="45" t="s">
        <v>168</v>
      </c>
      <c r="C23" s="6" t="s">
        <v>74</v>
      </c>
      <c r="F23" s="50">
        <f>UnitCosts!AB57</f>
        <v>836000</v>
      </c>
      <c r="G23" s="50">
        <f>UnitCosts!AB58</f>
        <v>1760616.0000000005</v>
      </c>
      <c r="H23" s="17"/>
      <c r="I23" s="17"/>
      <c r="J23" s="17"/>
      <c r="K23" s="17"/>
      <c r="L23" s="17"/>
      <c r="M23" s="17"/>
      <c r="N23" s="17"/>
      <c r="O23" s="17"/>
    </row>
    <row r="24" spans="2:15" ht="27" x14ac:dyDescent="0.3">
      <c r="B24" s="45" t="s">
        <v>169</v>
      </c>
      <c r="C24" s="6" t="s">
        <v>87</v>
      </c>
      <c r="F24" s="50">
        <f>UnitCosts!AC57</f>
        <v>8000</v>
      </c>
      <c r="G24" s="50">
        <f>UnitCosts!AC58</f>
        <v>16848.000000000007</v>
      </c>
      <c r="H24" s="17"/>
      <c r="I24" s="17"/>
      <c r="J24" s="17"/>
      <c r="K24" s="17"/>
      <c r="L24" s="17"/>
      <c r="M24" s="17"/>
      <c r="N24" s="17"/>
      <c r="O24" s="17"/>
    </row>
    <row r="25" spans="2:15" x14ac:dyDescent="0.3">
      <c r="B25" s="45" t="s">
        <v>170</v>
      </c>
      <c r="C25" s="6" t="s">
        <v>74</v>
      </c>
      <c r="F25" s="50">
        <f>UnitCosts!AD57</f>
        <v>5280</v>
      </c>
      <c r="G25" s="50">
        <f>UnitCosts!AD58</f>
        <v>11119.680000000004</v>
      </c>
      <c r="H25" s="17"/>
      <c r="I25" s="17"/>
      <c r="J25" s="17"/>
      <c r="K25" s="17"/>
      <c r="L25" s="17"/>
      <c r="M25" s="17"/>
      <c r="N25" s="17"/>
      <c r="O25" s="17"/>
    </row>
    <row r="26" spans="2:15" x14ac:dyDescent="0.3">
      <c r="B26" s="45" t="s">
        <v>171</v>
      </c>
      <c r="C26" s="6" t="s">
        <v>74</v>
      </c>
      <c r="F26" s="50">
        <f>UnitCosts!AE57</f>
        <v>8100</v>
      </c>
      <c r="G26" s="50">
        <f>UnitCosts!AE58</f>
        <v>17058.600000000006</v>
      </c>
      <c r="H26" s="17"/>
      <c r="I26" s="17"/>
      <c r="J26" s="17"/>
      <c r="K26" s="17"/>
      <c r="L26" s="17"/>
      <c r="M26" s="17"/>
      <c r="N26" s="17"/>
      <c r="O26" s="17"/>
    </row>
    <row r="27" spans="2:15" x14ac:dyDescent="0.3">
      <c r="B27" s="45" t="s">
        <v>172</v>
      </c>
      <c r="C27" s="6" t="s">
        <v>74</v>
      </c>
      <c r="F27" s="50">
        <f>UnitCosts!AF57</f>
        <v>334400</v>
      </c>
      <c r="G27" s="50">
        <f>UnitCosts!AF58</f>
        <v>704246.40000000037</v>
      </c>
      <c r="H27" s="17"/>
      <c r="I27" s="17"/>
      <c r="J27" s="17"/>
      <c r="K27" s="17"/>
      <c r="L27" s="17"/>
      <c r="M27" s="17"/>
      <c r="N27" s="17"/>
      <c r="O27" s="17"/>
    </row>
    <row r="28" spans="2:15" x14ac:dyDescent="0.3">
      <c r="K28" s="17"/>
    </row>
    <row r="29" spans="2:15" x14ac:dyDescent="0.3">
      <c r="K29" s="17"/>
    </row>
    <row r="30" spans="2:15" x14ac:dyDescent="0.3">
      <c r="K30" s="17"/>
    </row>
    <row r="31" spans="2:15" x14ac:dyDescent="0.3">
      <c r="K31" s="17"/>
    </row>
    <row r="32" spans="2:15" x14ac:dyDescent="0.3">
      <c r="G32" s="16"/>
      <c r="H32" s="16"/>
      <c r="K32" s="17"/>
    </row>
    <row r="33" spans="11:11" x14ac:dyDescent="0.3">
      <c r="K33" s="17"/>
    </row>
    <row r="34" spans="11:11" x14ac:dyDescent="0.3">
      <c r="K34" s="17"/>
    </row>
    <row r="35" spans="11:11" x14ac:dyDescent="0.3">
      <c r="K35" s="17"/>
    </row>
    <row r="36" spans="11:11" x14ac:dyDescent="0.3">
      <c r="K36" s="17"/>
    </row>
    <row r="37" spans="11:11" x14ac:dyDescent="0.3">
      <c r="K37" s="17"/>
    </row>
    <row r="38" spans="11:11" x14ac:dyDescent="0.3">
      <c r="K38" s="17"/>
    </row>
    <row r="39" spans="11:11" x14ac:dyDescent="0.3">
      <c r="K39" s="17"/>
    </row>
    <row r="40" spans="11:11" x14ac:dyDescent="0.3">
      <c r="K40" s="17"/>
    </row>
    <row r="41" spans="11:11" x14ac:dyDescent="0.3">
      <c r="K41" s="17"/>
    </row>
    <row r="42" spans="11:11" x14ac:dyDescent="0.3">
      <c r="K42" s="17"/>
    </row>
    <row r="43" spans="11:11" x14ac:dyDescent="0.3">
      <c r="K43" s="17"/>
    </row>
    <row r="44" spans="11:11" x14ac:dyDescent="0.3">
      <c r="K44" s="17"/>
    </row>
    <row r="45" spans="11:11" x14ac:dyDescent="0.3">
      <c r="K45" s="17"/>
    </row>
    <row r="46" spans="11:11" x14ac:dyDescent="0.3">
      <c r="K46" s="17"/>
    </row>
  </sheetData>
  <conditionalFormatting sqref="H7:O27">
    <cfRule type="containsBlanks" dxfId="0" priority="2">
      <formula>LEN(TRIM(H7))=0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workbookViewId="0">
      <selection activeCell="D9" sqref="D9"/>
    </sheetView>
  </sheetViews>
  <sheetFormatPr defaultColWidth="9" defaultRowHeight="16.5" x14ac:dyDescent="0.3"/>
  <cols>
    <col min="1" max="1" width="9" style="15"/>
    <col min="2" max="2" width="14.7109375" style="15" customWidth="1"/>
    <col min="3" max="3" width="42.140625" style="15" bestFit="1" customWidth="1"/>
    <col min="4" max="4" width="9.5703125" style="42" bestFit="1" customWidth="1"/>
    <col min="5" max="5" width="63.5703125" style="15" bestFit="1" customWidth="1"/>
    <col min="6" max="16384" width="9" style="15"/>
  </cols>
  <sheetData>
    <row r="2" spans="2:5" ht="18.75" x14ac:dyDescent="0.3">
      <c r="B2" s="20" t="s">
        <v>104</v>
      </c>
      <c r="C2" s="21"/>
    </row>
    <row r="4" spans="2:5" x14ac:dyDescent="0.3">
      <c r="B4" s="18" t="s">
        <v>63</v>
      </c>
      <c r="C4" s="43" t="s">
        <v>1</v>
      </c>
      <c r="D4" s="19" t="s">
        <v>62</v>
      </c>
      <c r="E4" s="44" t="s">
        <v>69</v>
      </c>
    </row>
    <row r="5" spans="2:5" x14ac:dyDescent="0.3">
      <c r="B5" s="45" t="s">
        <v>64</v>
      </c>
      <c r="C5" s="21" t="s">
        <v>126</v>
      </c>
      <c r="D5" s="46">
        <v>5280</v>
      </c>
      <c r="E5" s="47"/>
    </row>
    <row r="6" spans="2:5" x14ac:dyDescent="0.3">
      <c r="B6" s="45" t="s">
        <v>64</v>
      </c>
      <c r="C6" s="21" t="s">
        <v>127</v>
      </c>
      <c r="D6" s="23">
        <v>600</v>
      </c>
      <c r="E6" s="47"/>
    </row>
    <row r="7" spans="2:5" x14ac:dyDescent="0.3">
      <c r="B7" s="45" t="s">
        <v>64</v>
      </c>
      <c r="C7" s="21" t="s">
        <v>125</v>
      </c>
      <c r="D7" s="23">
        <f>D5/D6</f>
        <v>8.8000000000000007</v>
      </c>
      <c r="E7" s="47"/>
    </row>
    <row r="8" spans="2:5" x14ac:dyDescent="0.3">
      <c r="B8" s="45" t="s">
        <v>65</v>
      </c>
      <c r="C8" s="21" t="s">
        <v>5</v>
      </c>
      <c r="D8" s="48">
        <v>0.05</v>
      </c>
      <c r="E8" s="47"/>
    </row>
    <row r="9" spans="2:5" x14ac:dyDescent="0.3">
      <c r="B9" s="45" t="s">
        <v>65</v>
      </c>
      <c r="C9" s="21" t="s">
        <v>3</v>
      </c>
      <c r="D9" s="48">
        <v>0.05</v>
      </c>
      <c r="E9" s="47"/>
    </row>
    <row r="10" spans="2:5" x14ac:dyDescent="0.3">
      <c r="B10" s="45" t="s">
        <v>65</v>
      </c>
      <c r="C10" s="21" t="s">
        <v>4</v>
      </c>
      <c r="D10" s="48">
        <v>0.1</v>
      </c>
      <c r="E10" s="47"/>
    </row>
    <row r="11" spans="2:5" x14ac:dyDescent="0.3">
      <c r="B11" s="45" t="s">
        <v>65</v>
      </c>
      <c r="C11" s="21" t="s">
        <v>66</v>
      </c>
      <c r="D11" s="48">
        <v>0.1</v>
      </c>
      <c r="E11" s="47"/>
    </row>
    <row r="12" spans="2:5" x14ac:dyDescent="0.3">
      <c r="B12" s="45" t="s">
        <v>65</v>
      </c>
      <c r="C12" s="21" t="s">
        <v>177</v>
      </c>
      <c r="D12" s="48">
        <v>0.15</v>
      </c>
      <c r="E12" s="47"/>
    </row>
    <row r="13" spans="2:5" x14ac:dyDescent="0.3">
      <c r="B13" s="45" t="s">
        <v>65</v>
      </c>
      <c r="C13" s="21" t="s">
        <v>178</v>
      </c>
      <c r="D13" s="48">
        <v>0.1</v>
      </c>
      <c r="E13" s="47"/>
    </row>
    <row r="14" spans="2:5" x14ac:dyDescent="0.3">
      <c r="B14" s="45" t="s">
        <v>6</v>
      </c>
      <c r="C14" s="21" t="s">
        <v>6</v>
      </c>
      <c r="D14" s="48">
        <v>0.3</v>
      </c>
      <c r="E14" s="47"/>
    </row>
    <row r="15" spans="2:5" x14ac:dyDescent="0.3">
      <c r="B15" s="45" t="s">
        <v>6</v>
      </c>
      <c r="C15" s="21" t="s">
        <v>67</v>
      </c>
      <c r="D15" s="48">
        <v>0.1</v>
      </c>
      <c r="E15" s="47" t="s">
        <v>73</v>
      </c>
    </row>
    <row r="16" spans="2:5" x14ac:dyDescent="0.3">
      <c r="B16" s="45" t="s">
        <v>6</v>
      </c>
      <c r="C16" s="21" t="s">
        <v>68</v>
      </c>
      <c r="D16" s="48">
        <v>0.3</v>
      </c>
      <c r="E16" s="47" t="s">
        <v>73</v>
      </c>
    </row>
    <row r="18" spans="2:2" x14ac:dyDescent="0.3">
      <c r="B18" s="18" t="s">
        <v>173</v>
      </c>
    </row>
    <row r="19" spans="2:2" x14ac:dyDescent="0.3">
      <c r="B19" s="45" t="s">
        <v>156</v>
      </c>
    </row>
    <row r="20" spans="2:2" x14ac:dyDescent="0.3">
      <c r="B20" s="45" t="s">
        <v>157</v>
      </c>
    </row>
    <row r="21" spans="2:2" x14ac:dyDescent="0.3">
      <c r="B21" s="45" t="s">
        <v>158</v>
      </c>
    </row>
    <row r="22" spans="2:2" x14ac:dyDescent="0.3">
      <c r="B22" s="45" t="s">
        <v>159</v>
      </c>
    </row>
    <row r="23" spans="2:2" x14ac:dyDescent="0.3">
      <c r="B23" s="45" t="s">
        <v>160</v>
      </c>
    </row>
    <row r="24" spans="2:2" x14ac:dyDescent="0.3">
      <c r="B24" s="45" t="s">
        <v>161</v>
      </c>
    </row>
    <row r="25" spans="2:2" x14ac:dyDescent="0.3">
      <c r="B25" s="45" t="s">
        <v>162</v>
      </c>
    </row>
    <row r="26" spans="2:2" x14ac:dyDescent="0.3">
      <c r="B26" s="45" t="s">
        <v>164</v>
      </c>
    </row>
    <row r="27" spans="2:2" x14ac:dyDescent="0.3">
      <c r="B27" s="45" t="s">
        <v>163</v>
      </c>
    </row>
    <row r="28" spans="2:2" x14ac:dyDescent="0.3">
      <c r="B28" s="45" t="s">
        <v>165</v>
      </c>
    </row>
    <row r="29" spans="2:2" x14ac:dyDescent="0.3">
      <c r="B29" s="45" t="s">
        <v>166</v>
      </c>
    </row>
    <row r="30" spans="2:2" x14ac:dyDescent="0.3">
      <c r="B30" s="45" t="s">
        <v>167</v>
      </c>
    </row>
    <row r="31" spans="2:2" x14ac:dyDescent="0.3">
      <c r="B31" s="45" t="s">
        <v>168</v>
      </c>
    </row>
    <row r="32" spans="2:2" x14ac:dyDescent="0.3">
      <c r="B32" s="45" t="s">
        <v>169</v>
      </c>
    </row>
    <row r="33" spans="2:2" x14ac:dyDescent="0.3">
      <c r="B33" s="45" t="s">
        <v>170</v>
      </c>
    </row>
    <row r="34" spans="2:2" x14ac:dyDescent="0.3">
      <c r="B34" s="45" t="s">
        <v>171</v>
      </c>
    </row>
    <row r="35" spans="2:2" x14ac:dyDescent="0.3">
      <c r="B35" s="45"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README</vt:lpstr>
      <vt:lpstr>ProjectCostEstimate_Template</vt:lpstr>
      <vt:lpstr>UnitCosts</vt:lpstr>
      <vt:lpstr>FacilityCosts</vt:lpstr>
      <vt:lpstr>Inputs</vt:lpstr>
      <vt:lpstr>ProjectCostEstimate_Template!Print_Area</vt:lpstr>
      <vt:lpstr>README!Print_Area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Leahy</dc:creator>
  <cp:lastModifiedBy>ACTC</cp:lastModifiedBy>
  <cp:lastPrinted>2019-05-28T18:27:27Z</cp:lastPrinted>
  <dcterms:created xsi:type="dcterms:W3CDTF">2018-12-12T21:47:50Z</dcterms:created>
  <dcterms:modified xsi:type="dcterms:W3CDTF">2019-05-31T23:42:46Z</dcterms:modified>
</cp:coreProperties>
</file>